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K:\Development - Active\Russel @ Truxel (Fong Ranch)\Finance\TCAC_CDLAC\TCAC and CDLAC Round 2 2026 App Submittal 260519\"/>
    </mc:Choice>
  </mc:AlternateContent>
  <xr:revisionPtr revIDLastSave="0" documentId="13_ncr:1_{23ED466F-346F-43D8-A505-9362D7E90B8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3"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AF635" i="3" l="1"/>
  <c r="AO648" i="3"/>
  <c r="AO637" i="3"/>
  <c r="E13" i="4"/>
  <c r="E37" i="4"/>
  <c r="E36" i="4"/>
  <c r="E34" i="4"/>
  <c r="E33" i="4"/>
  <c r="E32" i="4"/>
  <c r="E29" i="4"/>
  <c r="E41" i="4"/>
  <c r="E40" i="4"/>
  <c r="E53" i="4"/>
  <c r="E51" i="4"/>
  <c r="E50" i="4"/>
  <c r="E48" i="4"/>
  <c r="E47" i="4"/>
  <c r="E45" i="4"/>
  <c r="E61" i="4"/>
  <c r="E60" i="4"/>
  <c r="E59" i="4"/>
  <c r="E58" i="4"/>
  <c r="E56" i="4"/>
  <c r="E69" i="4"/>
  <c r="E68" i="4"/>
  <c r="E67" i="4"/>
  <c r="E66" i="4"/>
  <c r="E76" i="4"/>
  <c r="E74" i="4"/>
  <c r="E73" i="4"/>
  <c r="E72" i="4"/>
  <c r="E84" i="4"/>
  <c r="E87" i="4"/>
  <c r="E88" i="4"/>
  <c r="E90" i="4"/>
  <c r="E92" i="4"/>
  <c r="E93" i="4"/>
  <c r="E95" i="4"/>
  <c r="H85" i="4"/>
  <c r="E99" i="4"/>
  <c r="C49" i="4"/>
  <c r="C57" i="4" s="1"/>
  <c r="E57" i="4" s="1"/>
  <c r="W862" i="3"/>
  <c r="F35" i="4"/>
  <c r="F31" i="4"/>
  <c r="E31" i="4" s="1"/>
  <c r="F46" i="4"/>
  <c r="E46" i="4" s="1"/>
  <c r="C75" i="4"/>
  <c r="E75" i="4" s="1"/>
  <c r="S49" i="4" l="1"/>
  <c r="F49" i="4"/>
  <c r="E49" i="4" s="1"/>
  <c r="C35" i="4"/>
  <c r="E35" i="4" s="1"/>
  <c r="C79" i="4"/>
  <c r="E79" i="4" s="1"/>
  <c r="AB50" i="15" l="1"/>
  <c r="F80" i="4"/>
  <c r="E80" i="4" s="1"/>
  <c r="F65" i="4"/>
  <c r="E65" i="4" s="1"/>
  <c r="F83" i="4"/>
  <c r="S103" i="4"/>
  <c r="S102" i="4"/>
  <c r="S101" i="4"/>
  <c r="S100" i="4"/>
  <c r="S99" i="4"/>
  <c r="S93" i="4"/>
  <c r="S92" i="4"/>
  <c r="S90" i="4"/>
  <c r="S87" i="4"/>
  <c r="S84" i="4"/>
  <c r="S80" i="4"/>
  <c r="S79" i="4"/>
  <c r="S69" i="4"/>
  <c r="S68" i="4"/>
  <c r="S67" i="4"/>
  <c r="S66" i="4"/>
  <c r="S65" i="4"/>
  <c r="S53" i="4"/>
  <c r="S51" i="4"/>
  <c r="S48" i="4"/>
  <c r="S47" i="4"/>
  <c r="S46" i="4"/>
  <c r="S43" i="4"/>
  <c r="S40" i="4"/>
  <c r="S34" i="4"/>
  <c r="S37" i="4"/>
  <c r="S36" i="4"/>
  <c r="S33" i="4"/>
  <c r="S32" i="4"/>
  <c r="S31" i="4"/>
  <c r="C85" i="4"/>
  <c r="S85" i="4" l="1"/>
  <c r="E85" i="4"/>
  <c r="U208" i="24"/>
  <c r="AA927" i="3"/>
  <c r="E43" i="4"/>
  <c r="E103" i="4"/>
  <c r="E102" i="4"/>
  <c r="E101" i="4"/>
  <c r="E100" i="4"/>
  <c r="F30" i="4"/>
  <c r="E30" i="4" s="1"/>
  <c r="E4" i="4"/>
  <c r="E83" i="4"/>
  <c r="H94" i="4"/>
  <c r="E94" i="4" s="1"/>
  <c r="U204" i="24"/>
  <c r="G54" i="7" l="1"/>
  <c r="AF1036" i="3"/>
  <c r="T635" i="3"/>
  <c r="Q635" i="3"/>
  <c r="G9" i="7" l="1"/>
  <c r="I9" i="7" s="1"/>
  <c r="K9" i="7" s="1"/>
  <c r="M9" i="7" s="1"/>
  <c r="O9" i="7" s="1"/>
  <c r="Q9" i="7" s="1"/>
  <c r="S9" i="7" s="1"/>
  <c r="U9" i="7" s="1"/>
  <c r="W9" i="7" s="1"/>
  <c r="Y9" i="7" s="1"/>
  <c r="AA9" i="7" s="1"/>
  <c r="AC9" i="7" s="1"/>
  <c r="AE9" i="7" s="1"/>
  <c r="AG9" i="7" s="1"/>
  <c r="W854" i="3" l="1"/>
  <c r="C52" i="4"/>
  <c r="E52" i="4" s="1"/>
  <c r="C89" i="4"/>
  <c r="F89" i="4" l="1"/>
  <c r="E89" i="4" s="1"/>
  <c r="S89" i="4"/>
  <c r="S52" i="4"/>
  <c r="AA928" i="3"/>
  <c r="S35" i="4" l="1"/>
  <c r="G53" i="7"/>
  <c r="Z824" i="3"/>
  <c r="AC205" i="24"/>
  <c r="AC207" i="24"/>
  <c r="AC208" i="24"/>
  <c r="AC209" i="24"/>
  <c r="AC204" i="24"/>
  <c r="AC206" i="24"/>
  <c r="F90" i="24"/>
  <c r="AF71" i="24"/>
  <c r="S240" i="24" s="1"/>
  <c r="AF70" i="24"/>
  <c r="R37" i="24" l="1"/>
  <c r="Z36" i="24"/>
  <c r="C91" i="4"/>
  <c r="W875" i="3"/>
  <c r="S30" i="4" l="1"/>
  <c r="S91" i="4"/>
  <c r="F91" i="4"/>
  <c r="E91" i="4" s="1"/>
  <c r="C86" i="4"/>
  <c r="AH503" i="3"/>
  <c r="F86" i="4" l="1"/>
  <c r="E86" i="4" s="1"/>
  <c r="S86" i="4"/>
  <c r="AG457" i="3"/>
  <c r="AG451"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O198" i="24"/>
  <c r="AU187" i="24"/>
  <c r="O75" i="24"/>
  <c r="B64" i="24"/>
  <c r="B63" i="24"/>
  <c r="B62" i="24"/>
  <c r="B61" i="24"/>
  <c r="B60" i="24"/>
  <c r="Z57" i="24"/>
  <c r="R57" i="24"/>
  <c r="AS47" i="24"/>
  <c r="AS46" i="24"/>
  <c r="AS45" i="24"/>
  <c r="AS44" i="24"/>
  <c r="AS43" i="24"/>
  <c r="AS42" i="24"/>
  <c r="AS41" i="24"/>
  <c r="AS40" i="24"/>
  <c r="AS39" i="24"/>
  <c r="AS37" i="24"/>
  <c r="AS36" i="24"/>
  <c r="J28" i="24" l="1"/>
  <c r="AN29" i="24"/>
  <c r="J24" i="24"/>
  <c r="J20" i="24"/>
  <c r="P29" i="24"/>
  <c r="J19" i="24"/>
  <c r="R38" i="24" s="1"/>
  <c r="J23" i="24"/>
  <c r="AH38" i="24" s="1"/>
  <c r="J22" i="24"/>
  <c r="AD38" i="24" s="1"/>
  <c r="V29" i="24"/>
  <c r="AB29" i="24"/>
  <c r="AH29" i="24"/>
  <c r="J21" i="24"/>
  <c r="Z38" i="24" s="1"/>
  <c r="AS38" i="24" l="1"/>
  <c r="J29" i="24"/>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G30" i="7" s="1"/>
  <c r="I30" i="7" s="1"/>
  <c r="K30" i="7" s="1"/>
  <c r="M30" i="7" s="1"/>
  <c r="O30" i="7" s="1"/>
  <c r="Q30" i="7" s="1"/>
  <c r="S30" i="7" s="1"/>
  <c r="U30" i="7" s="1"/>
  <c r="W30" i="7" s="1"/>
  <c r="Y30" i="7" s="1"/>
  <c r="AA30" i="7" s="1"/>
  <c r="AC30" i="7" s="1"/>
  <c r="AE30" i="7" s="1"/>
  <c r="E29" i="7"/>
  <c r="G29" i="7" s="1"/>
  <c r="I29" i="7" s="1"/>
  <c r="K29" i="7" s="1"/>
  <c r="M29" i="7" s="1"/>
  <c r="O29" i="7" s="1"/>
  <c r="Q29" i="7" s="1"/>
  <c r="S29" i="7" s="1"/>
  <c r="U29" i="7" s="1"/>
  <c r="W29" i="7" s="1"/>
  <c r="Y29" i="7" s="1"/>
  <c r="AA29" i="7" s="1"/>
  <c r="AC29" i="7" s="1"/>
  <c r="AE29" i="7" s="1"/>
  <c r="E28" i="7"/>
  <c r="G28" i="7" s="1"/>
  <c r="I28" i="7" s="1"/>
  <c r="K28" i="7" s="1"/>
  <c r="M28" i="7" s="1"/>
  <c r="O28" i="7" s="1"/>
  <c r="Q28" i="7" s="1"/>
  <c r="S28" i="7" s="1"/>
  <c r="U28" i="7" s="1"/>
  <c r="W28" i="7" s="1"/>
  <c r="Y28" i="7" s="1"/>
  <c r="AA28" i="7" s="1"/>
  <c r="AC28" i="7" s="1"/>
  <c r="AE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E41" i="13"/>
  <c r="F41" i="13" s="1"/>
  <c r="E40" i="13"/>
  <c r="F40" i="13" s="1"/>
  <c r="E37" i="13"/>
  <c r="F37" i="13" s="1"/>
  <c r="E35" i="13"/>
  <c r="F35" i="13" s="1"/>
  <c r="E34" i="13"/>
  <c r="F34" i="13" s="1"/>
  <c r="E33" i="13"/>
  <c r="F33" i="13" s="1"/>
  <c r="E32" i="13"/>
  <c r="F32" i="13" s="1"/>
  <c r="E31" i="13"/>
  <c r="F31" i="13" s="1"/>
  <c r="E30" i="13"/>
  <c r="F30" i="13" s="1"/>
  <c r="E27" i="13"/>
  <c r="E25" i="13"/>
  <c r="E23" i="13"/>
  <c r="E22" i="13"/>
  <c r="E21" i="13"/>
  <c r="E20" i="13"/>
  <c r="E19" i="13"/>
  <c r="E18" i="13"/>
  <c r="E17" i="13"/>
  <c r="E15" i="13"/>
  <c r="E14" i="13"/>
  <c r="E13" i="13"/>
  <c r="F13" i="13" s="1"/>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7" i="4" s="1"/>
  <c r="B76" i="4"/>
  <c r="F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AC840" i="3"/>
  <c r="AG840" i="3"/>
  <c r="Z911" i="3"/>
  <c r="S38" i="4" l="1"/>
  <c r="E38" i="13" s="1"/>
  <c r="F42" i="13"/>
  <c r="C70" i="13"/>
  <c r="C77" i="13"/>
  <c r="T737" i="3"/>
  <c r="X737" i="3" s="1"/>
  <c r="AH737" i="3" s="1"/>
  <c r="T736" i="3"/>
  <c r="X736" i="3" s="1"/>
  <c r="AH736" i="3" s="1"/>
  <c r="T735" i="3"/>
  <c r="X735" i="3" s="1"/>
  <c r="AH735" i="3" s="1"/>
  <c r="T734" i="3"/>
  <c r="X734" i="3" s="1"/>
  <c r="AH734" i="3" s="1"/>
  <c r="T730" i="3"/>
  <c r="X730" i="3" s="1"/>
  <c r="AH730" i="3" s="1"/>
  <c r="T733" i="3"/>
  <c r="X733" i="3" s="1"/>
  <c r="AH733" i="3" s="1"/>
  <c r="T732" i="3"/>
  <c r="X732" i="3" s="1"/>
  <c r="AH732" i="3" s="1"/>
  <c r="T731" i="3"/>
  <c r="X731" i="3" s="1"/>
  <c r="AH731" i="3" s="1"/>
  <c r="T729" i="3"/>
  <c r="X729" i="3" s="1"/>
  <c r="AH729" i="3" s="1"/>
  <c r="T726" i="3"/>
  <c r="X726" i="3" s="1"/>
  <c r="AH726" i="3" s="1"/>
  <c r="T727" i="3"/>
  <c r="X727" i="3" s="1"/>
  <c r="AH727" i="3" s="1"/>
  <c r="T728" i="3"/>
  <c r="X728" i="3" s="1"/>
  <c r="AH728" i="3" s="1"/>
  <c r="C104" i="13"/>
  <c r="F104" i="13"/>
  <c r="C38" i="13"/>
  <c r="F96" i="13"/>
  <c r="F81" i="13"/>
  <c r="F38" i="13"/>
  <c r="C96" i="13"/>
  <c r="C81" i="13"/>
  <c r="C62" i="13"/>
  <c r="F54" i="13"/>
  <c r="C54" i="13"/>
  <c r="G77" i="4"/>
  <c r="R75"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I58" i="7"/>
  <c r="C9" i="11"/>
  <c r="B63" i="11"/>
  <c r="T63" i="4"/>
  <c r="B96" i="4"/>
  <c r="B38" i="4"/>
  <c r="D84" i="11"/>
  <c r="B54" i="13"/>
  <c r="K63" i="4"/>
  <c r="K97" i="4" s="1"/>
  <c r="K105" i="4" s="1"/>
  <c r="S63" i="4"/>
  <c r="E104" i="13"/>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7" i="7"/>
  <c r="G12" i="4"/>
  <c r="AF1023" i="3"/>
  <c r="G113" i="21"/>
  <c r="C63" i="4"/>
  <c r="B63" i="13" s="1"/>
  <c r="AY1012" i="3"/>
  <c r="I1057" i="3" s="1"/>
  <c r="C806" i="3"/>
  <c r="G40" i="7"/>
  <c r="G43" i="7" s="1"/>
  <c r="AG30"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O649" i="3"/>
  <c r="AG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R28" i="21" a="1"/>
  <c r="R28" i="21" s="1"/>
  <c r="AD27" i="15"/>
  <c r="ET761" i="3"/>
  <c r="T24" i="21"/>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F97" i="13" s="1"/>
  <c r="F105" i="13" s="1"/>
  <c r="F107" i="13" s="1"/>
  <c r="C63" i="13"/>
  <c r="C97" i="13" s="1"/>
  <c r="C105" i="13" s="1"/>
  <c r="G97" i="4"/>
  <c r="G105" i="4" s="1"/>
  <c r="I27" i="7"/>
  <c r="K27" i="7" s="1"/>
  <c r="M27" i="7" s="1"/>
  <c r="O27" i="7" s="1"/>
  <c r="Q27" i="7" s="1"/>
  <c r="S27" i="7" s="1"/>
  <c r="U27" i="7" s="1"/>
  <c r="W27" i="7" s="1"/>
  <c r="Y27" i="7" s="1"/>
  <c r="AA27" i="7" s="1"/>
  <c r="AC27" i="7" s="1"/>
  <c r="AE27" i="7" s="1"/>
  <c r="AG27" i="7" s="1"/>
  <c r="AJ634" i="20"/>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T18" i="21"/>
  <c r="G60" i="21" s="1"/>
  <c r="Y809" i="3"/>
  <c r="E4" i="7" s="1"/>
  <c r="E5"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G10" i="7" l="1"/>
  <c r="I10" i="7" s="1"/>
  <c r="K10" i="7" s="1"/>
  <c r="M10" i="7" s="1"/>
  <c r="O10" i="7" s="1"/>
  <c r="Q10" i="7" s="1"/>
  <c r="S10" i="7" s="1"/>
  <c r="U10" i="7" s="1"/>
  <c r="W10" i="7" s="1"/>
  <c r="Y10" i="7" s="1"/>
  <c r="AA10" i="7" s="1"/>
  <c r="AC10" i="7" s="1"/>
  <c r="AE10" i="7" s="1"/>
  <c r="AG10" i="7" s="1"/>
  <c r="O31" i="21"/>
  <c r="O30" i="21"/>
  <c r="O29" i="21"/>
  <c r="P29" i="21" s="1" a="1"/>
  <c r="P29" i="21" s="1"/>
  <c r="S29" i="21" s="1"/>
  <c r="O28" i="2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P30" i="21" a="1"/>
  <c r="P30" i="21" s="1"/>
  <c r="S30" i="21" s="1"/>
  <c r="P28" i="21" a="1"/>
  <c r="P28" i="21" s="1"/>
  <c r="S28" i="21" s="1"/>
  <c r="P27" i="21" a="1"/>
  <c r="P27" i="21" s="1"/>
  <c r="S27" i="21" s="1"/>
  <c r="P20" i="21" a="1"/>
  <c r="P20" i="21" s="1"/>
  <c r="S20" i="21" s="1"/>
  <c r="DU763" i="3"/>
  <c r="O764" i="3" s="1"/>
  <c r="BG761" i="3"/>
  <c r="BU761" i="3"/>
  <c r="AH761" i="3" s="1"/>
  <c r="BE43"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E11" i="7"/>
  <c r="AJ1001" i="3"/>
  <c r="AJ1038" i="3" s="1"/>
  <c r="E137" i="20"/>
  <c r="E138" i="20" s="1"/>
  <c r="AK142" i="20" s="1"/>
  <c r="AB1000" i="3"/>
  <c r="DU810" i="3"/>
  <c r="U386" i="20" s="1"/>
  <c r="P430" i="3"/>
  <c r="I6" i="7"/>
  <c r="G7" i="7"/>
  <c r="G11" i="7" s="1"/>
  <c r="O15"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K6" i="7"/>
  <c r="I7" i="7"/>
  <c r="I11" i="7" s="1"/>
  <c r="G26" i="21"/>
  <c r="F29" i="21"/>
  <c r="G29" i="21"/>
  <c r="Q15" i="7"/>
  <c r="Q8" i="7"/>
  <c r="T11" i="15" l="1"/>
  <c r="T23" i="15" s="1"/>
  <c r="Y11" i="15"/>
  <c r="Y23" i="15" s="1"/>
  <c r="Y26" i="15" s="1"/>
  <c r="Y28" i="15" s="1"/>
  <c r="BE74" i="3"/>
  <c r="AP566" i="20"/>
  <c r="U58" i="7"/>
  <c r="W53" i="7"/>
  <c r="AJ1062" i="3"/>
  <c r="AA1066" i="3" s="1"/>
  <c r="G1067" i="3" s="1"/>
  <c r="AP565" i="20"/>
  <c r="K5" i="7"/>
  <c r="O4" i="7"/>
  <c r="M5" i="7"/>
  <c r="M6" i="7"/>
  <c r="K7" i="7"/>
  <c r="S15" i="7"/>
  <c r="G93" i="21"/>
  <c r="G31" i="21"/>
  <c r="G33" i="21" s="1"/>
  <c r="E9" i="21" s="1"/>
  <c r="G102" i="21"/>
  <c r="G104" i="21" s="1"/>
  <c r="E16" i="21" s="1"/>
  <c r="G125" i="21"/>
  <c r="G110" i="21"/>
  <c r="S8" i="7"/>
  <c r="T26" i="15" l="1"/>
  <c r="T28" i="15" s="1"/>
  <c r="T29" i="15" s="1"/>
  <c r="Y64" i="15"/>
  <c r="Y68" i="15" s="1"/>
  <c r="Y69" i="15" s="1"/>
  <c r="AP567" i="20"/>
  <c r="G94" i="21"/>
  <c r="E15" i="21" s="1"/>
  <c r="W58" i="7"/>
  <c r="Y53" i="7"/>
  <c r="T24" i="15"/>
  <c r="AP570" i="20"/>
  <c r="AP569" i="20" s="1"/>
  <c r="K11" i="7"/>
  <c r="O5" i="7"/>
  <c r="Q4" i="7"/>
  <c r="M7" i="7"/>
  <c r="M11" i="7" s="1"/>
  <c r="O6" i="7"/>
  <c r="G115" i="21"/>
  <c r="G127" i="21"/>
  <c r="G111" i="21"/>
  <c r="U15" i="7"/>
  <c r="U8" i="7"/>
  <c r="AP572" i="20" l="1"/>
  <c r="AF565" i="20" s="1"/>
  <c r="AF566" i="20" s="1"/>
  <c r="AK572" i="20" s="1"/>
  <c r="T840" i="20" s="1"/>
  <c r="AF840" i="20" s="1"/>
  <c r="BE81" i="3" s="1"/>
  <c r="Y38" i="15"/>
  <c r="Y40" i="15" s="1"/>
  <c r="AA53" i="7"/>
  <c r="Y58" i="7"/>
  <c r="AD38" i="15"/>
  <c r="AD40" i="15" s="1"/>
  <c r="G129" i="21"/>
  <c r="E17" i="21" s="1"/>
  <c r="E14" i="21" s="1"/>
  <c r="E18" i="21" s="1"/>
  <c r="S4" i="7"/>
  <c r="Q5" i="7"/>
  <c r="O7" i="7"/>
  <c r="O11" i="7" s="1"/>
  <c r="Q6" i="7"/>
  <c r="W15" i="7"/>
  <c r="W8" i="7"/>
  <c r="Y41" i="15" l="1"/>
  <c r="AB56" i="15" s="1"/>
  <c r="M26" i="3" s="1"/>
  <c r="AC53" i="7"/>
  <c r="AA58" i="7"/>
  <c r="U4" i="7"/>
  <c r="S5" i="7"/>
  <c r="Q7" i="7"/>
  <c r="Q11" i="7" s="1"/>
  <c r="S6" i="7"/>
  <c r="Y15" i="7"/>
  <c r="Y8" i="7"/>
  <c r="BE19" i="3" l="1"/>
  <c r="AE53" i="7"/>
  <c r="AC58" i="7"/>
  <c r="AB57" i="15"/>
  <c r="P204" i="3"/>
  <c r="U5" i="7"/>
  <c r="W4" i="7"/>
  <c r="S7" i="7"/>
  <c r="S11" i="7" s="1"/>
  <c r="U6" i="7"/>
  <c r="AA15" i="7"/>
  <c r="AA8" i="7"/>
  <c r="AG53" i="7" l="1"/>
  <c r="AG58" i="7" s="1"/>
  <c r="AE58" i="7"/>
  <c r="AB59" i="15"/>
  <c r="AB77" i="15" s="1"/>
  <c r="AB78" i="15" s="1"/>
  <c r="I10" i="21" s="1"/>
  <c r="W5" i="7"/>
  <c r="Y4" i="7"/>
  <c r="U7" i="7"/>
  <c r="U11" i="7" s="1"/>
  <c r="W6" i="7"/>
  <c r="AC15" i="7"/>
  <c r="AC8" i="7"/>
  <c r="AB79" i="15" l="1"/>
  <c r="AA4" i="7"/>
  <c r="Y5" i="7"/>
  <c r="Y6" i="7"/>
  <c r="W7" i="7"/>
  <c r="W11" i="7" s="1"/>
  <c r="AE15" i="7"/>
  <c r="AE8" i="7"/>
  <c r="AB81" i="15" l="1"/>
  <c r="J82" i="15" s="1"/>
  <c r="M27" i="3"/>
  <c r="I11" i="21"/>
  <c r="I18" i="21" s="1"/>
  <c r="AA5" i="7"/>
  <c r="AC4" i="7"/>
  <c r="Y7" i="7"/>
  <c r="Y11" i="7" s="1"/>
  <c r="AA6" i="7"/>
  <c r="AG15" i="7"/>
  <c r="AG8" i="7"/>
  <c r="BE20" i="3" l="1"/>
  <c r="H4" i="21"/>
  <c r="P205" i="3"/>
  <c r="AC5" i="7"/>
  <c r="AE4" i="7"/>
  <c r="AC6" i="7"/>
  <c r="AA7" i="7"/>
  <c r="AA11" i="7" s="1"/>
  <c r="AE5" i="7" l="1"/>
  <c r="AG4" i="7"/>
  <c r="AE6" i="7"/>
  <c r="AC7" i="7"/>
  <c r="AC11" i="7" s="1"/>
  <c r="AG5" i="7" l="1"/>
  <c r="AE7" i="7"/>
  <c r="AE11" i="7" s="1"/>
  <c r="AG6" i="7"/>
  <c r="AG7" i="7" l="1"/>
  <c r="AG11" i="7" s="1"/>
  <c r="BH761" i="3" l="1"/>
  <c r="AC761" i="3" s="1"/>
  <c r="BE42" i="3" l="1"/>
  <c r="E92" i="20"/>
  <c r="E93" i="20" s="1"/>
  <c r="E94" i="20" s="1"/>
  <c r="AP94" i="20" s="1"/>
  <c r="E102" i="20"/>
  <c r="E105" i="20" s="1"/>
  <c r="AP105" i="20" s="1"/>
  <c r="AK108" i="20" l="1"/>
  <c r="T828" i="20" s="1"/>
  <c r="AF828" i="20" s="1"/>
  <c r="BE73" i="3" s="1"/>
  <c r="H3" i="21"/>
  <c r="AF843" i="20" l="1"/>
  <c r="BE70" i="3" s="1"/>
  <c r="H5" i="21"/>
  <c r="BE83" i="3" s="1"/>
  <c r="W870" i="3"/>
  <c r="E18" i="7" s="1"/>
  <c r="E22" i="7" l="1"/>
  <c r="E35" i="7" s="1"/>
  <c r="E37" i="7" s="1"/>
  <c r="E45" i="7" s="1"/>
  <c r="G18" i="7"/>
  <c r="I18" i="7" s="1"/>
  <c r="K18" i="7" s="1"/>
  <c r="AC892" i="3"/>
  <c r="AC894" i="3" s="1"/>
  <c r="G22" i="7" l="1"/>
  <c r="G35" i="7" s="1"/>
  <c r="G37" i="7" s="1"/>
  <c r="G49" i="7" s="1"/>
  <c r="E49" i="7"/>
  <c r="I22" i="7"/>
  <c r="I35" i="7" s="1"/>
  <c r="I37" i="7" s="1"/>
  <c r="I45" i="7" s="1"/>
  <c r="E47" i="7"/>
  <c r="E48" i="7"/>
  <c r="E60" i="7"/>
  <c r="K22" i="7"/>
  <c r="K35" i="7" s="1"/>
  <c r="K37" i="7" s="1"/>
  <c r="M18" i="7"/>
  <c r="G45" i="7" l="1"/>
  <c r="G60" i="7" s="1"/>
  <c r="I49" i="7"/>
  <c r="I60" i="7"/>
  <c r="I47" i="7"/>
  <c r="I48" i="7"/>
  <c r="M22" i="7"/>
  <c r="M35" i="7" s="1"/>
  <c r="M37" i="7" s="1"/>
  <c r="O18" i="7"/>
  <c r="K45" i="7"/>
  <c r="K49" i="7"/>
  <c r="E62" i="7"/>
  <c r="E66" i="7" l="1"/>
  <c r="E70" i="7" s="1"/>
  <c r="E72" i="7" s="1"/>
  <c r="G62" i="7"/>
  <c r="I62" i="7" s="1"/>
  <c r="G47" i="7"/>
  <c r="G48" i="7"/>
  <c r="G67" i="7"/>
  <c r="K47" i="7"/>
  <c r="K60" i="7"/>
  <c r="K48" i="7"/>
  <c r="Q18" i="7"/>
  <c r="O22" i="7"/>
  <c r="O35" i="7" s="1"/>
  <c r="O37" i="7" s="1"/>
  <c r="M45" i="7"/>
  <c r="M49" i="7"/>
  <c r="I67" i="7"/>
  <c r="K62" i="7" l="1"/>
  <c r="G70" i="7"/>
  <c r="G72" i="7" s="1"/>
  <c r="I70" i="7"/>
  <c r="I72" i="7" s="1"/>
  <c r="M60" i="7"/>
  <c r="M47" i="7"/>
  <c r="M48" i="7"/>
  <c r="O45" i="7"/>
  <c r="O49" i="7"/>
  <c r="Q22" i="7"/>
  <c r="Q35" i="7" s="1"/>
  <c r="Q37" i="7" s="1"/>
  <c r="S18" i="7"/>
  <c r="K67" i="7"/>
  <c r="M62" i="7" l="1"/>
  <c r="K70" i="7"/>
  <c r="K72" i="7" s="1"/>
  <c r="U18" i="7"/>
  <c r="S22" i="7"/>
  <c r="S35" i="7" s="1"/>
  <c r="S37" i="7" s="1"/>
  <c r="Q45" i="7"/>
  <c r="Q49" i="7"/>
  <c r="O48" i="7"/>
  <c r="O47" i="7"/>
  <c r="O60" i="7"/>
  <c r="M67" i="7"/>
  <c r="O62" i="7" l="1"/>
  <c r="M70" i="7"/>
  <c r="M72" i="7" s="1"/>
  <c r="O67" i="7"/>
  <c r="Q47" i="7"/>
  <c r="Q48" i="7"/>
  <c r="Q60" i="7"/>
  <c r="S45" i="7"/>
  <c r="S49" i="7"/>
  <c r="U22" i="7"/>
  <c r="U35" i="7" s="1"/>
  <c r="U37" i="7" s="1"/>
  <c r="W18" i="7"/>
  <c r="Q62" i="7" l="1"/>
  <c r="O70" i="7"/>
  <c r="O72" i="7" s="1"/>
  <c r="U45" i="7"/>
  <c r="U49" i="7"/>
  <c r="S47" i="7"/>
  <c r="S60" i="7"/>
  <c r="S48" i="7"/>
  <c r="Q67" i="7"/>
  <c r="W22" i="7"/>
  <c r="W35" i="7" s="1"/>
  <c r="W37" i="7" s="1"/>
  <c r="Y18" i="7"/>
  <c r="S62" i="7" l="1"/>
  <c r="Q70" i="7"/>
  <c r="Q72" i="7" s="1"/>
  <c r="AA18" i="7"/>
  <c r="Y22" i="7"/>
  <c r="Y35" i="7" s="1"/>
  <c r="Y37" i="7" s="1"/>
  <c r="W49" i="7"/>
  <c r="W45" i="7"/>
  <c r="S67" i="7"/>
  <c r="U47" i="7"/>
  <c r="U48" i="7"/>
  <c r="U60" i="7"/>
  <c r="U62" i="7" l="1"/>
  <c r="S70" i="7"/>
  <c r="S72" i="7" s="1"/>
  <c r="U67" i="7"/>
  <c r="W48" i="7"/>
  <c r="W47" i="7"/>
  <c r="W60" i="7"/>
  <c r="Y49" i="7"/>
  <c r="Y45" i="7"/>
  <c r="AC18" i="7"/>
  <c r="AA22" i="7"/>
  <c r="AA35" i="7" s="1"/>
  <c r="AA37" i="7" s="1"/>
  <c r="W62" i="7" l="1"/>
  <c r="U70" i="7"/>
  <c r="U72" i="7" s="1"/>
  <c r="AA49" i="7"/>
  <c r="AA45" i="7"/>
  <c r="AC22" i="7"/>
  <c r="AC35" i="7" s="1"/>
  <c r="AC37" i="7" s="1"/>
  <c r="AE18" i="7"/>
  <c r="Y48" i="7"/>
  <c r="Y60" i="7"/>
  <c r="Y47" i="7"/>
  <c r="W67" i="7"/>
  <c r="Y62" i="7" l="1"/>
  <c r="Y67" i="7"/>
  <c r="AG18" i="7"/>
  <c r="AG22" i="7" s="1"/>
  <c r="AG35" i="7" s="1"/>
  <c r="AG37" i="7" s="1"/>
  <c r="AE22" i="7"/>
  <c r="AE35" i="7" s="1"/>
  <c r="AE37" i="7" s="1"/>
  <c r="AC45" i="7"/>
  <c r="AC49" i="7"/>
  <c r="AA60" i="7"/>
  <c r="AA48" i="7"/>
  <c r="AA47" i="7"/>
  <c r="AA62" i="7" l="1"/>
  <c r="W70" i="7"/>
  <c r="W72" i="7" s="1"/>
  <c r="Y70" i="7"/>
  <c r="Y72" i="7" s="1"/>
  <c r="AA67" i="7"/>
  <c r="AC48" i="7"/>
  <c r="AC47" i="7"/>
  <c r="AC60" i="7"/>
  <c r="AE45" i="7"/>
  <c r="AE49" i="7"/>
  <c r="AG49" i="7"/>
  <c r="AG45" i="7"/>
  <c r="AC62" i="7" l="1"/>
  <c r="AA70" i="7"/>
  <c r="AA72" i="7" s="1"/>
  <c r="AG47" i="7"/>
  <c r="AG60" i="7"/>
  <c r="AG48" i="7"/>
  <c r="AE60" i="7"/>
  <c r="AE48" i="7"/>
  <c r="AE47" i="7"/>
  <c r="AC67" i="7"/>
  <c r="AE62" i="7" l="1"/>
  <c r="AG62" i="7" s="1"/>
  <c r="AC70" i="7"/>
  <c r="AC72" i="7" s="1"/>
  <c r="AE67" i="7"/>
  <c r="AG67" i="7"/>
  <c r="AE70" i="7" l="1"/>
  <c r="AE72" i="7" s="1"/>
  <c r="AG70" i="7"/>
  <c r="AG72" i="7" s="1"/>
  <c r="U207" i="24"/>
  <c r="U211"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 ref="C66" authorId="0" shapeId="0" xr:uid="{D2B0BDC4-BAC5-43FF-8EA4-2EFC7162E6D1}">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<sst xmlns="http://schemas.openxmlformats.org/spreadsheetml/2006/main" count="5075" uniqueCount="2797">
  <si>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</si>
  <si>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</si>
  <si>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</si>
  <si>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</si>
  <si>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</si>
  <si>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</si>
  <si>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</si>
  <si>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</si>
  <si>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</si>
  <si>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</si>
  <si>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</si>
  <si>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</si>
  <si>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</si>
  <si>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</si>
  <si>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</si>
  <si>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</si>
  <si>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</si>
  <si>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</si>
  <si>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</si>
  <si>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</si>
  <si>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</si>
  <si>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</si>
  <si>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</si>
  <si>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</si>
  <si>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</si>
  <si>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</si>
  <si>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</si>
  <si>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</si>
  <si>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</si>
  <si>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</si>
  <si>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</si>
  <si>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</si>
  <si>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</si>
  <si>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</si>
  <si>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</si>
  <si>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</si>
  <si>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</si>
  <si>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</si>
  <si>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</si>
  <si>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</si>
  <si>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</si>
  <si>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</si>
  <si>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</si>
  <si>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</si>
  <si>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</si>
  <si>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</si>
  <si>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</si>
  <si>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</si>
  <si>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</si>
  <si>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</si>
  <si>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</si>
  <si>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</si>
  <si>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</si>
  <si>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</si>
  <si>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</si>
  <si>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</si>
  <si>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</si>
  <si>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</si>
  <si>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</si>
  <si>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</si>
  <si>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</si>
  <si>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</si>
  <si>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</si>
  <si>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</si>
  <si>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</si>
  <si>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</si>
  <si>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</si>
  <si>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</si>
  <si>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</si>
  <si>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</si>
  <si>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</si>
  <si>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</si>
  <si>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</si>
  <si>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</si>
  <si>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</si>
  <si>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</si>
  <si>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</si>
  <si>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</si>
  <si>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</si>
  <si>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</si>
  <si>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</si>
  <si>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</si>
  <si>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</si>
  <si>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</si>
  <si>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</si>
  <si>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</si>
  <si>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</si>
  <si>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</si>
  <si>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</si>
  <si>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</si>
  <si>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</si>
  <si>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</si>
  <si>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</si>
  <si>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</si>
  <si>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</si>
  <si>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</si>
  <si>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</si>
  <si>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</si>
  <si>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</si>
  <si>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</si>
  <si>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</si>
  <si>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</si>
  <si>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</si>
  <si>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</si>
  <si>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</si>
  <si>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</si>
  <si>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</si>
  <si>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</si>
  <si>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</si>
  <si>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</si>
  <si>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</si>
  <si>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</si>
  <si>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</si>
  <si>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</si>
  <si>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</si>
  <si>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</si>
  <si>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</si>
  <si>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</si>
  <si>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</si>
  <si>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</si>
  <si>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</si>
  <si>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</si>
  <si>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</si>
  <si>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</si>
  <si>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</si>
  <si>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</si>
  <si>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</si>
  <si>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</si>
  <si>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</si>
  <si>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</si>
  <si>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</si>
  <si>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</si>
  <si>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</si>
  <si>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</si>
  <si>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</si>
  <si>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</si>
  <si>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</si>
  <si>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</si>
  <si>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</si>
  <si>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</si>
  <si>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</si>
  <si>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</si>
  <si>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</si>
  <si>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</si>
  <si>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</si>
  <si>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</si>
  <si>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</si>
  <si>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</si>
  <si>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</si>
  <si>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</si>
  <si>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</si>
  <si>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</si>
  <si>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</si>
  <si>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</si>
  <si>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</si>
  <si>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</si>
  <si>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</si>
  <si>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</si>
  <si>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</si>
  <si>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</si>
  <si>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</si>
  <si>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</si>
  <si>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</si>
  <si>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</si>
  <si>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</si>
  <si>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</si>
  <si>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</si>
  <si>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</si>
  <si>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</si>
  <si>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</si>
  <si>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</si>
  <si>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</si>
  <si>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</si>
  <si>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</si>
  <si>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</si>
  <si>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</si>
  <si>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</si>
  <si>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</si>
  <si>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</si>
  <si>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</si>
  <si>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</si>
  <si>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</si>
  <si>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</si>
  <si>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</si>
  <si>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</si>
  <si>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</si>
  <si>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</si>
  <si>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</si>
  <si>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</si>
  <si>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</si>
  <si>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</si>
  <si>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</si>
  <si>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</si>
  <si>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</si>
  <si>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</si>
  <si>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</si>
  <si>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</si>
  <si>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</si>
  <si>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</si>
  <si>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</si>
  <si>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</si>
  <si>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</si>
  <si>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</si>
  <si>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</si>
  <si>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</si>
  <si>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</si>
  <si>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</si>
  <si>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</si>
  <si>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</si>
  <si>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</si>
  <si>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</si>
  <si>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</si>
  <si>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</si>
  <si>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</si>
  <si>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</si>
  <si>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</si>
  <si>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</si>
  <si>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</si>
  <si>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</si>
  <si>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</si>
  <si>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</si>
  <si>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</si>
  <si>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</si>
  <si>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</si>
  <si>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</si>
  <si>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</si>
  <si>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</si>
  <si>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</si>
  <si>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</si>
  <si>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</si>
  <si>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</si>
  <si>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</si>
  <si>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</si>
  <si>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</si>
  <si>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</si>
  <si>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</si>
  <si>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</si>
  <si>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</si>
  <si>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</si>
  <si>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</si>
  <si>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</si>
  <si>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</si>
  <si>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</si>
  <si>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</si>
  <si>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</si>
  <si>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</si>
  <si>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</si>
  <si>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</si>
  <si>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</si>
  <si>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</si>
  <si>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</si>
  <si>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</si>
  <si>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</si>
  <si>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</si>
  <si>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</si>
  <si>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</si>
  <si>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</si>
  <si>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</si>
  <si>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</si>
  <si>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</si>
  <si>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</si>
  <si>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</si>
  <si>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</si>
  <si>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</si>
  <si>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</si>
  <si>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</si>
  <si>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</si>
  <si>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</si>
  <si>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</si>
  <si>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</si>
  <si>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</si>
  <si>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</si>
  <si>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</si>
  <si>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</si>
  <si>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</si>
  <si>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</si>
  <si>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</si>
  <si>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</si>
  <si>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</si>
  <si>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</si>
  <si>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</si>
  <si>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</si>
  <si>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</si>
  <si>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</si>
  <si>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</si>
  <si>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</si>
  <si>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</si>
  <si>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</si>
  <si>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</si>
  <si>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</si>
  <si>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</si>
  <si>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</si>
  <si>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</si>
  <si>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</si>
  <si>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</si>
  <si>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</si>
  <si>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</si>
  <si>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</si>
  <si>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</si>
  <si>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</si>
  <si>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</si>
  <si>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</si>
  <si>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</si>
  <si>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</si>
  <si>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</si>
  <si>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</si>
  <si>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</si>
  <si>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</si>
  <si>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</si>
  <si>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</si>
  <si>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</si>
  <si>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</si>
  <si>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</si>
  <si>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</si>
  <si>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</si>
  <si>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</si>
  <si>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</si>
  <si>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</si>
  <si>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</si>
  <si>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</si>
  <si>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</si>
  <si>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</si>
  <si>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</si>
  <si>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</si>
  <si>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</si>
  <si>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</si>
  <si>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</si>
  <si>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</si>
  <si>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</si>
  <si>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</si>
  <si>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</si>
  <si>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</si>
  <si>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</si>
  <si>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</si>
  <si>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</si>
  <si>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</si>
  <si>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</si>
  <si>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</si>
  <si>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</si>
  <si>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</si>
  <si>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</si>
  <si>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</si>
  <si>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</si>
  <si>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</si>
  <si>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</si>
  <si>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</si>
  <si>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</si>
  <si>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</si>
  <si>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</si>
  <si>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</si>
  <si>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</si>
  <si>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</si>
  <si>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</si>
  <si>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</si>
  <si>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</si>
  <si>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</si>
  <si>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</si>
  <si>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</si>
  <si>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</si>
  <si>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</si>
  <si>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</si>
  <si>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</si>
  <si>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</si>
  <si>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</si>
  <si>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</si>
  <si>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</si>
  <si>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</si>
  <si>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</si>
  <si>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</si>
  <si>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</si>
  <si>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</si>
  <si>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</si>
  <si>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</si>
  <si>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</si>
  <si>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</si>
  <si>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</si>
  <si>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</si>
  <si>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</si>
  <si>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</si>
  <si>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</si>
  <si>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</si>
  <si>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</si>
  <si>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</si>
  <si>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</si>
  <si>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</si>
  <si>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</si>
  <si>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</si>
  <si>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</si>
  <si>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</si>
  <si>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</si>
  <si>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</si>
  <si>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</si>
  <si>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</si>
  <si>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</si>
  <si>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</si>
  <si>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</si>
  <si>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</si>
  <si>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</si>
  <si>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</si>
  <si>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</si>
  <si>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</si>
  <si>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</si>
  <si>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</si>
  <si>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</si>
  <si>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</si>
  <si>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</si>
  <si>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</si>
  <si>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</si>
  <si>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</si>
  <si>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</si>
  <si>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</si>
  <si>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</si>
  <si>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</si>
  <si>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</si>
  <si>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</si>
  <si>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</si>
  <si>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</si>
  <si>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</si>
  <si>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</si>
  <si>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</si>
  <si>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</si>
  <si>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</si>
  <si>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</si>
  <si>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</si>
  <si>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</si>
  <si>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</si>
  <si>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</si>
  <si>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</si>
  <si>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</si>
  <si>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</si>
  <si>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</si>
  <si>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</si>
  <si>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</si>
  <si>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</si>
  <si>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</si>
  <si>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</si>
  <si>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</si>
  <si>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</si>
  <si>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</si>
  <si>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</si>
  <si>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</si>
  <si>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</si>
  <si>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</si>
  <si>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</si>
  <si>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</si>
  <si>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</si>
  <si>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</si>
  <si>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</si>
  <si>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</si>
  <si>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</si>
  <si>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</si>
  <si>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</si>
  <si>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</si>
  <si>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</si>
  <si>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</si>
  <si>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</si>
  <si>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</si>
  <si>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</si>
  <si>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</si>
  <si>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</si>
  <si>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</si>
  <si>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</si>
  <si>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</si>
  <si>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</si>
  <si>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</si>
  <si>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</si>
  <si>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</si>
  <si>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</si>
  <si>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</si>
  <si>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</si>
  <si>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</si>
  <si>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</si>
  <si>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</si>
  <si>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</si>
  <si>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</si>
  <si>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</si>
  <si>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</si>
  <si>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</si>
  <si>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</si>
  <si>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</si>
  <si>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</si>
  <si>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</si>
  <si>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</si>
  <si>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</si>
  <si>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</si>
  <si>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</si>
  <si>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</si>
  <si>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</si>
  <si>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</si>
  <si>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</si>
  <si>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</si>
  <si>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</si>
  <si>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</si>
  <si>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</si>
  <si>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</si>
  <si>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</si>
  <si>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</si>
  <si>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</si>
  <si>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</si>
  <si>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</si>
  <si>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</si>
  <si>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</si>
  <si>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</si>
  <si>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</si>
  <si>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</si>
  <si>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</si>
  <si>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</si>
  <si>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</si>
  <si>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</si>
  <si>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</si>
  <si>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</si>
  <si>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</si>
  <si>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</si>
  <si>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</si>
  <si>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</si>
  <si>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</si>
  <si>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</si>
  <si>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</si>
  <si>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</si>
  <si>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</si>
  <si>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</si>
  <si>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</si>
  <si>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</si>
  <si>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</si>
  <si>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</si>
  <si>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</si>
  <si>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</si>
  <si>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</si>
  <si>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</si>
  <si>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</si>
  <si>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</si>
  <si>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</si>
  <si>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</si>
  <si>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</si>
  <si>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</si>
  <si>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</si>
  <si>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</si>
  <si>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</si>
  <si>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</si>
  <si>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</si>
  <si>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</si>
  <si>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</si>
  <si>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</si>
  <si>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</si>
  <si>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</si>
  <si>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</si>
  <si>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</si>
  <si>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</si>
  <si>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</si>
  <si>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</si>
  <si>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</si>
  <si>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</si>
  <si>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</si>
  <si>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</si>
  <si>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</si>
  <si>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</si>
  <si>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</si>
  <si>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</si>
  <si>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</si>
  <si>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</si>
  <si>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</si>
  <si>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</si>
  <si>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</si>
  <si>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</si>
  <si>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</si>
  <si>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</si>
  <si>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</si>
  <si>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</si>
  <si>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</si>
  <si>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</si>
  <si>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</si>
  <si>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</si>
  <si>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</si>
  <si>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</si>
  <si>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</si>
  <si>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</si>
  <si>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</si>
  <si>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</si>
  <si>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</si>
  <si>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</si>
  <si>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</si>
  <si>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</si>
  <si>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</si>
  <si>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</si>
  <si>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</si>
  <si>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</si>
  <si>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</si>
  <si>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</si>
  <si>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</si>
  <si>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</si>
  <si>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</si>
  <si>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</si>
  <si>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</si>
  <si>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</si>
  <si>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</si>
  <si>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</si>
  <si>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</si>
  <si>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</si>
  <si>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</si>
  <si>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</si>
  <si>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</si>
  <si>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</si>
  <si>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</si>
  <si>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</si>
  <si>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</si>
  <si>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</si>
  <si>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</si>
  <si>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</si>
  <si>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</si>
  <si>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</si>
  <si>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</si>
  <si>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</si>
  <si>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</si>
  <si>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</si>
  <si>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</si>
  <si>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</si>
  <si>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</si>
  <si>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</si>
  <si>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</si>
  <si>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</si>
  <si>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</si>
  <si>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</si>
  <si>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</si>
  <si>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</si>
  <si>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</si>
  <si>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</si>
  <si>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</si>
  <si>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</si>
  <si>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</si>
  <si>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</si>
  <si>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</si>
  <si>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</si>
  <si>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</si>
  <si>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</si>
  <si>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</si>
  <si>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</si>
  <si>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</si>
  <si>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</si>
  <si>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</si>
  <si>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</si>
  <si>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</si>
  <si>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</si>
  <si>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</si>
  <si>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</si>
  <si>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</si>
  <si>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</si>
  <si>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</si>
  <si>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</si>
  <si>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</si>
  <si>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</si>
  <si>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</si>
  <si>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</si>
  <si>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</si>
  <si>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</si>
  <si>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</si>
  <si>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</si>
  <si>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</si>
  <si>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</si>
  <si>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</si>
  <si>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</si>
  <si>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</si>
  <si>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</si>
  <si>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</si>
  <si>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</si>
  <si>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</si>
  <si>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</si>
  <si>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</si>
  <si>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</si>
  <si>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</si>
  <si>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</si>
  <si>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</si>
  <si>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</si>
  <si>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</si>
  <si>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</si>
  <si>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</si>
  <si>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</si>
  <si>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</si>
  <si>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</si>
  <si>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</si>
  <si>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</si>
  <si>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</si>
  <si>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</si>
  <si>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</si>
  <si>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</si>
  <si>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</si>
  <si>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</si>
  <si>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</si>
  <si>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</si>
  <si>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</si>
  <si>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</si>
  <si>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</si>
  <si>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</si>
  <si>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</si>
  <si>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</si>
  <si>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</si>
  <si>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</si>
  <si>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</si>
  <si>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</si>
  <si>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</si>
  <si>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</si>
  <si>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</si>
  <si>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</si>
  <si>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</si>
  <si>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</si>
  <si>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</si>
  <si>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</si>
  <si>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</si>
  <si>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</si>
  <si>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</si>
  <si>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</si>
  <si>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</si>
  <si>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</si>
  <si>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</si>
  <si>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</si>
  <si>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</si>
  <si>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</si>
  <si>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</si>
  <si>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</si>
  <si>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</si>
  <si>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</si>
  <si>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</si>
  <si>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</si>
  <si>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</si>
  <si>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</si>
  <si>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</si>
  <si>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</si>
  <si>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</si>
  <si>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</si>
  <si>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</si>
  <si>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</si>
  <si>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</si>
  <si>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</si>
  <si>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</si>
  <si>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</si>
  <si>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</si>
  <si>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</si>
  <si>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</si>
  <si>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</si>
  <si>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</si>
  <si>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</si>
  <si>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</si>
  <si>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</si>
  <si>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</si>
  <si>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</si>
  <si>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</si>
  <si>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</si>
  <si>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</si>
  <si>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</si>
  <si>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</si>
  <si>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</si>
  <si>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</si>
  <si>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</si>
  <si>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</si>
  <si>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</si>
  <si>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</si>
  <si>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</si>
  <si>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</si>
  <si>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</si>
  <si>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</si>
  <si>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</si>
  <si>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</si>
  <si>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</si>
  <si>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</si>
  <si>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</si>
  <si>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</si>
  <si>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</si>
  <si>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</si>
  <si>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</si>
  <si>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</si>
  <si>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</si>
  <si>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</si>
  <si>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</si>
  <si>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</si>
  <si>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</si>
  <si>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</si>
  <si>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</si>
  <si>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</si>
  <si>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</si>
  <si>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</si>
  <si>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</si>
  <si>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</si>
  <si>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</si>
  <si>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</si>
  <si>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</si>
  <si>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</si>
  <si>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</si>
  <si>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</si>
  <si>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</si>
  <si>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</si>
  <si>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</si>
  <si>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</si>
  <si>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</si>
  <si>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</si>
  <si>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</si>
  <si>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</si>
  <si>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</si>
  <si>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</si>
  <si>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</si>
  <si>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</si>
  <si>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</si>
  <si>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</si>
  <si>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</si>
  <si>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</si>
  <si>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</si>
  <si>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</si>
  <si>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</si>
  <si>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</si>
  <si>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</si>
  <si>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</si>
  <si>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</si>
  <si>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</si>
  <si>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</si>
  <si>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</si>
  <si>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</si>
  <si>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</si>
  <si>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</si>
  <si>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</si>
  <si>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</si>
  <si>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</si>
  <si>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</si>
  <si>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</si>
  <si>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</si>
  <si>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</si>
  <si>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</si>
  <si>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</si>
  <si>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</si>
  <si>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</si>
  <si>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</si>
  <si>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</si>
  <si>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</si>
  <si>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</si>
  <si>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</si>
  <si>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</si>
  <si>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</si>
  <si>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</si>
  <si>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</si>
  <si>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</si>
  <si>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</si>
  <si>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</si>
  <si>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</si>
  <si>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</si>
  <si>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</si>
  <si>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</si>
  <si>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</si>
  <si>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</si>
  <si>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</si>
  <si>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</si>
  <si>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</si>
  <si>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</si>
  <si>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</si>
  <si>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</si>
  <si>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</si>
  <si>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</si>
  <si>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</si>
  <si>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</si>
  <si>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</si>
  <si>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</si>
  <si>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</si>
  <si>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</si>
  <si>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</si>
  <si>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</si>
  <si>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</si>
  <si>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</si>
  <si>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</si>
  <si>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</si>
  <si>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</si>
  <si>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</si>
  <si>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</si>
  <si>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</si>
  <si>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</si>
  <si>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</si>
  <si>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</si>
  <si>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</si>
  <si>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</si>
  <si>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</si>
  <si>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</si>
  <si>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</si>
  <si>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</si>
  <si>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</si>
  <si>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</si>
  <si>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</si>
  <si>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</si>
  <si>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</si>
  <si>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</si>
  <si>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</si>
  <si>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</si>
  <si>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</si>
  <si>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</si>
  <si>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</si>
  <si>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</si>
  <si>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</si>
  <si>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</si>
  <si>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</si>
  <si>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</si>
  <si>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</si>
  <si>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</si>
  <si>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</si>
  <si>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</si>
  <si>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</si>
  <si>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</si>
  <si>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</si>
  <si>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</si>
  <si>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</si>
  <si>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</si>
  <si>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</si>
  <si>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</si>
  <si>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</si>
  <si>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</si>
  <si>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</si>
  <si>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</si>
  <si>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</si>
  <si>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</si>
  <si>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</si>
  <si>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</si>
  <si>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</si>
  <si>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</si>
  <si>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</si>
  <si>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</si>
  <si>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</si>
  <si>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</si>
  <si>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</si>
  <si>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</si>
  <si>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</si>
  <si>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</si>
  <si>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</si>
  <si>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</si>
  <si>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</si>
  <si>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</si>
  <si>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</si>
  <si>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</si>
  <si>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</si>
  <si>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</si>
  <si>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</si>
  <si>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</si>
  <si>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</si>
  <si>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</si>
  <si>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</si>
  <si>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</si>
  <si>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</si>
  <si>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</si>
  <si>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</si>
  <si>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</si>
  <si>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</si>
  <si>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</si>
  <si>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</si>
  <si>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</si>
  <si>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</si>
  <si>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</si>
  <si>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</si>
  <si>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</si>
  <si>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</si>
  <si>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</si>
  <si>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</si>
  <si>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</si>
  <si>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</si>
  <si>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</si>
  <si>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</si>
  <si>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</si>
  <si>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</si>
  <si>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</si>
  <si>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</si>
  <si>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</si>
  <si>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</si>
  <si>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</si>
  <si>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</si>
  <si>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</si>
  <si>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</si>
  <si>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</si>
  <si>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</si>
  <si>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</si>
  <si>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</si>
  <si>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</si>
  <si>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</si>
  <si>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</si>
  <si>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</si>
  <si>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</si>
  <si>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</si>
  <si>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</si>
  <si>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</si>
  <si>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</si>
  <si>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</si>
  <si>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</si>
  <si>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</si>
  <si>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</si>
  <si>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</si>
  <si>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</si>
  <si>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</si>
  <si>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</si>
  <si>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</si>
  <si>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</si>
  <si>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</si>
  <si>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</si>
  <si>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</si>
  <si>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</si>
  <si>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</si>
  <si>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</si>
  <si>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</si>
  <si>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</si>
  <si>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</si>
  <si>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</si>
  <si>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</si>
  <si>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</si>
  <si>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</si>
  <si>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</si>
  <si>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</si>
  <si>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</si>
  <si>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</si>
  <si>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</si>
  <si>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</si>
  <si>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</si>
  <si>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</si>
  <si>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</si>
  <si>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</si>
  <si>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</si>
  <si>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</si>
  <si>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</si>
  <si>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</si>
  <si>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</si>
  <si>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</si>
  <si>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</si>
  <si>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</si>
  <si>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</si>
  <si>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</si>
  <si>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</si>
  <si>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</si>
  <si>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</si>
  <si>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</si>
  <si>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</si>
  <si>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</si>
  <si>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</si>
  <si>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</si>
  <si>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</si>
  <si>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</si>
  <si>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</si>
  <si>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</si>
  <si>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</si>
  <si>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</si>
  <si>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</si>
  <si>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</si>
  <si>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</si>
  <si>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</si>
  <si>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</si>
  <si>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</si>
  <si>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</si>
  <si>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</si>
  <si>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</si>
  <si>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</si>
  <si>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</si>
  <si>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</si>
  <si>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</si>
  <si>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</si>
  <si>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</si>
  <si>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</si>
  <si>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</si>
  <si>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</si>
  <si>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</si>
  <si>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</si>
  <si>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</si>
  <si>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</si>
  <si>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</si>
  <si>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</si>
  <si>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</si>
  <si>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</si>
  <si>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</si>
  <si>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</si>
  <si>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</si>
  <si>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</si>
  <si>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</si>
  <si>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</si>
  <si>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</si>
  <si>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</si>
  <si>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</si>
  <si>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</si>
  <si>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</si>
  <si>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</si>
  <si>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</si>
  <si>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</si>
  <si>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</si>
  <si>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</si>
  <si>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</si>
  <si>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</si>
  <si>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</si>
  <si>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</si>
  <si>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</si>
  <si>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</si>
  <si>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</si>
  <si>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</si>
  <si>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</si>
  <si>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</si>
  <si>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</si>
  <si>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</si>
  <si>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</si>
  <si>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</si>
  <si>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</si>
  <si>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</si>
  <si>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</si>
  <si>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</si>
  <si>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</si>
  <si>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</si>
  <si>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</si>
  <si>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</si>
  <si>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</si>
  <si>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</si>
  <si>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</si>
  <si>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</si>
  <si>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</si>
  <si>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</si>
  <si>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</si>
  <si>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</si>
  <si>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</si>
  <si>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</si>
  <si>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</si>
  <si>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</si>
  <si>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</si>
  <si>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</si>
  <si>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</si>
  <si>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</si>
  <si>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</si>
  <si>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</si>
  <si>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</si>
  <si>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</si>
  <si>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</si>
  <si>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</si>
  <si>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</si>
  <si>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</si>
  <si>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</si>
  <si>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</si>
  <si>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</si>
  <si>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</si>
  <si>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</si>
  <si>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</si>
  <si>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</si>
  <si>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</si>
  <si>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</si>
  <si>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</si>
  <si>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</si>
  <si>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</si>
  <si>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</si>
  <si>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</si>
  <si>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</si>
  <si>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</si>
  <si>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</si>
  <si>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</si>
  <si>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</si>
  <si>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</si>
  <si>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</si>
  <si>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</si>
  <si>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</si>
  <si>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</si>
  <si>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</si>
  <si>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</si>
  <si>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</si>
  <si>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</si>
  <si>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</si>
  <si>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</si>
  <si>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</si>
  <si>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</si>
  <si>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</si>
  <si>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</si>
  <si>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</si>
  <si>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</si>
  <si>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</si>
  <si>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</si>
  <si>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</si>
  <si>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</si>
  <si>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</si>
  <si>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</si>
  <si>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</si>
  <si>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</si>
  <si>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</si>
  <si>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</si>
  <si>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</si>
  <si>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</si>
  <si>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</si>
  <si>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</si>
  <si>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</si>
  <si>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</si>
  <si>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</si>
  <si>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</si>
  <si>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</si>
  <si>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</si>
  <si>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</si>
  <si>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</si>
  <si>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</si>
  <si>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</si>
  <si>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</si>
  <si>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</si>
  <si>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</si>
  <si>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</si>
  <si>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</si>
  <si>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</si>
  <si>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</si>
  <si>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</si>
  <si>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</si>
  <si>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</si>
  <si>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</si>
  <si>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</si>
  <si>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</si>
  <si>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</si>
  <si>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</si>
  <si>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</si>
  <si>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</si>
  <si>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</si>
  <si>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</si>
  <si>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</si>
  <si>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</si>
  <si>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</si>
  <si>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</si>
  <si>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</si>
  <si>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</si>
  <si>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</si>
  <si>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</si>
  <si>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</si>
  <si>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</si>
  <si>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</si>
  <si>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</si>
  <si>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</si>
  <si>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</si>
  <si>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</si>
  <si>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</si>
  <si>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</si>
  <si>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</si>
  <si>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</si>
  <si>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</si>
  <si>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</si>
  <si>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</si>
  <si>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</si>
  <si>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</si>
  <si>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</si>
  <si>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</si>
  <si>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</si>
  <si>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</si>
  <si>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</si>
  <si>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</si>
  <si>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</si>
  <si>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</si>
  <si>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</si>
  <si>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</si>
  <si>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</si>
  <si>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</si>
  <si>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</si>
  <si>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</si>
  <si>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</si>
  <si>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</si>
  <si>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</si>
  <si>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</si>
  <si>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</si>
  <si>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</si>
  <si>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</si>
  <si>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</si>
  <si>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</si>
  <si>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</si>
  <si>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</si>
  <si>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</si>
  <si>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</si>
  <si>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</si>
  <si>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</si>
  <si>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</si>
  <si>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</si>
  <si>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</si>
  <si>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</si>
  <si>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</si>
  <si>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</si>
  <si>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</si>
  <si>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</si>
  <si>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</si>
  <si>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</si>
  <si>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</si>
  <si>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</si>
  <si>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</si>
  <si>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</si>
  <si>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</si>
  <si>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</si>
  <si>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</si>
  <si>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</si>
  <si>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</si>
  <si>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</si>
  <si>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</si>
  <si>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</si>
  <si>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</si>
  <si>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</si>
  <si>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</si>
  <si>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</si>
  <si>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</si>
  <si>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</si>
  <si>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</si>
  <si>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</si>
  <si>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</si>
  <si>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</si>
  <si>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</si>
  <si>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</si>
  <si>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</si>
  <si>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</si>
  <si>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</si>
  <si>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</si>
  <si>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</si>
  <si>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</si>
  <si>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</si>
  <si>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</si>
  <si>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</si>
  <si>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</si>
  <si>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</si>
  <si>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</si>
  <si>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</si>
  <si>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</si>
  <si>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</si>
  <si>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</si>
  <si>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</si>
  <si>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</si>
  <si>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</si>
  <si>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</si>
  <si>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</si>
  <si>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</si>
  <si>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</si>
  <si>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</si>
  <si>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</si>
  <si>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</si>
  <si>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</si>
  <si>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</si>
  <si>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</si>
  <si>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</si>
  <si>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</si>
  <si>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</si>
  <si>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</si>
  <si>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</si>
  <si>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</si>
  <si>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</si>
  <si>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</si>
  <si>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</si>
  <si>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</si>
  <si>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</si>
  <si>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</si>
  <si>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</si>
  <si>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</si>
  <si>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</si>
  <si>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</si>
  <si>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</si>
  <si>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</si>
  <si>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</si>
  <si>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</si>
  <si>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</si>
  <si>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</si>
  <si>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</si>
  <si>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</si>
  <si>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</si>
  <si>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</si>
  <si>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</si>
  <si>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</si>
  <si>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</si>
  <si>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</si>
  <si>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</si>
  <si>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</si>
  <si>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</si>
  <si>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</si>
  <si>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</si>
  <si>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</si>
  <si>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</si>
  <si>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</si>
  <si>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</si>
  <si>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</si>
  <si>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</si>
  <si>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</si>
  <si>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</si>
  <si>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</si>
  <si>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</si>
  <si>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</si>
  <si>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</si>
  <si>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</si>
  <si>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</si>
  <si>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</si>
  <si>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</si>
  <si>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</si>
  <si>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</si>
  <si>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</si>
  <si>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</si>
  <si>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</si>
  <si>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</si>
  <si>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</si>
  <si>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</si>
  <si>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</si>
  <si>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</si>
  <si>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</si>
  <si>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</si>
  <si>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</si>
  <si>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</si>
  <si>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</si>
  <si>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</si>
  <si>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</si>
  <si>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</si>
  <si>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</si>
  <si>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</si>
  <si>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</si>
  <si>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</si>
  <si>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</si>
  <si>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</si>
  <si>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</si>
  <si>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</si>
  <si>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</si>
  <si>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</si>
  <si>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</si>
  <si>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</si>
  <si>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</si>
  <si>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</si>
  <si>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</si>
  <si>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</si>
  <si>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</si>
  <si>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</si>
  <si>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</si>
  <si>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</si>
  <si>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</si>
  <si>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</si>
  <si>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</si>
  <si>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</si>
  <si>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</si>
  <si>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</si>
  <si>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</si>
  <si>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</si>
  <si>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</si>
  <si>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</si>
  <si>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</si>
  <si>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</si>
  <si>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</si>
  <si>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</si>
  <si>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</si>
  <si>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</si>
  <si>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</si>
  <si>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</si>
  <si>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</si>
  <si>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</si>
  <si>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</si>
  <si>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</si>
  <si>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</si>
  <si>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</si>
  <si>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</si>
  <si>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</si>
  <si>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</si>
  <si>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</si>
  <si>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</si>
  <si>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</si>
  <si>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</si>
  <si>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</si>
  <si>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</si>
  <si>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</si>
  <si>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</si>
  <si>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</si>
  <si>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</si>
  <si>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</si>
  <si>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</si>
  <si>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</si>
  <si>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</si>
  <si>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</si>
  <si>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</si>
  <si>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</si>
  <si>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</si>
  <si>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</si>
  <si>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</si>
  <si>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</si>
  <si>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</si>
  <si>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</si>
  <si>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</si>
  <si>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</si>
  <si>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</si>
  <si>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</si>
  <si>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</si>
  <si>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</si>
  <si>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</si>
  <si>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</si>
  <si>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</si>
  <si>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</si>
  <si>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</si>
  <si>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</si>
  <si>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</si>
  <si>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</si>
  <si>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</si>
  <si>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</si>
  <si>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</si>
  <si>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</si>
  <si>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</si>
  <si>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</si>
  <si>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</si>
  <si>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</si>
  <si>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</si>
  <si>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</si>
  <si>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</si>
  <si>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</si>
  <si>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</si>
  <si>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</si>
  <si>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</si>
  <si>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</si>
  <si>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</si>
  <si>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</si>
  <si>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</si>
  <si>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</si>
  <si>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</si>
  <si>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</si>
  <si>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</si>
  <si>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</si>
  <si>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</si>
  <si>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</si>
  <si>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</si>
  <si>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</si>
  <si>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</si>
  <si>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</si>
  <si>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</si>
  <si>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</si>
  <si>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</si>
  <si>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</si>
  <si>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</si>
  <si>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</si>
  <si>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</si>
  <si>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</si>
  <si>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</si>
  <si>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</si>
  <si>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</si>
  <si>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</si>
  <si>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</si>
  <si>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</si>
  <si>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</si>
  <si>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</si>
  <si>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</si>
  <si>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</si>
  <si>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</si>
  <si>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</si>
  <si>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</si>
  <si>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</si>
  <si>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</si>
  <si>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</si>
  <si>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</si>
  <si>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</si>
  <si>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</si>
  <si>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</si>
  <si>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</si>
  <si>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</si>
  <si>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</si>
  <si>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</si>
  <si>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</si>
  <si>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</si>
  <si>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</si>
  <si>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</si>
  <si>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</si>
  <si>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</si>
  <si>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</si>
  <si>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</si>
  <si>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</si>
  <si>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</si>
  <si>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</si>
  <si>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</si>
  <si>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</si>
  <si>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</si>
  <si>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</si>
  <si>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</si>
  <si>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</si>
  <si>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</si>
  <si>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</si>
  <si>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</si>
  <si>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</si>
  <si>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</si>
  <si>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</si>
  <si>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</si>
  <si>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</si>
  <si>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</si>
  <si>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</si>
  <si>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</si>
  <si>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</si>
  <si>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</si>
  <si>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</si>
  <si>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</si>
  <si>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</si>
  <si>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</si>
  <si>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</si>
  <si>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</si>
  <si>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</si>
  <si>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</si>
  <si>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</si>
  <si>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</si>
  <si>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</si>
  <si>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</si>
  <si>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</si>
  <si>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</si>
  <si>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</si>
  <si>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</si>
  <si>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</si>
  <si>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</si>
  <si>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</si>
  <si>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</si>
  <si>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</si>
  <si>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</si>
  <si>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</si>
  <si>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</si>
  <si>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</si>
  <si>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</si>
  <si>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</si>
  <si>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</si>
  <si>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</si>
  <si>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</si>
  <si>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</si>
  <si>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</si>
  <si>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</si>
  <si>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</si>
  <si>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</si>
  <si>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</si>
  <si>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</si>
  <si>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</si>
  <si>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</si>
  <si>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</si>
  <si>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</si>
  <si>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</si>
  <si>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</si>
  <si>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</si>
  <si>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</si>
  <si>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</si>
  <si>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</si>
  <si>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</si>
  <si>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</si>
  <si>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</si>
  <si>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</si>
  <si>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</si>
  <si>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</si>
  <si>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</si>
  <si>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</si>
  <si>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</si>
  <si>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</si>
  <si>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</si>
  <si>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</si>
  <si>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</si>
  <si>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</si>
  <si>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</si>
  <si>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</si>
  <si>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</si>
  <si>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</si>
  <si>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</si>
  <si>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</si>
  <si>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</si>
  <si>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</si>
  <si>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</si>
  <si>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</si>
  <si>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</si>
  <si>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</si>
  <si>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</si>
  <si>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</si>
  <si>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</si>
  <si>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</si>
  <si>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</si>
  <si>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</si>
  <si>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</si>
  <si>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</si>
  <si>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</si>
  <si>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</si>
  <si>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</si>
  <si>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</si>
  <si>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</si>
  <si>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</si>
  <si>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</si>
  <si>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</si>
  <si>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</si>
  <si>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</si>
  <si>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</si>
  <si>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</si>
  <si>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</si>
  <si>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</si>
  <si>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</si>
  <si>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</si>
  <si>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</si>
  <si>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</si>
  <si>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</si>
  <si>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</si>
  <si>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</si>
  <si>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</si>
  <si>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</si>
  <si>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</si>
  <si>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</si>
  <si>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</si>
  <si>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</si>
  <si>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</si>
  <si>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</si>
  <si>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</si>
  <si>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</si>
  <si>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</si>
  <si>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</si>
  <si>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</si>
  <si>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</si>
  <si>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</si>
  <si>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</si>
  <si>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</si>
  <si>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</si>
  <si>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</si>
  <si>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</si>
  <si>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</si>
  <si>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</si>
  <si>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</si>
  <si>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</si>
  <si>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</si>
  <si>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</si>
  <si>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</si>
  <si>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</si>
  <si>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</si>
  <si>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</si>
  <si>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</si>
  <si>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</si>
  <si>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</si>
  <si>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</si>
  <si>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</si>
  <si>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</si>
  <si>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</si>
  <si>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</si>
  <si>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</si>
  <si>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</si>
  <si>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</si>
  <si>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</si>
  <si>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</si>
  <si>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</si>
  <si>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</si>
  <si>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</si>
  <si>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</si>
  <si>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</si>
  <si>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</si>
  <si>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</si>
  <si>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</si>
  <si>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</si>
  <si>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</si>
  <si>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</si>
  <si>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</si>
  <si>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</si>
  <si>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</si>
  <si>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</si>
  <si>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</si>
  <si>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</si>
  <si>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</si>
  <si>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</si>
  <si>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</si>
  <si>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</si>
  <si>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</si>
  <si>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</si>
  <si>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</si>
  <si>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</si>
  <si>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</si>
  <si>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</si>
  <si>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</si>
  <si>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</si>
  <si>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</si>
  <si>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</si>
  <si>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</si>
  <si>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</si>
  <si>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</si>
  <si>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</si>
  <si>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</si>
  <si>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</si>
  <si>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</si>
  <si>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</si>
  <si>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</si>
  <si>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</si>
  <si>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</si>
  <si>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</si>
  <si>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</si>
  <si>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</si>
  <si>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</si>
  <si>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</si>
  <si>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</si>
  <si>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</si>
  <si>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</si>
  <si>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</si>
  <si>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</si>
  <si>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</si>
  <si>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</si>
  <si>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</si>
  <si>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</si>
  <si>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</si>
  <si>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</si>
  <si>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</si>
  <si>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</si>
  <si>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</si>
  <si>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</si>
  <si>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</si>
  <si>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</si>
  <si>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</si>
  <si>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</si>
  <si>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</si>
  <si>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</si>
  <si>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</si>
  <si>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</si>
  <si>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</si>
  <si>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</si>
  <si>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</si>
  <si>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</si>
  <si>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</si>
  <si>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</si>
  <si>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</si>
  <si>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</si>
  <si>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</si>
  <si>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</si>
  <si>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</si>
  <si>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</si>
  <si>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</si>
  <si>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</si>
  <si>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</si>
  <si>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</si>
  <si>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</si>
  <si>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</si>
  <si>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</si>
  <si>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</si>
  <si>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</si>
  <si>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</si>
  <si>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</si>
  <si>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</si>
  <si>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</si>
  <si>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</si>
  <si>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</si>
  <si>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</si>
  <si>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</si>
  <si>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</si>
  <si>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</si>
  <si>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</si>
  <si>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</si>
  <si>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</si>
  <si>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</si>
  <si>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</si>
  <si>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</si>
  <si>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</si>
  <si>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</si>
  <si>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</si>
  <si>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</si>
  <si>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</si>
  <si>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</si>
  <si>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</si>
  <si>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</si>
  <si>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</si>
  <si>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</si>
  <si>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</si>
  <si>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</si>
  <si>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</si>
  <si>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</si>
  <si>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</si>
  <si>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</si>
  <si>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</si>
  <si>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</si>
  <si>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</si>
  <si>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</si>
  <si>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</si>
  <si>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</si>
  <si>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</si>
  <si>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</si>
  <si>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</si>
  <si>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</si>
  <si>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</si>
  <si>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</si>
  <si>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</si>
  <si>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</si>
  <si>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</si>
  <si>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</si>
  <si>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</si>
  <si>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</si>
  <si>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</si>
  <si>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</si>
  <si>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</si>
  <si>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</si>
  <si>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</si>
  <si>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</si>
  <si>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</si>
  <si>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</si>
  <si>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</si>
  <si>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</si>
  <si>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</si>
  <si>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</si>
  <si>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</si>
  <si>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</si>
  <si>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</si>
  <si>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</si>
  <si>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</si>
  <si>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</si>
  <si>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</si>
  <si>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</si>
  <si>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</si>
  <si>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</si>
  <si>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</si>
  <si>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</si>
  <si>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</si>
  <si>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</si>
  <si>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</si>
  <si>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</si>
  <si>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</si>
  <si>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</si>
  <si>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</si>
  <si>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</si>
  <si>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</si>
  <si>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</si>
  <si>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</si>
  <si>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</si>
  <si>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</si>
  <si>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</si>
  <si>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</si>
  <si>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</si>
  <si>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</si>
  <si>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</si>
  <si>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</si>
  <si>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</si>
  <si>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</si>
  <si>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</si>
  <si>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</si>
  <si>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</si>
  <si>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</si>
  <si>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</si>
  <si>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</si>
  <si>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</si>
  <si>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</si>
  <si>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</si>
  <si>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</si>
  <si>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</si>
  <si>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</si>
  <si>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</si>
  <si>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</si>
  <si>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</si>
  <si>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</si>
  <si>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</si>
  <si>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</si>
  <si>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</si>
  <si>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</si>
  <si>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</si>
  <si>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</si>
  <si>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</si>
  <si>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</si>
  <si>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</si>
  <si>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</si>
  <si>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</si>
  <si>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</si>
  <si>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</si>
  <si>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</si>
  <si>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</si>
  <si>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</si>
  <si>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</si>
  <si>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</si>
  <si>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</si>
  <si>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</si>
  <si>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</si>
  <si>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</si>
  <si>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</si>
  <si>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</si>
  <si>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</si>
  <si>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</si>
  <si>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</si>
  <si>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</si>
  <si>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</si>
  <si>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</si>
  <si>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</si>
  <si>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</si>
  <si>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</si>
  <si>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</si>
  <si>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</si>
  <si>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</si>
  <si>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</si>
  <si>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</si>
  <si>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</si>
  <si>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</si>
  <si>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</si>
  <si>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</si>
  <si>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</si>
  <si>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</si>
  <si>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</si>
  <si>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</si>
  <si>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</si>
  <si>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</si>
  <si>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</si>
  <si>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</si>
  <si>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</si>
  <si>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</si>
  <si>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</si>
  <si>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</si>
  <si>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</si>
  <si>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</si>
  <si>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</si>
  <si>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</si>
  <si>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</si>
  <si>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</si>
  <si>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</si>
  <si>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</si>
  <si>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</si>
  <si>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</si>
  <si>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</si>
  <si>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</si>
  <si>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</si>
  <si>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</si>
  <si>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</si>
  <si>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</si>
  <si>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</si>
  <si>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</si>
  <si>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</si>
  <si>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</si>
  <si>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</si>
  <si>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</si>
  <si>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</si>
  <si>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</si>
  <si>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</si>
  <si>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</si>
  <si>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</si>
  <si>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</si>
  <si>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</si>
  <si>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</si>
  <si>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</si>
  <si>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</si>
  <si>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</si>
  <si>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</si>
  <si>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</si>
  <si>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</si>
  <si>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</si>
  <si>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</si>
  <si>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</si>
  <si>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</si>
  <si>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</si>
  <si>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</si>
  <si>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</si>
  <si>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</si>
  <si>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</si>
  <si>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</si>
  <si>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</si>
  <si>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</si>
  <si>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</si>
  <si>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</si>
  <si>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</si>
  <si>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</si>
  <si>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</si>
  <si>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</si>
  <si>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</si>
  <si>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</si>
  <si>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</si>
  <si>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</si>
  <si>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</si>
  <si>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</si>
  <si>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</si>
  <si>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</si>
  <si>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</si>
  <si>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</si>
  <si>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</si>
  <si>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</si>
  <si>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</si>
  <si>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</si>
  <si>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</si>
  <si>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</si>
  <si>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</si>
  <si>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</si>
  <si>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</si>
  <si>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</si>
  <si>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</si>
  <si>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</si>
  <si>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</si>
  <si>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</si>
  <si>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</si>
  <si>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</si>
  <si>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</si>
  <si>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</si>
  <si>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</si>
  <si>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</si>
  <si>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</si>
  <si>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</si>
  <si>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</si>
  <si>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</si>
  <si>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</si>
  <si>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</si>
  <si>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</si>
  <si>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</si>
  <si>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</si>
  <si>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</si>
  <si>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</si>
  <si>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</si>
  <si>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</si>
  <si>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</si>
  <si>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</si>
  <si>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</si>
  <si>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</si>
  <si>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</si>
  <si>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</si>
  <si>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</si>
  <si>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</si>
  <si>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</si>
  <si>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</si>
  <si>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</si>
  <si>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</si>
  <si>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</si>
  <si>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</si>
  <si>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</si>
  <si>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</si>
  <si>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</si>
  <si>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</si>
  <si>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</si>
  <si>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</si>
  <si>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</si>
  <si>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</si>
  <si>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</si>
  <si>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</si>
  <si>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</si>
  <si>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</si>
  <si>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</si>
  <si>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</si>
  <si>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</si>
  <si>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</si>
  <si>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</si>
  <si>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</si>
  <si>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</si>
  <si>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</si>
  <si>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</si>
  <si>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</si>
  <si>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</si>
  <si>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</si>
  <si>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</si>
  <si>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</si>
  <si>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</si>
  <si>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</si>
  <si>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</si>
  <si>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</si>
  <si>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</si>
  <si>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</si>
  <si>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</si>
  <si>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</si>
  <si>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</si>
  <si>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</si>
  <si>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</si>
  <si>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</si>
  <si>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</si>
  <si>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</si>
  <si>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</si>
  <si>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</si>
  <si>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</si>
  <si>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</si>
  <si>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</si>
  <si>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</si>
  <si>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</si>
  <si>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</si>
  <si>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</si>
  <si>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</si>
  <si>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</si>
  <si>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</si>
  <si>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</si>
  <si>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</si>
  <si>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</si>
  <si>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</si>
  <si>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</si>
  <si>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</si>
  <si>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</si>
  <si>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</si>
  <si>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</si>
  <si>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</si>
  <si>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</si>
  <si>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</si>
  <si>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</si>
  <si>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</si>
  <si>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</si>
  <si>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</si>
  <si>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</si>
  <si>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</si>
  <si>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</si>
  <si>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</si>
  <si>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</si>
  <si>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</si>
  <si>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</si>
  <si>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</si>
  <si>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</si>
  <si>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</si>
  <si>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</si>
  <si>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</si>
  <si>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</si>
  <si>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</si>
  <si>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</si>
  <si>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</si>
  <si>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</si>
  <si>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</si>
  <si>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</si>
  <si>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</si>
  <si>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</si>
  <si>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</si>
  <si>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</si>
  <si>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</si>
  <si>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</si>
  <si>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</si>
  <si>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</si>
  <si>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</si>
  <si>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</si>
  <si>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</si>
  <si>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</si>
  <si>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</si>
  <si>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</si>
  <si>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</si>
  <si>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</si>
  <si>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</si>
  <si>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</si>
  <si>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</si>
  <si>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</si>
  <si>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</si>
  <si>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</si>
  <si>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</si>
  <si>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</si>
  <si>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</si>
  <si>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</si>
  <si>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</si>
  <si>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</si>
  <si>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</si>
  <si>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</si>
  <si>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</si>
  <si>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</si>
  <si>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</si>
  <si>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</si>
  <si>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</si>
  <si>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</si>
  <si>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</si>
  <si>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</si>
  <si>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</si>
  <si>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</si>
  <si>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</si>
  <si>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</si>
  <si>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</si>
  <si>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</si>
  <si>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</si>
  <si>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</si>
  <si>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</si>
  <si>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</si>
  <si>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</si>
  <si>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</si>
  <si>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</si>
  <si>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</si>
  <si>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</si>
  <si>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</si>
  <si>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</si>
  <si>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</si>
  <si>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</si>
  <si>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</si>
  <si>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</si>
  <si>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</si>
  <si>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</si>
  <si>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</si>
  <si>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</si>
  <si>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</si>
  <si>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</si>
  <si>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</si>
  <si>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</si>
  <si>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</si>
  <si>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</si>
  <si>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</si>
  <si>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</si>
  <si>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</si>
  <si>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</si>
  <si>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</si>
  <si>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</si>
  <si>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</si>
  <si>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</si>
  <si>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</si>
  <si>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</si>
  <si>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</si>
  <si>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</si>
  <si>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</si>
  <si>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</si>
  <si>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</si>
  <si>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</si>
  <si>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</si>
  <si>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</si>
  <si>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</si>
  <si>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</si>
  <si>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</si>
  <si>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</si>
  <si>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</si>
  <si>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</si>
  <si>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</si>
  <si>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</si>
  <si>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</si>
  <si>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</si>
  <si>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</si>
  <si>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</si>
  <si>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</si>
  <si>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</si>
  <si>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</si>
  <si>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</si>
  <si>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</si>
  <si>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</si>
  <si>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</si>
  <si>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</si>
  <si>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</si>
  <si>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</si>
  <si>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</si>
  <si>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</si>
  <si>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</si>
  <si>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</si>
  <si>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</si>
  <si>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</si>
  <si>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</si>
  <si>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</si>
  <si>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</si>
  <si>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</si>
  <si>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</si>
  <si>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</si>
  <si>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</si>
  <si>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</si>
  <si>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</si>
  <si>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</si>
  <si>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</si>
  <si>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</si>
  <si>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</si>
  <si>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</si>
  <si>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</si>
  <si>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</si>
  <si>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</si>
  <si>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</si>
  <si>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</si>
  <si>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</si>
  <si>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</si>
  <si>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</si>
  <si>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</si>
  <si>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</si>
  <si>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</si>
  <si>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</si>
  <si>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</si>
  <si>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</si>
  <si>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</si>
  <si>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</si>
  <si>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</si>
  <si>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</si>
  <si>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</si>
  <si>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</si>
  <si>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</si>
  <si>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</si>
  <si>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</si>
  <si>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</si>
  <si>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</si>
  <si>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</si>
  <si>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</si>
  <si>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</si>
  <si>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</si>
  <si>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</si>
  <si>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</si>
  <si>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</si>
  <si>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</si>
  <si>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</si>
  <si>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</si>
  <si>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</si>
  <si>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</si>
  <si>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</si>
  <si>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</si>
  <si>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</si>
  <si>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</si>
  <si>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</si>
  <si>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</si>
  <si>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</si>
  <si>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</si>
  <si>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</si>
  <si>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</si>
  <si>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</si>
  <si>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</si>
  <si>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</si>
  <si>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</si>
  <si>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</si>
  <si>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</si>
  <si>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</si>
  <si>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</si>
  <si>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</si>
  <si>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</si>
  <si>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</si>
  <si>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</si>
  <si>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</si>
  <si>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</si>
  <si>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</si>
  <si>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</si>
  <si>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</si>
  <si>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</si>
  <si>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</si>
  <si>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</si>
  <si>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</si>
  <si>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</si>
  <si>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</si>
  <si>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</si>
  <si>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</si>
  <si>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</si>
  <si>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</si>
  <si>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</si>
  <si>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</si>
  <si>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</si>
  <si>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</si>
  <si>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</si>
  <si>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</si>
  <si>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</si>
  <si>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</si>
  <si>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</si>
  <si>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</si>
  <si>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</si>
  <si>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</si>
  <si>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</si>
  <si>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</si>
  <si>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</si>
  <si>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</si>
  <si>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</si>
  <si>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</si>
  <si>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</si>
  <si>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</si>
  <si>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</si>
  <si>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</si>
  <si>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</si>
  <si>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</si>
  <si>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</si>
  <si>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</si>
  <si>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</si>
  <si>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</si>
  <si>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</si>
  <si>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</si>
  <si>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</si>
  <si>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</si>
  <si>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</si>
  <si>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</si>
  <si>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</si>
  <si>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</si>
  <si>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</si>
  <si>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</si>
  <si>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</si>
  <si>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</si>
  <si>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</si>
  <si>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</si>
  <si>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</si>
  <si>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</si>
  <si>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</si>
  <si>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</si>
  <si>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</si>
  <si>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</si>
  <si>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</si>
  <si>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</si>
  <si>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</si>
  <si>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</si>
  <si>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</si>
  <si>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</si>
  <si>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</si>
  <si>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</si>
  <si>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</si>
  <si>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</si>
  <si>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</si>
  <si>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</si>
  <si>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</si>
  <si>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</si>
  <si>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</si>
  <si>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</si>
  <si>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</si>
  <si>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</si>
  <si>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</si>
  <si>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</si>
  <si>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</si>
  <si>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</si>
  <si>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</si>
  <si>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</si>
  <si>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</si>
  <si>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</si>
  <si>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</si>
  <si>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</si>
  <si>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</si>
  <si>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</si>
  <si>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</si>
  <si>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</si>
  <si>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</si>
  <si>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</si>
  <si>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</si>
  <si>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</si>
  <si>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</si>
  <si>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</si>
  <si>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</si>
  <si>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</si>
  <si>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</si>
  <si>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</si>
  <si>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</si>
  <si>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</si>
  <si>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</si>
  <si>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</si>
  <si>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</si>
  <si>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</si>
  <si>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</si>
  <si>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</si>
  <si>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</si>
  <si>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</si>
  <si>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</si>
  <si>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</si>
  <si>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</si>
  <si>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</si>
  <si>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</si>
  <si>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</si>
  <si>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</si>
  <si>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</si>
  <si>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</si>
  <si>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</si>
  <si>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</si>
  <si>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</si>
  <si>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</si>
  <si>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</si>
  <si>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</si>
  <si>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</si>
  <si>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</si>
  <si>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</si>
  <si>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</si>
  <si>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</si>
  <si>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</si>
  <si>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</si>
  <si>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</si>
  <si>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</si>
  <si>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</si>
  <si>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</si>
  <si>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</si>
  <si>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</si>
  <si>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</si>
  <si>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</si>
  <si>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</si>
  <si>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</si>
  <si>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</si>
  <si>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</si>
  <si>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</si>
  <si>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</si>
  <si>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</si>
  <si>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</si>
  <si>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</si>
  <si>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</si>
  <si>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</si>
  <si>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</si>
  <si>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</si>
  <si>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</si>
  <si>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</si>
  <si>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</si>
  <si>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</si>
  <si>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</si>
  <si>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</si>
  <si>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</si>
  <si>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</si>
  <si>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</si>
  <si>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</si>
  <si>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</si>
  <si>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</si>
  <si>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</si>
  <si>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</si>
  <si>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</si>
  <si>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</si>
  <si>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</si>
  <si>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</si>
  <si>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</si>
  <si>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</si>
  <si>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</si>
  <si>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</si>
  <si>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</si>
  <si>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</si>
  <si>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</si>
  <si>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</si>
  <si>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</si>
  <si>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</si>
  <si>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</si>
  <si>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</si>
  <si>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</si>
  <si>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</si>
  <si>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</si>
  <si>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</si>
  <si>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</si>
  <si>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</si>
  <si>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</si>
  <si>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</si>
  <si>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</si>
  <si>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</si>
  <si>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</si>
  <si>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</si>
  <si>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</si>
  <si>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</si>
  <si>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</si>
  <si>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</si>
  <si>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</si>
  <si>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</si>
  <si>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</si>
  <si>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</si>
  <si>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</si>
  <si>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</si>
  <si>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</si>
  <si>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</si>
  <si>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</si>
  <si>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</si>
  <si>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</si>
  <si>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</si>
  <si>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</si>
  <si>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</si>
  <si>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</si>
  <si>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</si>
  <si>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</si>
  <si>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</si>
  <si>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</si>
  <si>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</si>
  <si>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</si>
  <si>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</si>
  <si>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</si>
  <si>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</si>
  <si>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</si>
  <si>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</si>
  <si>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</si>
  <si>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</si>
  <si>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</si>
  <si>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</si>
  <si>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</si>
  <si>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</si>
  <si>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</si>
  <si>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</si>
  <si>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</si>
  <si>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</si>
  <si>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</si>
  <si>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</si>
  <si>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</si>
  <si>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</si>
  <si>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</si>
  <si>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</si>
  <si>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</si>
  <si>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</si>
  <si>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</si>
  <si>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</si>
  <si>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</si>
  <si>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</si>
  <si>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</si>
  <si>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</si>
  <si>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</si>
  <si>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</si>
  <si>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</si>
  <si>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</si>
  <si>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</si>
  <si>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</si>
  <si>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</si>
  <si>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</si>
  <si>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</si>
  <si>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</si>
  <si>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</si>
  <si>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</si>
  <si>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</si>
  <si>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</si>
  <si>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</si>
  <si>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</si>
  <si>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</si>
  <si>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</si>
  <si>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</si>
  <si>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</si>
  <si>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</si>
  <si>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</si>
  <si>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</si>
  <si>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</si>
  <si>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</si>
  <si>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</si>
  <si>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</si>
  <si>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</si>
  <si>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</si>
  <si>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</si>
  <si>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Fong Natomas L.P.</t>
  </si>
  <si>
    <t>City of Sacramento</t>
  </si>
  <si>
    <t xml:space="preserve">3625 Fong Ranch Road </t>
  </si>
  <si>
    <t>225-0170-064-0000</t>
  </si>
  <si>
    <t>Russell at Truxel Apartments</t>
  </si>
  <si>
    <t>Trisha Malone</t>
  </si>
  <si>
    <t>President</t>
  </si>
  <si>
    <t>February</t>
  </si>
  <si>
    <t>40%/60%</t>
  </si>
  <si>
    <t>2277 Fair Oaks Blvd, Ste. 230</t>
  </si>
  <si>
    <t xml:space="preserve">CA </t>
  </si>
  <si>
    <t>916-715-4785</t>
  </si>
  <si>
    <t>tmalone@antondev.com</t>
  </si>
  <si>
    <t>Anton DevCo, LLC</t>
  </si>
  <si>
    <t>Anton Fong Ranch, LLC</t>
  </si>
  <si>
    <t>Administrative GP</t>
  </si>
  <si>
    <t>PacH Anton South Holdings, LLC</t>
  </si>
  <si>
    <t>2115 J Street, Ste 201</t>
  </si>
  <si>
    <t>CA</t>
  </si>
  <si>
    <t>Managing GP</t>
  </si>
  <si>
    <t>Mark Weise</t>
  </si>
  <si>
    <t>916-638-5200</t>
  </si>
  <si>
    <t>mwiese@pacifichousing.org</t>
  </si>
  <si>
    <t>Pacific Housing, Inc.</t>
  </si>
  <si>
    <t>2277 Fair Oaks Blvd. Ste 230</t>
  </si>
  <si>
    <t>Developer and Admin GP</t>
  </si>
  <si>
    <t>2277 Fair Oaks Blvd, Ste 230</t>
  </si>
  <si>
    <t>Sacramento, CA 95825</t>
  </si>
  <si>
    <t>Anton Residential, Inc.</t>
  </si>
  <si>
    <t>Resi Architecture</t>
  </si>
  <si>
    <t>23231 S. Pointe Drive, Ste 102</t>
  </si>
  <si>
    <t>Laguna Hills, CA 92653</t>
  </si>
  <si>
    <t>Chris Weimholt</t>
  </si>
  <si>
    <t>949-230-6926</t>
  </si>
  <si>
    <t>chrisw@resi-arch.com</t>
  </si>
  <si>
    <t>Cox, Castle &amp; Nicholson LLP</t>
  </si>
  <si>
    <t>50 California Street, Ste. 3200</t>
  </si>
  <si>
    <t>San Francisco, CA 94111</t>
  </si>
  <si>
    <t>Stephen Ryan</t>
  </si>
  <si>
    <t>415-262-5150</t>
  </si>
  <si>
    <t>sryan@coxcastle.com</t>
  </si>
  <si>
    <t>Brown Construction, Inc.</t>
  </si>
  <si>
    <t>1465 Enterprise Blvd</t>
  </si>
  <si>
    <t>West Sacramento, CA 95691</t>
  </si>
  <si>
    <t>Collin Nicholis</t>
  </si>
  <si>
    <t>916-373-9300</t>
  </si>
  <si>
    <t>cnichols@brown-construction.com</t>
  </si>
  <si>
    <t>Novogradac &amp; Company LLP</t>
  </si>
  <si>
    <t>1160 Battery Street East Bldg Ste 225</t>
  </si>
  <si>
    <t>Jeffrey T Nishita</t>
  </si>
  <si>
    <t>415-356-8010</t>
  </si>
  <si>
    <t>jeff.nishita@novoco.com</t>
  </si>
  <si>
    <t>Redwood Energy</t>
  </si>
  <si>
    <t>1887 Q Street</t>
  </si>
  <si>
    <t>Arcata, CA 95521</t>
  </si>
  <si>
    <t>Sean Armstrong</t>
  </si>
  <si>
    <t>707-234-7573</t>
  </si>
  <si>
    <t>sean@redwoodenergy.net</t>
  </si>
  <si>
    <t>Raymond James</t>
  </si>
  <si>
    <t>5420 La Jolla Blvd. #B104</t>
  </si>
  <si>
    <t>La Jolla, CA 92037</t>
  </si>
  <si>
    <t>Kevin Kilbane</t>
  </si>
  <si>
    <t>216-509-1342</t>
  </si>
  <si>
    <t>kevin.kilbane@raymondjames.com</t>
  </si>
  <si>
    <t>MJR Squared, Inc.</t>
  </si>
  <si>
    <t xml:space="preserve">PO Box 2049 </t>
  </si>
  <si>
    <t>Los Gatos, CA 95031</t>
  </si>
  <si>
    <t>Megan Crummett</t>
  </si>
  <si>
    <t>530-632-4732</t>
  </si>
  <si>
    <t>mcrummett@mjrsquared.com</t>
  </si>
  <si>
    <t>Kinetic Valuation Group</t>
  </si>
  <si>
    <t>3901 S 147th Street, Ste 144</t>
  </si>
  <si>
    <t>Omaha, NE 68144</t>
  </si>
  <si>
    <t>Jay Wortmann</t>
  </si>
  <si>
    <t>402-202-0771</t>
  </si>
  <si>
    <t>jay@kvgteam.com</t>
  </si>
  <si>
    <t>California Housing Finance Agency</t>
  </si>
  <si>
    <t>500 Capitol Mall, Ste. 1400</t>
  </si>
  <si>
    <t>Sacramento, CA 95814</t>
  </si>
  <si>
    <t>Kevin Brown</t>
  </si>
  <si>
    <t>Michael Jasso</t>
  </si>
  <si>
    <t>Assistant City Manager</t>
  </si>
  <si>
    <t>915 I Street, 5th Floor, Sacramento, CA 95814</t>
  </si>
  <si>
    <t>916-808-1380</t>
  </si>
  <si>
    <t>NA</t>
  </si>
  <si>
    <t>Other (Specify below)</t>
  </si>
  <si>
    <t>Consists of Type VA 2 and  4 story buildings with tuck under parking.  Total of 3 buildings - one 2 story, and two 4 story.</t>
  </si>
  <si>
    <t>Note that the affordable housing units will only be housed on 3.580 acres.  The remainder of the site will be dedicated to single family homes.</t>
  </si>
  <si>
    <t>Communication Features</t>
  </si>
  <si>
    <t>Residential Mixed Use</t>
  </si>
  <si>
    <t>Residential Mixed Use, Max 60 DU/AC</t>
  </si>
  <si>
    <t>Residential Mixed Use, 33.2 DU/AC</t>
  </si>
  <si>
    <t>State Density Bonus used for concessions and waivers</t>
  </si>
  <si>
    <t>Yes - Surplus Land Act Regulatory Agreement</t>
  </si>
  <si>
    <t>45' Max; 41'-4" Proposed</t>
  </si>
  <si>
    <t>151 Required (1.0 to 1 Bed, 1.5 for Two and Three Bed)</t>
  </si>
  <si>
    <t>214 Provided (1.78 Ratio)</t>
  </si>
  <si>
    <t>Citi Bank Tax-Exempt</t>
  </si>
  <si>
    <t>Citi Bank Taxable</t>
  </si>
  <si>
    <t>Raymond James - Tax Credit</t>
  </si>
  <si>
    <t>NOI During Construction</t>
  </si>
  <si>
    <t>Deferred Reserve Funding</t>
  </si>
  <si>
    <t>One Market Street, 40th Floor</t>
  </si>
  <si>
    <t>Bryan Barker</t>
  </si>
  <si>
    <t>415-627-6484</t>
  </si>
  <si>
    <t>Tax Exempt Bonds</t>
  </si>
  <si>
    <t>Fixed</t>
  </si>
  <si>
    <t>Taxable Bonds</t>
  </si>
  <si>
    <t>5420 La Jolla Blvd #B104</t>
  </si>
  <si>
    <t>261-509-1342</t>
  </si>
  <si>
    <t>Tax Credit Equity</t>
  </si>
  <si>
    <t xml:space="preserve">Trisha Malone </t>
  </si>
  <si>
    <t>Operating Reserve Deferred to Perm</t>
  </si>
  <si>
    <t>NOI During Lease Up</t>
  </si>
  <si>
    <t>Maraskeshia Smith</t>
  </si>
  <si>
    <t xml:space="preserve">915 I Street </t>
  </si>
  <si>
    <t>916-808-7903</t>
  </si>
  <si>
    <t>citymanager@cityofsacramento.org</t>
  </si>
  <si>
    <t>Subsidy</t>
  </si>
  <si>
    <t>Late fees, app. fees, turnover</t>
  </si>
  <si>
    <t>Air Conditioning</t>
  </si>
  <si>
    <t>California Energy Commission</t>
  </si>
  <si>
    <t>Admin</t>
  </si>
  <si>
    <t>Business License and Permits</t>
  </si>
  <si>
    <t>Other: Security</t>
  </si>
  <si>
    <t>Other: Third Party Reports</t>
  </si>
  <si>
    <t>Other: (Third Party Reports)</t>
  </si>
  <si>
    <t>2 and 4</t>
  </si>
  <si>
    <t xml:space="preserve">After school connect (elementary school), living out loud (middle and high school), and learning curve (adult) education programs.  See resident service attachment. </t>
  </si>
  <si>
    <t>Other:  &lt;Issuance, Origination, Title and Financing Fees&gt;</t>
  </si>
  <si>
    <t>The project will conform to CalGreen standards and Title 24.</t>
  </si>
  <si>
    <t>GMP</t>
  </si>
  <si>
    <t>Preconstruction Services Proposal dated 2/23/2026</t>
  </si>
  <si>
    <t xml:space="preserve">See precon proposal attachment. </t>
  </si>
  <si>
    <t>Approved 11/2025</t>
  </si>
  <si>
    <t xml:space="preserve">Phase I </t>
  </si>
  <si>
    <t>Original - 3/22; Update 2/26</t>
  </si>
  <si>
    <t>Bond Closing</t>
  </si>
  <si>
    <t>50% Completion</t>
  </si>
  <si>
    <t xml:space="preserve">100% Completion </t>
  </si>
  <si>
    <t>8609's</t>
  </si>
  <si>
    <t>Deferred Dev Fee at Conversion</t>
  </si>
  <si>
    <t>Stabilization/Perm Conversion</t>
  </si>
  <si>
    <t>Cash</t>
  </si>
  <si>
    <t>TC Investor (Asset Management Fee)</t>
  </si>
  <si>
    <t>Other: (Laundry Equipment)</t>
  </si>
  <si>
    <t>City Fee Deferral</t>
  </si>
  <si>
    <t>916-326-8000</t>
  </si>
  <si>
    <t>kbrown@calhfa.ca.gov</t>
  </si>
  <si>
    <t>City Deferral Fee</t>
  </si>
  <si>
    <t>Third Party Reports</t>
  </si>
  <si>
    <t>Pre-development Interest Carry</t>
  </si>
  <si>
    <t>Citibank</t>
  </si>
  <si>
    <t>Perm - tax-exempt</t>
  </si>
  <si>
    <t>Perm - taxable</t>
  </si>
  <si>
    <t>AGP Asset Management Fee</t>
  </si>
  <si>
    <t>Greystar</t>
  </si>
  <si>
    <t>450 Sansome Street, Suite 500</t>
  </si>
  <si>
    <t>San Francisco CA 94111</t>
  </si>
  <si>
    <t>Kelly Cordano</t>
  </si>
  <si>
    <t>kcordano@greystar.com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</si>
</sst>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8209">
    <xf numFmtId="0" fontId="0"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1" fillId="36" borderId="18" applyNumberFormat="0" applyAlignment="0" applyProtection="0"/>
    <xf numFmtId="0" fontId="91" fillId="36" borderId="18" applyNumberFormat="0" applyAlignment="0" applyProtection="0"/>
    <xf numFmtId="0" fontId="92" fillId="37" borderId="19"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6" fillId="0" borderId="0" applyFont="0" applyFill="0" applyBorder="0" applyAlignment="0" applyProtection="0"/>
    <xf numFmtId="43" fontId="31" fillId="0" borderId="0" applyFont="0" applyFill="0" applyBorder="0" applyAlignment="0" applyProtection="0"/>
    <xf numFmtId="43" fontId="66" fillId="0" borderId="0" applyFont="0" applyFill="0" applyBorder="0" applyAlignment="0" applyProtection="0"/>
    <xf numFmtId="44" fontId="8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81" fillId="0" borderId="0" applyFont="0" applyFill="0" applyBorder="0" applyAlignment="0" applyProtection="0"/>
    <xf numFmtId="44" fontId="31" fillId="0" borderId="0" applyFont="0" applyFill="0" applyBorder="0" applyAlignment="0" applyProtection="0"/>
    <xf numFmtId="44" fontId="83"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alignment vertical="top"/>
    </xf>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6" fillId="0" borderId="0" applyFont="0" applyFill="0" applyBorder="0" applyAlignment="0" applyProtection="0"/>
    <xf numFmtId="44" fontId="7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4" fillId="0" borderId="0" applyFont="0" applyFill="0" applyBorder="0" applyAlignment="0" applyProtection="0"/>
    <xf numFmtId="44" fontId="31"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9" fillId="0" borderId="0" applyFont="0" applyFill="0" applyBorder="0" applyAlignment="0" applyProtection="0"/>
    <xf numFmtId="44" fontId="31" fillId="0" borderId="0" applyFont="0" applyFill="0" applyBorder="0" applyAlignment="0" applyProtection="0"/>
    <xf numFmtId="0" fontId="93" fillId="0" borderId="0" applyNumberFormat="0" applyFill="0" applyBorder="0" applyAlignment="0" applyProtection="0"/>
    <xf numFmtId="0" fontId="94" fillId="38" borderId="0" applyNumberFormat="0" applyBorder="0" applyAlignment="0" applyProtection="0"/>
    <xf numFmtId="0" fontId="95" fillId="0" borderId="20" applyNumberFormat="0" applyFill="0" applyAlignment="0" applyProtection="0"/>
    <xf numFmtId="0" fontId="95" fillId="0" borderId="20"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7" fillId="0" borderId="22" applyNumberFormat="0" applyFill="0" applyAlignment="0" applyProtection="0"/>
    <xf numFmtId="0" fontId="97" fillId="0" borderId="22"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5" fillId="0" borderId="0" applyNumberFormat="0" applyFill="0" applyBorder="0" applyAlignment="0" applyProtection="0">
      <alignment vertical="top"/>
      <protection locked="0"/>
    </xf>
    <xf numFmtId="0" fontId="98" fillId="39" borderId="18" applyNumberFormat="0" applyAlignment="0" applyProtection="0"/>
    <xf numFmtId="0" fontId="24" fillId="0" borderId="0" applyNumberFormat="0" applyBorder="0"/>
    <xf numFmtId="0" fontId="25" fillId="0" borderId="0" applyBorder="0" applyAlignment="0"/>
    <xf numFmtId="0" fontId="26" fillId="0" borderId="0" applyFill="0" applyBorder="0" applyAlignment="0"/>
    <xf numFmtId="0" fontId="99" fillId="0" borderId="23" applyNumberFormat="0" applyFill="0" applyAlignment="0" applyProtection="0"/>
    <xf numFmtId="0" fontId="100" fillId="40" borderId="0" applyNumberFormat="0" applyBorder="0" applyAlignment="0" applyProtection="0"/>
    <xf numFmtId="0" fontId="101" fillId="0" borderId="0"/>
    <xf numFmtId="0" fontId="66" fillId="0" borderId="0"/>
    <xf numFmtId="0" fontId="101" fillId="0" borderId="0"/>
    <xf numFmtId="0" fontId="66" fillId="0" borderId="0"/>
    <xf numFmtId="0" fontId="66" fillId="0" borderId="0"/>
    <xf numFmtId="0" fontId="3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6" fillId="0" borderId="0"/>
    <xf numFmtId="169" fontId="67" fillId="0" borderId="0"/>
    <xf numFmtId="0" fontId="88" fillId="0" borderId="0"/>
    <xf numFmtId="0" fontId="31" fillId="0" borderId="0"/>
    <xf numFmtId="0" fontId="31" fillId="0" borderId="0"/>
    <xf numFmtId="0" fontId="72" fillId="0" borderId="0"/>
    <xf numFmtId="0" fontId="66" fillId="0" borderId="0"/>
    <xf numFmtId="0" fontId="72" fillId="0" borderId="0"/>
    <xf numFmtId="0" fontId="66" fillId="0" borderId="0"/>
    <xf numFmtId="0" fontId="76" fillId="0" borderId="0"/>
    <xf numFmtId="0" fontId="66" fillId="0" borderId="0"/>
    <xf numFmtId="0" fontId="88" fillId="0" borderId="0"/>
    <xf numFmtId="0" fontId="66"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88" fillId="0" borderId="0"/>
    <xf numFmtId="0" fontId="88" fillId="0" borderId="0"/>
    <xf numFmtId="0" fontId="88" fillId="0" borderId="0"/>
    <xf numFmtId="0" fontId="88" fillId="0" borderId="0"/>
    <xf numFmtId="0" fontId="66"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6" fillId="0" borderId="0"/>
    <xf numFmtId="0" fontId="88" fillId="0" borderId="0"/>
    <xf numFmtId="0" fontId="88" fillId="0" borderId="0"/>
    <xf numFmtId="0" fontId="88" fillId="0" borderId="0"/>
    <xf numFmtId="0" fontId="88" fillId="0" borderId="0"/>
    <xf numFmtId="0" fontId="76" fillId="0" borderId="0"/>
    <xf numFmtId="0" fontId="66" fillId="0" borderId="0">
      <alignment vertical="top"/>
    </xf>
    <xf numFmtId="0" fontId="88" fillId="0" borderId="0"/>
    <xf numFmtId="0" fontId="88" fillId="0" borderId="0"/>
    <xf numFmtId="0" fontId="88" fillId="0" borderId="0"/>
    <xf numFmtId="0" fontId="88" fillId="0" borderId="0"/>
    <xf numFmtId="0" fontId="76" fillId="0" borderId="0"/>
    <xf numFmtId="0" fontId="31" fillId="0" borderId="0"/>
    <xf numFmtId="0" fontId="88" fillId="0" borderId="0"/>
    <xf numFmtId="0" fontId="31" fillId="0" borderId="0"/>
    <xf numFmtId="0" fontId="88" fillId="0" borderId="0"/>
    <xf numFmtId="0" fontId="88" fillId="0" borderId="0"/>
    <xf numFmtId="0" fontId="88" fillId="0" borderId="0"/>
    <xf numFmtId="0" fontId="88" fillId="0" borderId="0"/>
    <xf numFmtId="0" fontId="72" fillId="0" borderId="0"/>
    <xf numFmtId="0" fontId="66" fillId="0" borderId="0">
      <alignment vertical="top"/>
    </xf>
    <xf numFmtId="0" fontId="72" fillId="0" borderId="0"/>
    <xf numFmtId="0" fontId="66" fillId="0" borderId="0">
      <alignment vertical="top"/>
    </xf>
    <xf numFmtId="0" fontId="66" fillId="0" borderId="0">
      <alignment vertical="top"/>
    </xf>
    <xf numFmtId="0" fontId="88" fillId="0" borderId="0"/>
    <xf numFmtId="0" fontId="72" fillId="0" borderId="0"/>
    <xf numFmtId="0" fontId="88" fillId="0" borderId="0"/>
    <xf numFmtId="0" fontId="66"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1" fillId="0" borderId="0"/>
    <xf numFmtId="0" fontId="66" fillId="0" borderId="0">
      <alignment vertical="top"/>
    </xf>
    <xf numFmtId="0" fontId="88" fillId="0" borderId="0"/>
    <xf numFmtId="0" fontId="88" fillId="0" borderId="0"/>
    <xf numFmtId="0" fontId="88" fillId="0" borderId="0"/>
    <xf numFmtId="0" fontId="88" fillId="0" borderId="0"/>
    <xf numFmtId="0" fontId="3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6" fillId="0" borderId="0"/>
    <xf numFmtId="0" fontId="66" fillId="0" borderId="0">
      <alignment vertical="top"/>
    </xf>
    <xf numFmtId="0" fontId="66" fillId="0" borderId="0">
      <alignment vertical="top"/>
    </xf>
    <xf numFmtId="0" fontId="66" fillId="0" borderId="0"/>
    <xf numFmtId="0" fontId="66" fillId="0" borderId="0">
      <alignment vertical="top"/>
    </xf>
    <xf numFmtId="0" fontId="66" fillId="0" borderId="0"/>
    <xf numFmtId="0" fontId="6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1" fillId="0" borderId="0"/>
    <xf numFmtId="0" fontId="88" fillId="0" borderId="0"/>
    <xf numFmtId="0" fontId="88" fillId="0" borderId="0"/>
    <xf numFmtId="0" fontId="88" fillId="0" borderId="0"/>
    <xf numFmtId="0" fontId="22" fillId="0" borderId="0" applyProtection="0">
      <protection locked="0"/>
    </xf>
    <xf numFmtId="0" fontId="31" fillId="0" borderId="0" applyProtection="0">
      <protection locked="0"/>
    </xf>
    <xf numFmtId="0" fontId="31" fillId="0" borderId="0" applyProtection="0">
      <protection locked="0"/>
    </xf>
    <xf numFmtId="0" fontId="67" fillId="0" borderId="0"/>
    <xf numFmtId="0" fontId="22" fillId="0" borderId="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103" fillId="36" borderId="25" applyNumberFormat="0" applyAlignment="0" applyProtection="0"/>
    <xf numFmtId="0" fontId="103" fillId="36" borderId="25" applyNumberFormat="0" applyAlignment="0" applyProtection="0"/>
    <xf numFmtId="0" fontId="27" fillId="0" borderId="0" applyNumberFormat="0" applyFill="0" applyBorder="0">
      <alignment horizontal="left"/>
    </xf>
    <xf numFmtId="0" fontId="104" fillId="0" borderId="0" applyNumberFormat="0" applyFill="0" applyBorder="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0" applyNumberFormat="0" applyFill="0" applyBorder="0" applyAlignment="0" applyProtection="0"/>
    <xf numFmtId="0" fontId="22" fillId="0" borderId="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9" fontId="22" fillId="0" borderId="0" applyFont="0" applyFill="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1"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11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114"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04" fillId="0" borderId="0" applyNumberForma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4" fontId="22" fillId="0" borderId="0" applyFont="0" applyFill="0" applyBorder="0" applyAlignment="0" applyProtection="0"/>
    <xf numFmtId="9" fontId="123" fillId="0" borderId="0" applyFont="0" applyFill="0" applyBorder="0" applyAlignment="0" applyProtection="0"/>
    <xf numFmtId="0" fontId="123" fillId="0" borderId="0"/>
    <xf numFmtId="0" fontId="16" fillId="0" borderId="0"/>
    <xf numFmtId="0" fontId="22"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0"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4" fontId="15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22" fillId="0" borderId="0" applyBorder="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90"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66" fillId="0" borderId="0">
      <alignment vertical="top"/>
    </xf>
    <xf numFmtId="0" fontId="66" fillId="0" borderId="0">
      <alignment vertical="top"/>
    </xf>
    <xf numFmtId="0" fontId="5" fillId="0" borderId="0"/>
    <xf numFmtId="0" fontId="5" fillId="0" borderId="0"/>
    <xf numFmtId="0" fontId="66" fillId="0" borderId="0">
      <alignment vertical="top"/>
    </xf>
    <xf numFmtId="0" fontId="191" fillId="0" borderId="0">
      <alignment vertical="top"/>
    </xf>
    <xf numFmtId="0" fontId="66" fillId="0" borderId="0">
      <alignment vertical="top"/>
    </xf>
    <xf numFmtId="0" fontId="66" fillId="0" borderId="0">
      <alignment vertical="top"/>
    </xf>
    <xf numFmtId="0" fontId="191"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43" fontId="80" fillId="0" borderId="0" applyFont="0" applyFill="0" applyBorder="0" applyAlignment="0" applyProtection="0"/>
    <xf numFmtId="0" fontId="5" fillId="16" borderId="0" applyNumberFormat="0" applyBorder="0" applyAlignment="0" applyProtection="0"/>
    <xf numFmtId="0" fontId="5" fillId="22" borderId="0" applyNumberFormat="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8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66" fillId="0" borderId="0">
      <alignment vertical="top"/>
    </xf>
    <xf numFmtId="0" fontId="66" fillId="0" borderId="0">
      <alignment vertical="top"/>
    </xf>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102" fillId="0" borderId="0"/>
    <xf numFmtId="0" fontId="80" fillId="41" borderId="24" applyNumberFormat="0" applyFont="0" applyAlignment="0" applyProtection="0"/>
    <xf numFmtId="0" fontId="80" fillId="41" borderId="24" applyNumberFormat="0" applyFont="0" applyAlignment="0" applyProtection="0"/>
    <xf numFmtId="43" fontId="22" fillId="0" borderId="0" applyFont="0" applyFill="0" applyBorder="0" applyAlignment="0" applyProtection="0"/>
    <xf numFmtId="0" fontId="22"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41" borderId="24" applyNumberFormat="0" applyFont="0" applyAlignment="0" applyProtection="0"/>
    <xf numFmtId="0" fontId="5" fillId="41" borderId="24" applyNumberFormat="0" applyFont="0" applyAlignment="0" applyProtection="0"/>
    <xf numFmtId="169" fontId="192"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66"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703">
    <xf numFmtId="0" fontId="0" fillId="0" borderId="0" xfId="0"/>
    <xf numFmtId="0" fontId="0" fillId="0" borderId="0" xfId="0" applyAlignment="1">
      <alignment horizontal="center"/>
    </xf>
    <xf numFmtId="0" fontId="29" fillId="0" borderId="0" xfId="0" applyFont="1"/>
    <xf numFmtId="0" fontId="22" fillId="0" borderId="0" xfId="0" applyFont="1"/>
    <xf numFmtId="0" fontId="31" fillId="0" borderId="0" xfId="0" applyFont="1"/>
    <xf numFmtId="0" fontId="0" fillId="0" borderId="4" xfId="0" applyBorder="1"/>
    <xf numFmtId="0" fontId="31" fillId="0" borderId="0" xfId="0" applyFont="1" applyAlignment="1">
      <alignment horizontal="center"/>
    </xf>
    <xf numFmtId="0" fontId="2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9" fillId="0" borderId="4" xfId="0" applyFont="1" applyBorder="1"/>
    <xf numFmtId="164" fontId="0" fillId="0" borderId="0" xfId="0" applyNumberFormat="1" applyAlignment="1">
      <alignment horizontal="right"/>
    </xf>
    <xf numFmtId="0" fontId="29" fillId="0" borderId="0" xfId="0" applyFont="1" applyAlignment="1">
      <alignment horizontal="center"/>
    </xf>
    <xf numFmtId="0" fontId="22" fillId="0" borderId="0" xfId="543"/>
    <xf numFmtId="0" fontId="31" fillId="0" borderId="0" xfId="0" applyFont="1" applyAlignment="1">
      <alignment horizontal="left" vertical="top" wrapText="1"/>
    </xf>
    <xf numFmtId="0" fontId="37" fillId="0" borderId="0" xfId="0" applyFont="1"/>
    <xf numFmtId="0" fontId="30" fillId="0" borderId="0" xfId="0" applyFont="1" applyAlignment="1">
      <alignment vertical="top"/>
    </xf>
    <xf numFmtId="0" fontId="30" fillId="0" borderId="0" xfId="0" applyFont="1" applyAlignment="1">
      <alignment vertical="top" wrapText="1"/>
    </xf>
    <xf numFmtId="0" fontId="31" fillId="0" borderId="0" xfId="0" applyFont="1" applyAlignment="1">
      <alignment horizontal="left" indent="4"/>
    </xf>
    <xf numFmtId="0" fontId="30" fillId="0" borderId="0" xfId="0" applyFont="1" applyAlignment="1">
      <alignment horizontal="left" vertical="top"/>
    </xf>
    <xf numFmtId="0" fontId="30" fillId="0" borderId="0" xfId="0" applyFont="1" applyAlignment="1">
      <alignment horizontal="left"/>
    </xf>
    <xf numFmtId="0" fontId="30" fillId="0" borderId="0" xfId="0" applyFont="1"/>
    <xf numFmtId="0" fontId="42" fillId="0" borderId="0" xfId="543" applyFont="1"/>
    <xf numFmtId="1" fontId="30" fillId="0" borderId="0" xfId="0" applyNumberFormat="1" applyFont="1" applyAlignment="1">
      <alignment horizontal="left"/>
    </xf>
    <xf numFmtId="0" fontId="32" fillId="0" borderId="0" xfId="0" applyFont="1"/>
    <xf numFmtId="1" fontId="30" fillId="0" borderId="0" xfId="0" applyNumberFormat="1" applyFont="1" applyAlignment="1">
      <alignment horizontal="right"/>
    </xf>
    <xf numFmtId="0" fontId="0" fillId="0" borderId="0" xfId="0" applyAlignment="1">
      <alignment horizontal="right"/>
    </xf>
    <xf numFmtId="0" fontId="41" fillId="0" borderId="0" xfId="0" applyFont="1"/>
    <xf numFmtId="0" fontId="34" fillId="0" borderId="0" xfId="0" applyFont="1"/>
    <xf numFmtId="172" fontId="22" fillId="0" borderId="0" xfId="543" applyNumberFormat="1"/>
    <xf numFmtId="9" fontId="22" fillId="0" borderId="0" xfId="543" applyNumberFormat="1" applyAlignment="1">
      <alignment horizontal="left"/>
    </xf>
    <xf numFmtId="168" fontId="22" fillId="0" borderId="0" xfId="543" applyNumberFormat="1"/>
    <xf numFmtId="0" fontId="31" fillId="0" borderId="0" xfId="0" applyFont="1" applyAlignment="1">
      <alignment horizontal="right"/>
    </xf>
    <xf numFmtId="0" fontId="45" fillId="0" borderId="0" xfId="0" applyFont="1"/>
    <xf numFmtId="0" fontId="31" fillId="0" borderId="0" xfId="0" applyFont="1" applyAlignment="1">
      <alignment horizontal="left"/>
    </xf>
    <xf numFmtId="0" fontId="33" fillId="0" borderId="0" xfId="0" applyFont="1"/>
    <xf numFmtId="0" fontId="35" fillId="0" borderId="0" xfId="0" applyFont="1"/>
    <xf numFmtId="0" fontId="2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9" fillId="0" borderId="1" xfId="0" applyFont="1" applyBorder="1" applyAlignment="1">
      <alignment horizontal="center" wrapText="1"/>
    </xf>
    <xf numFmtId="0" fontId="2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4" xfId="0" applyFont="1" applyBorder="1" applyAlignment="1">
      <alignment horizontal="center"/>
    </xf>
    <xf numFmtId="0" fontId="38" fillId="0" borderId="3" xfId="0" applyFont="1" applyBorder="1" applyAlignment="1">
      <alignment horizontal="left"/>
    </xf>
    <xf numFmtId="0" fontId="38" fillId="0" borderId="9" xfId="0" applyFont="1" applyBorder="1" applyAlignment="1">
      <alignment horizontal="left"/>
    </xf>
    <xf numFmtId="0" fontId="29" fillId="0" borderId="4" xfId="0" applyFont="1" applyBorder="1" applyAlignment="1">
      <alignment horizontal="right"/>
    </xf>
    <xf numFmtId="0" fontId="29" fillId="0" borderId="5" xfId="0" applyFont="1" applyBorder="1" applyAlignment="1">
      <alignment horizontal="right"/>
    </xf>
    <xf numFmtId="0" fontId="38" fillId="0" borderId="0" xfId="0" applyFont="1" applyAlignment="1">
      <alignment horizontal="left"/>
    </xf>
    <xf numFmtId="0" fontId="29" fillId="0" borderId="0" xfId="0" applyFont="1" applyAlignment="1">
      <alignment horizontal="right"/>
    </xf>
    <xf numFmtId="0" fontId="2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1" fillId="0" borderId="11" xfId="0" applyFont="1" applyBorder="1" applyAlignment="1">
      <alignment horizontal="left"/>
    </xf>
    <xf numFmtId="0" fontId="29" fillId="0" borderId="9" xfId="0" applyFont="1" applyBorder="1"/>
    <xf numFmtId="164" fontId="0" fillId="0" borderId="0" xfId="0" applyNumberFormat="1" applyAlignment="1">
      <alignment horizontal="center"/>
    </xf>
    <xf numFmtId="0" fontId="0" fillId="0" borderId="12" xfId="0" applyBorder="1"/>
    <xf numFmtId="0" fontId="31" fillId="0" borderId="3" xfId="0" applyFont="1" applyBorder="1"/>
    <xf numFmtId="0" fontId="31" fillId="0" borderId="0" xfId="543" applyFont="1"/>
    <xf numFmtId="0" fontId="47" fillId="0" borderId="0" xfId="543" applyFont="1"/>
    <xf numFmtId="49" fontId="22" fillId="0" borderId="0" xfId="543" applyNumberFormat="1"/>
    <xf numFmtId="0" fontId="45" fillId="0" borderId="0" xfId="543" applyFont="1"/>
    <xf numFmtId="168" fontId="42" fillId="0" borderId="6" xfId="543" applyNumberFormat="1" applyFont="1" applyBorder="1" applyAlignment="1">
      <alignment horizontal="left"/>
    </xf>
    <xf numFmtId="168" fontId="42" fillId="0" borderId="6" xfId="543" applyNumberFormat="1" applyFont="1" applyBorder="1" applyAlignment="1">
      <alignment horizontal="center"/>
    </xf>
    <xf numFmtId="0" fontId="22" fillId="0" borderId="8" xfId="543" applyBorder="1"/>
    <xf numFmtId="0" fontId="42" fillId="0" borderId="0" xfId="543" applyFont="1" applyAlignment="1">
      <alignment horizontal="center"/>
    </xf>
    <xf numFmtId="0" fontId="41" fillId="0" borderId="9" xfId="543" applyFont="1" applyBorder="1" applyAlignment="1">
      <alignment horizontal="left" vertical="top" wrapText="1"/>
    </xf>
    <xf numFmtId="0" fontId="41" fillId="0" borderId="6" xfId="543" applyFont="1" applyBorder="1" applyAlignment="1">
      <alignment horizontal="center" vertical="top" wrapText="1"/>
    </xf>
    <xf numFmtId="0" fontId="22" fillId="0" borderId="9" xfId="543" applyBorder="1"/>
    <xf numFmtId="0" fontId="22" fillId="0" borderId="10" xfId="543" applyBorder="1"/>
    <xf numFmtId="0" fontId="22" fillId="0" borderId="1" xfId="543" applyBorder="1"/>
    <xf numFmtId="0" fontId="42" fillId="0" borderId="2" xfId="543" applyFont="1" applyBorder="1" applyAlignment="1">
      <alignment horizontal="center"/>
    </xf>
    <xf numFmtId="0" fontId="44" fillId="0" borderId="8" xfId="543" applyFont="1" applyBorder="1" applyAlignment="1">
      <alignment horizontal="left" vertical="top" wrapText="1"/>
    </xf>
    <xf numFmtId="0" fontId="41" fillId="0" borderId="0" xfId="543" applyFont="1" applyAlignment="1">
      <alignment horizontal="center" vertical="top" wrapText="1"/>
    </xf>
    <xf numFmtId="0" fontId="22" fillId="0" borderId="12" xfId="543" applyBorder="1"/>
    <xf numFmtId="0" fontId="44" fillId="0" borderId="0" xfId="543" applyFont="1" applyAlignment="1">
      <alignment horizontal="center" vertical="top" wrapText="1"/>
    </xf>
    <xf numFmtId="0" fontId="44" fillId="0" borderId="9" xfId="543" applyFont="1" applyBorder="1" applyAlignment="1">
      <alignment horizontal="left" vertical="top" wrapText="1"/>
    </xf>
    <xf numFmtId="0" fontId="22" fillId="0" borderId="2" xfId="543" applyBorder="1"/>
    <xf numFmtId="0" fontId="22" fillId="0" borderId="7" xfId="543" applyBorder="1"/>
    <xf numFmtId="0" fontId="41" fillId="0" borderId="0" xfId="543" applyFont="1"/>
    <xf numFmtId="0" fontId="22" fillId="0" borderId="0" xfId="543" applyAlignment="1">
      <alignment horizontal="center"/>
    </xf>
    <xf numFmtId="0" fontId="30" fillId="0" borderId="6" xfId="543" applyFont="1" applyBorder="1" applyAlignment="1">
      <alignment vertical="top" wrapText="1"/>
    </xf>
    <xf numFmtId="0" fontId="31" fillId="0" borderId="0" xfId="0" applyFont="1" applyAlignment="1">
      <alignment horizontal="left" vertical="top"/>
    </xf>
    <xf numFmtId="0" fontId="0" fillId="2" borderId="2" xfId="0" applyFill="1" applyBorder="1"/>
    <xf numFmtId="0" fontId="0" fillId="2" borderId="7" xfId="0" applyFill="1" applyBorder="1"/>
    <xf numFmtId="0" fontId="29" fillId="0" borderId="6" xfId="0" applyFont="1" applyBorder="1" applyAlignment="1">
      <alignment horizontal="right"/>
    </xf>
    <xf numFmtId="0" fontId="28" fillId="0" borderId="0" xfId="0" applyFont="1" applyAlignment="1">
      <alignment horizontal="center" vertical="center"/>
    </xf>
    <xf numFmtId="0" fontId="29" fillId="0" borderId="0" xfId="0" applyFont="1" applyAlignment="1">
      <alignment vertical="top"/>
    </xf>
    <xf numFmtId="166" fontId="0" fillId="0" borderId="0" xfId="0" applyNumberFormat="1" applyAlignment="1">
      <alignment horizontal="right"/>
    </xf>
    <xf numFmtId="0" fontId="52" fillId="0" borderId="0" xfId="0" applyFont="1"/>
    <xf numFmtId="0" fontId="39" fillId="0" borderId="0" xfId="0" applyFont="1"/>
    <xf numFmtId="0" fontId="23" fillId="0" borderId="0" xfId="244" applyBorder="1" applyProtection="1"/>
    <xf numFmtId="0" fontId="23" fillId="0" borderId="0" xfId="244" applyFill="1" applyBorder="1" applyAlignment="1">
      <alignment horizontal="center" vertical="center"/>
    </xf>
    <xf numFmtId="0" fontId="22" fillId="0" borderId="3" xfId="543" applyBorder="1"/>
    <xf numFmtId="0" fontId="44" fillId="0" borderId="4" xfId="543" applyFont="1" applyBorder="1" applyAlignment="1">
      <alignment horizontal="right" vertical="top" wrapText="1"/>
    </xf>
    <xf numFmtId="0" fontId="31" fillId="0" borderId="6" xfId="0" applyFont="1" applyBorder="1"/>
    <xf numFmtId="0" fontId="31" fillId="0" borderId="2" xfId="0" applyFont="1" applyBorder="1"/>
    <xf numFmtId="0" fontId="31" fillId="0" borderId="7" xfId="0" applyFont="1" applyBorder="1"/>
    <xf numFmtId="0" fontId="31" fillId="0" borderId="12" xfId="0" applyFont="1" applyBorder="1"/>
    <xf numFmtId="0" fontId="31" fillId="0" borderId="9" xfId="0" applyFont="1" applyBorder="1"/>
    <xf numFmtId="0" fontId="31" fillId="0" borderId="10" xfId="0" applyFont="1" applyBorder="1"/>
    <xf numFmtId="0" fontId="36" fillId="0" borderId="6" xfId="0" applyFont="1" applyBorder="1" applyAlignment="1">
      <alignment vertical="top" wrapText="1"/>
    </xf>
    <xf numFmtId="0" fontId="36" fillId="0" borderId="5" xfId="0" applyFont="1" applyBorder="1" applyAlignment="1">
      <alignment vertical="top" wrapText="1"/>
    </xf>
    <xf numFmtId="0" fontId="36" fillId="0" borderId="4" xfId="0" applyFont="1" applyBorder="1" applyAlignment="1">
      <alignment vertical="top" wrapText="1"/>
    </xf>
    <xf numFmtId="0" fontId="36" fillId="2" borderId="6" xfId="0" applyFont="1" applyFill="1" applyBorder="1" applyAlignment="1">
      <alignment vertical="top" wrapText="1"/>
    </xf>
    <xf numFmtId="0" fontId="0" fillId="0" borderId="8" xfId="0" applyBorder="1"/>
    <xf numFmtId="0" fontId="29" fillId="0" borderId="2" xfId="0" applyFont="1" applyBorder="1"/>
    <xf numFmtId="0" fontId="31" fillId="0" borderId="0" xfId="0" applyFont="1" applyAlignment="1">
      <alignment vertical="top"/>
    </xf>
    <xf numFmtId="0" fontId="31" fillId="0" borderId="0" xfId="0" applyFont="1" applyAlignment="1">
      <alignment vertical="top" wrapText="1"/>
    </xf>
    <xf numFmtId="0" fontId="22" fillId="0" borderId="0" xfId="0" applyFont="1" applyAlignment="1">
      <alignment horizontal="left"/>
    </xf>
    <xf numFmtId="0" fontId="22" fillId="0" borderId="0" xfId="0" applyFont="1" applyAlignment="1">
      <alignment vertical="top"/>
    </xf>
    <xf numFmtId="0" fontId="51" fillId="0" borderId="0" xfId="0" applyFont="1"/>
    <xf numFmtId="0" fontId="22" fillId="0" borderId="3" xfId="0" applyFont="1" applyBorder="1"/>
    <xf numFmtId="0" fontId="2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6" fillId="3" borderId="4" xfId="0" applyFont="1" applyFill="1" applyBorder="1" applyAlignment="1">
      <alignment vertical="top" wrapText="1"/>
    </xf>
    <xf numFmtId="0" fontId="36" fillId="3" borderId="5" xfId="0" applyFont="1" applyFill="1" applyBorder="1" applyAlignment="1">
      <alignment vertical="top" wrapText="1"/>
    </xf>
    <xf numFmtId="0" fontId="54" fillId="0" borderId="0" xfId="0" applyFont="1"/>
    <xf numFmtId="0" fontId="31" fillId="0" borderId="4" xfId="0" applyFont="1" applyBorder="1"/>
    <xf numFmtId="0" fontId="29" fillId="0" borderId="2" xfId="0" applyFont="1" applyBorder="1" applyAlignment="1">
      <alignment horizontal="center"/>
    </xf>
    <xf numFmtId="0" fontId="29" fillId="0" borderId="0" xfId="0" applyFont="1" applyAlignment="1">
      <alignment horizontal="center" vertical="center" wrapText="1"/>
    </xf>
    <xf numFmtId="0" fontId="29" fillId="0" borderId="7" xfId="543" applyFont="1" applyBorder="1" applyAlignment="1">
      <alignment horizontal="right"/>
    </xf>
    <xf numFmtId="0" fontId="30" fillId="0" borderId="9" xfId="543" applyFont="1" applyBorder="1"/>
    <xf numFmtId="0" fontId="31" fillId="0" borderId="6" xfId="543" applyFont="1" applyBorder="1"/>
    <xf numFmtId="0" fontId="30" fillId="0" borderId="6" xfId="543" applyFont="1" applyBorder="1" applyAlignment="1">
      <alignment horizontal="right"/>
    </xf>
    <xf numFmtId="0" fontId="29" fillId="0" borderId="0" xfId="0" applyFont="1" applyAlignment="1">
      <alignment horizontal="center" vertical="center"/>
    </xf>
    <xf numFmtId="0" fontId="31" fillId="0" borderId="0" xfId="0" applyFont="1" applyAlignment="1">
      <alignment horizontal="left" vertical="center"/>
    </xf>
    <xf numFmtId="0" fontId="59" fillId="0" borderId="3" xfId="0" applyFont="1" applyBorder="1" applyAlignment="1">
      <alignment horizontal="left" vertical="top"/>
    </xf>
    <xf numFmtId="0" fontId="59" fillId="0" borderId="13" xfId="0" applyFont="1" applyBorder="1" applyAlignment="1">
      <alignment horizontal="center" wrapText="1"/>
    </xf>
    <xf numFmtId="0" fontId="59" fillId="0" borderId="13" xfId="0" applyFont="1" applyBorder="1" applyAlignment="1">
      <alignment horizontal="center" vertical="top" wrapText="1"/>
    </xf>
    <xf numFmtId="0" fontId="59" fillId="2" borderId="13" xfId="0" applyFont="1" applyFill="1" applyBorder="1" applyAlignment="1">
      <alignment horizontal="center" wrapText="1"/>
    </xf>
    <xf numFmtId="0" fontId="60" fillId="2" borderId="11" xfId="0" applyFont="1" applyFill="1" applyBorder="1" applyAlignment="1">
      <alignment horizontal="left" vertical="top" wrapText="1"/>
    </xf>
    <xf numFmtId="0" fontId="61" fillId="4" borderId="11" xfId="0" applyFont="1" applyFill="1" applyBorder="1" applyAlignment="1">
      <alignment vertical="top" wrapText="1"/>
    </xf>
    <xf numFmtId="0" fontId="61" fillId="2" borderId="11" xfId="0" applyFont="1" applyFill="1" applyBorder="1" applyAlignment="1">
      <alignment vertical="top" wrapText="1"/>
    </xf>
    <xf numFmtId="0" fontId="61" fillId="0" borderId="11" xfId="0" applyFont="1" applyBorder="1" applyAlignment="1">
      <alignment vertical="top" wrapText="1"/>
    </xf>
    <xf numFmtId="0" fontId="61" fillId="0" borderId="11" xfId="0" applyFont="1" applyBorder="1" applyAlignment="1">
      <alignment horizontal="right" vertical="top" wrapText="1"/>
    </xf>
    <xf numFmtId="168" fontId="61" fillId="0" borderId="11" xfId="0" applyNumberFormat="1" applyFont="1" applyBorder="1" applyAlignment="1">
      <alignment vertical="top" wrapText="1"/>
    </xf>
    <xf numFmtId="168" fontId="61" fillId="5" borderId="11" xfId="0" applyNumberFormat="1" applyFont="1" applyFill="1" applyBorder="1" applyAlignment="1" applyProtection="1">
      <alignment vertical="top" wrapText="1"/>
      <protection locked="0"/>
    </xf>
    <xf numFmtId="168" fontId="61" fillId="6" borderId="11" xfId="0" applyNumberFormat="1" applyFont="1" applyFill="1" applyBorder="1" applyAlignment="1">
      <alignment horizontal="center"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61" fillId="4" borderId="11" xfId="0" applyNumberFormat="1"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25" fillId="0" borderId="11" xfId="0" applyFont="1" applyBorder="1" applyAlignment="1">
      <alignment horizontal="right" vertical="top" wrapText="1"/>
    </xf>
    <xf numFmtId="0" fontId="61" fillId="0" borderId="11" xfId="0" applyFont="1" applyBorder="1" applyAlignment="1" applyProtection="1">
      <alignment horizontal="right" vertical="top" wrapText="1"/>
      <protection locked="0"/>
    </xf>
    <xf numFmtId="0" fontId="59" fillId="0" borderId="0" xfId="0" applyFont="1" applyAlignment="1">
      <alignment horizontal="left" vertical="top"/>
    </xf>
    <xf numFmtId="0" fontId="61" fillId="0" borderId="0" xfId="0" applyFont="1" applyAlignment="1">
      <alignment horizontal="left" vertical="top"/>
    </xf>
    <xf numFmtId="0" fontId="61" fillId="0" borderId="0" xfId="0" applyFont="1" applyAlignment="1">
      <alignment vertical="top" wrapText="1"/>
    </xf>
    <xf numFmtId="0" fontId="61" fillId="0" borderId="0" xfId="0" applyFont="1" applyAlignment="1">
      <alignment vertical="top"/>
    </xf>
    <xf numFmtId="0" fontId="59" fillId="0" borderId="0" xfId="0" applyFont="1" applyAlignment="1">
      <alignment horizontal="right" vertical="top"/>
    </xf>
    <xf numFmtId="0" fontId="61" fillId="2" borderId="0" xfId="0" applyFont="1" applyFill="1" applyAlignment="1">
      <alignment vertical="top" wrapText="1"/>
    </xf>
    <xf numFmtId="0" fontId="59" fillId="0" borderId="0" xfId="0" applyFont="1" applyAlignment="1">
      <alignment vertical="top"/>
    </xf>
    <xf numFmtId="166" fontId="31" fillId="0" borderId="0" xfId="0" applyNumberFormat="1" applyFont="1" applyAlignment="1">
      <alignment horizontal="left"/>
    </xf>
    <xf numFmtId="0" fontId="62" fillId="0" borderId="0" xfId="0" applyFont="1"/>
    <xf numFmtId="0" fontId="22" fillId="0" borderId="0" xfId="244" applyFont="1" applyFill="1" applyBorder="1" applyAlignment="1" applyProtection="1">
      <alignment horizontal="left"/>
    </xf>
    <xf numFmtId="0" fontId="53" fillId="0" borderId="0" xfId="0" applyFont="1"/>
    <xf numFmtId="0" fontId="53" fillId="0" borderId="0" xfId="244" applyFont="1" applyFill="1" applyBorder="1" applyAlignment="1" applyProtection="1">
      <alignment horizontal="left"/>
    </xf>
    <xf numFmtId="0" fontId="28" fillId="3" borderId="11" xfId="0" applyFont="1" applyFill="1" applyBorder="1" applyAlignment="1">
      <alignment vertical="top"/>
    </xf>
    <xf numFmtId="0" fontId="0" fillId="7" borderId="0" xfId="0" applyFill="1"/>
    <xf numFmtId="0" fontId="42" fillId="0" borderId="0" xfId="0" applyFont="1"/>
    <xf numFmtId="0" fontId="64" fillId="0" borderId="0" xfId="0" applyFont="1"/>
    <xf numFmtId="0" fontId="40" fillId="0" borderId="0" xfId="0" applyFont="1" applyAlignment="1">
      <alignment horizontal="center"/>
    </xf>
    <xf numFmtId="0" fontId="40" fillId="0" borderId="0" xfId="0" applyFont="1" applyAlignment="1">
      <alignment horizontal="left"/>
    </xf>
    <xf numFmtId="49" fontId="29" fillId="0" borderId="0" xfId="0" applyNumberFormat="1" applyFont="1" applyAlignment="1">
      <alignment horizontal="center"/>
    </xf>
    <xf numFmtId="0" fontId="56" fillId="0" borderId="0" xfId="0" applyFont="1" applyAlignment="1">
      <alignment horizontal="center"/>
    </xf>
    <xf numFmtId="168" fontId="31" fillId="0" borderId="0" xfId="0" applyNumberFormat="1" applyFont="1" applyAlignment="1">
      <alignment horizontal="center"/>
    </xf>
    <xf numFmtId="168" fontId="41" fillId="0" borderId="0" xfId="0" applyNumberFormat="1" applyFont="1" applyAlignment="1">
      <alignment horizontal="left" vertical="top" wrapText="1"/>
    </xf>
    <xf numFmtId="0" fontId="58" fillId="0" borderId="3" xfId="0" applyFont="1" applyBorder="1"/>
    <xf numFmtId="168" fontId="0" fillId="0" borderId="0" xfId="0" applyNumberFormat="1" applyAlignment="1">
      <alignment horizontal="center"/>
    </xf>
    <xf numFmtId="0" fontId="42" fillId="0" borderId="0" xfId="0" applyFont="1" applyAlignment="1">
      <alignment vertical="top" wrapText="1"/>
    </xf>
    <xf numFmtId="0" fontId="59" fillId="0" borderId="4" xfId="0" applyFont="1" applyBorder="1" applyAlignment="1">
      <alignment horizontal="right"/>
    </xf>
    <xf numFmtId="0" fontId="66" fillId="0" borderId="0" xfId="0" applyFont="1"/>
    <xf numFmtId="3" fontId="31" fillId="0" borderId="0" xfId="0" applyNumberFormat="1" applyFont="1" applyAlignment="1">
      <alignment horizontal="center"/>
    </xf>
    <xf numFmtId="168" fontId="22" fillId="0" borderId="0" xfId="0" applyNumberFormat="1" applyFont="1" applyAlignment="1">
      <alignment horizontal="left" vertical="top"/>
    </xf>
    <xf numFmtId="168" fontId="31" fillId="0" borderId="0" xfId="0" applyNumberFormat="1" applyFont="1" applyAlignment="1">
      <alignment horizontal="left" vertical="top"/>
    </xf>
    <xf numFmtId="0" fontId="61" fillId="0" borderId="11" xfId="0" applyFont="1" applyBorder="1" applyAlignment="1">
      <alignment horizontal="right" vertical="top"/>
    </xf>
    <xf numFmtId="0" fontId="61" fillId="0" borderId="0" xfId="0" applyFont="1" applyAlignment="1">
      <alignment horizontal="right" vertical="top" wrapText="1"/>
    </xf>
    <xf numFmtId="0" fontId="61" fillId="2" borderId="12" xfId="0" applyFont="1" applyFill="1" applyBorder="1" applyAlignment="1">
      <alignment vertical="top" wrapText="1"/>
    </xf>
    <xf numFmtId="0" fontId="61" fillId="0" borderId="14" xfId="0" applyFont="1" applyBorder="1" applyAlignment="1">
      <alignment vertical="top" wrapText="1"/>
    </xf>
    <xf numFmtId="168" fontId="61" fillId="5" borderId="11" xfId="0" applyNumberFormat="1" applyFont="1" applyFill="1" applyBorder="1" applyAlignment="1" applyProtection="1">
      <alignment vertical="top"/>
      <protection locked="0"/>
    </xf>
    <xf numFmtId="0" fontId="61" fillId="2" borderId="11" xfId="0" applyFont="1" applyFill="1" applyBorder="1" applyAlignment="1" applyProtection="1">
      <alignment vertical="top"/>
      <protection locked="0"/>
    </xf>
    <xf numFmtId="0" fontId="61" fillId="0" borderId="11" xfId="0" applyFont="1" applyBorder="1" applyAlignment="1" applyProtection="1">
      <alignment vertical="top"/>
      <protection locked="0"/>
    </xf>
    <xf numFmtId="168" fontId="61" fillId="0" borderId="11" xfId="0" applyNumberFormat="1" applyFont="1" applyBorder="1" applyAlignment="1">
      <alignment vertical="top"/>
    </xf>
    <xf numFmtId="168" fontId="61" fillId="6" borderId="11" xfId="0" applyNumberFormat="1" applyFont="1" applyFill="1" applyBorder="1" applyAlignment="1">
      <alignment horizontal="center" vertical="top"/>
    </xf>
    <xf numFmtId="0" fontId="29" fillId="0" borderId="0" xfId="542" applyFont="1" applyProtection="1">
      <protection locked="0"/>
    </xf>
    <xf numFmtId="0" fontId="22" fillId="0" borderId="0" xfId="539" applyProtection="1"/>
    <xf numFmtId="0" fontId="42" fillId="8" borderId="0" xfId="539" applyFont="1" applyFill="1" applyAlignment="1" applyProtection="1">
      <alignment horizontal="centerContinuous"/>
    </xf>
    <xf numFmtId="0" fontId="29" fillId="0" borderId="0" xfId="543" applyFont="1"/>
    <xf numFmtId="0" fontId="31" fillId="0" borderId="0" xfId="543" applyFont="1" applyAlignment="1">
      <alignment horizontal="left"/>
    </xf>
    <xf numFmtId="0" fontId="31" fillId="0" borderId="15" xfId="0" applyFont="1" applyBorder="1"/>
    <xf numFmtId="2" fontId="45" fillId="0" borderId="11" xfId="0" applyNumberFormat="1" applyFont="1" applyBorder="1"/>
    <xf numFmtId="0" fontId="22" fillId="0" borderId="0" xfId="0" applyFont="1" applyProtection="1">
      <protection locked="0"/>
    </xf>
    <xf numFmtId="0" fontId="69" fillId="0" borderId="0" xfId="0" applyFont="1" applyAlignment="1">
      <alignment horizontal="center"/>
    </xf>
    <xf numFmtId="0" fontId="31" fillId="0" borderId="0" xfId="271"/>
    <xf numFmtId="0" fontId="29" fillId="0" borderId="0" xfId="271" applyFont="1"/>
    <xf numFmtId="0" fontId="31" fillId="0" borderId="0" xfId="271" applyAlignment="1">
      <alignment horizontal="left"/>
    </xf>
    <xf numFmtId="168" fontId="29" fillId="0" borderId="2" xfId="543" applyNumberFormat="1" applyFont="1" applyBorder="1" applyAlignment="1">
      <alignment horizontal="center" vertical="center"/>
    </xf>
    <xf numFmtId="0" fontId="44" fillId="0" borderId="0" xfId="543" applyFont="1" applyAlignment="1">
      <alignment horizontal="right" vertical="top" wrapText="1"/>
    </xf>
    <xf numFmtId="0" fontId="42" fillId="0" borderId="2" xfId="543" applyFont="1" applyBorder="1" applyAlignment="1">
      <alignment horizontal="right" vertical="top" wrapText="1"/>
    </xf>
    <xf numFmtId="0" fontId="27" fillId="0" borderId="0" xfId="0" applyFont="1"/>
    <xf numFmtId="0" fontId="71" fillId="0" borderId="0" xfId="0" applyFont="1"/>
    <xf numFmtId="0" fontId="69" fillId="0" borderId="0" xfId="0" applyFont="1"/>
    <xf numFmtId="0" fontId="4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9" fillId="0" borderId="0" xfId="0" applyNumberFormat="1" applyFont="1" applyAlignment="1">
      <alignment horizontal="center"/>
    </xf>
    <xf numFmtId="3" fontId="31" fillId="0" borderId="0" xfId="0" applyNumberFormat="1" applyFont="1"/>
    <xf numFmtId="0" fontId="70" fillId="0" borderId="0" xfId="0" applyFont="1"/>
    <xf numFmtId="168" fontId="27" fillId="0" borderId="0" xfId="0" applyNumberFormat="1" applyFont="1"/>
    <xf numFmtId="10" fontId="27" fillId="0" borderId="0" xfId="0" applyNumberFormat="1" applyFont="1" applyAlignment="1">
      <alignment horizontal="center"/>
    </xf>
    <xf numFmtId="3" fontId="27" fillId="0" borderId="0" xfId="0" applyNumberFormat="1" applyFont="1"/>
    <xf numFmtId="168" fontId="70" fillId="0" borderId="0" xfId="0" applyNumberFormat="1" applyFont="1"/>
    <xf numFmtId="168" fontId="70" fillId="0" borderId="0" xfId="0" applyNumberFormat="1" applyFont="1" applyAlignment="1">
      <alignment horizontal="center"/>
    </xf>
    <xf numFmtId="0" fontId="27" fillId="5" borderId="0" xfId="0" applyFont="1" applyFill="1" applyAlignment="1">
      <alignment horizontal="left"/>
    </xf>
    <xf numFmtId="0" fontId="27" fillId="5" borderId="0" xfId="0" applyFont="1" applyFill="1"/>
    <xf numFmtId="10" fontId="27" fillId="0" borderId="0" xfId="0" applyNumberFormat="1" applyFont="1"/>
    <xf numFmtId="172" fontId="27" fillId="0" borderId="0" xfId="0" applyNumberFormat="1" applyFont="1"/>
    <xf numFmtId="172" fontId="27" fillId="0" borderId="0" xfId="0" applyNumberFormat="1" applyFont="1" applyAlignment="1">
      <alignment horizontal="center"/>
    </xf>
    <xf numFmtId="0" fontId="27" fillId="0" borderId="6" xfId="0" applyFont="1" applyBorder="1"/>
    <xf numFmtId="10" fontId="27" fillId="0" borderId="6" xfId="0" applyNumberFormat="1" applyFont="1" applyBorder="1" applyAlignment="1">
      <alignment horizontal="center"/>
    </xf>
    <xf numFmtId="3" fontId="27" fillId="0" borderId="6" xfId="0" applyNumberFormat="1" applyFont="1" applyBorder="1"/>
    <xf numFmtId="10" fontId="31" fillId="0" borderId="0" xfId="0" applyNumberFormat="1" applyFont="1" applyAlignment="1">
      <alignment horizontal="center"/>
    </xf>
    <xf numFmtId="3" fontId="31" fillId="0" borderId="0" xfId="0" applyNumberFormat="1" applyFont="1" applyAlignment="1">
      <alignment vertical="top"/>
    </xf>
    <xf numFmtId="10" fontId="29" fillId="0" borderId="0" xfId="0" applyNumberFormat="1" applyFont="1" applyAlignment="1">
      <alignment horizontal="center"/>
    </xf>
    <xf numFmtId="0" fontId="69" fillId="0" borderId="6" xfId="0" applyFont="1" applyBorder="1" applyAlignment="1">
      <alignment horizontal="center"/>
    </xf>
    <xf numFmtId="172" fontId="31" fillId="0" borderId="0" xfId="0" applyNumberFormat="1" applyFont="1" applyAlignment="1">
      <alignment horizontal="center"/>
    </xf>
    <xf numFmtId="0" fontId="31" fillId="9" borderId="6" xfId="0" applyFont="1" applyFill="1" applyBorder="1"/>
    <xf numFmtId="0" fontId="31" fillId="0" borderId="4" xfId="271" applyBorder="1"/>
    <xf numFmtId="0" fontId="31" fillId="0" borderId="6" xfId="271" applyBorder="1"/>
    <xf numFmtId="0" fontId="31" fillId="0" borderId="1" xfId="0" applyFont="1" applyBorder="1"/>
    <xf numFmtId="168" fontId="31" fillId="0" borderId="3" xfId="0" applyNumberFormat="1" applyFont="1" applyBorder="1" applyAlignment="1">
      <alignment vertical="top"/>
    </xf>
    <xf numFmtId="168" fontId="31" fillId="0" borderId="4" xfId="0" applyNumberFormat="1" applyFont="1" applyBorder="1" applyAlignment="1">
      <alignment vertical="top"/>
    </xf>
    <xf numFmtId="168" fontId="31" fillId="0" borderId="5" xfId="0" applyNumberFormat="1" applyFont="1" applyBorder="1" applyAlignment="1">
      <alignment vertical="top"/>
    </xf>
    <xf numFmtId="168" fontId="31" fillId="0" borderId="8" xfId="0" applyNumberFormat="1" applyFont="1" applyBorder="1" applyAlignment="1">
      <alignment vertical="top"/>
    </xf>
    <xf numFmtId="168" fontId="31" fillId="0" borderId="0" xfId="0" applyNumberFormat="1" applyFont="1" applyAlignment="1">
      <alignment vertical="top"/>
    </xf>
    <xf numFmtId="0" fontId="31" fillId="0" borderId="0" xfId="0" applyFont="1" applyAlignment="1">
      <alignment horizontal="right" vertical="top"/>
    </xf>
    <xf numFmtId="0" fontId="3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1" fillId="5" borderId="4" xfId="0" applyFont="1" applyFill="1" applyBorder="1" applyAlignment="1" applyProtection="1">
      <alignment horizontal="left" vertical="top"/>
      <protection locked="0"/>
    </xf>
    <xf numFmtId="0" fontId="31" fillId="5" borderId="5" xfId="0" applyFont="1" applyFill="1" applyBorder="1" applyAlignment="1" applyProtection="1">
      <alignment horizontal="left" vertical="top"/>
      <protection locked="0"/>
    </xf>
    <xf numFmtId="4" fontId="56" fillId="0" borderId="0" xfId="0" applyNumberFormat="1" applyFont="1" applyAlignment="1">
      <alignment horizontal="center"/>
    </xf>
    <xf numFmtId="0" fontId="41" fillId="0" borderId="1" xfId="543" applyFont="1" applyBorder="1" applyAlignment="1">
      <alignment horizontal="left" vertical="top" wrapText="1"/>
    </xf>
    <xf numFmtId="0" fontId="41" fillId="0" borderId="12" xfId="543" applyFont="1" applyBorder="1" applyAlignment="1">
      <alignment horizontal="center" vertical="top" wrapText="1"/>
    </xf>
    <xf numFmtId="0" fontId="41" fillId="0" borderId="8" xfId="543" applyFont="1" applyBorder="1" applyAlignment="1">
      <alignment horizontal="left" vertical="top" wrapText="1"/>
    </xf>
    <xf numFmtId="0" fontId="36" fillId="3" borderId="4" xfId="271" applyFont="1" applyFill="1" applyBorder="1" applyAlignment="1">
      <alignment vertical="top" wrapText="1"/>
    </xf>
    <xf numFmtId="0" fontId="28" fillId="3" borderId="11" xfId="271" applyFont="1" applyFill="1" applyBorder="1" applyAlignment="1">
      <alignment vertical="top"/>
    </xf>
    <xf numFmtId="0" fontId="29" fillId="0" borderId="9" xfId="271" applyFont="1" applyBorder="1" applyAlignment="1">
      <alignment horizontal="center" wrapText="1"/>
    </xf>
    <xf numFmtId="0" fontId="36" fillId="3" borderId="4" xfId="271" applyFont="1" applyFill="1" applyBorder="1" applyAlignment="1" applyProtection="1">
      <alignment vertical="top" wrapText="1"/>
      <protection locked="0"/>
    </xf>
    <xf numFmtId="0" fontId="36" fillId="3" borderId="5" xfId="271" applyFont="1" applyFill="1" applyBorder="1" applyAlignment="1" applyProtection="1">
      <alignment vertical="top" wrapText="1"/>
      <protection locked="0"/>
    </xf>
    <xf numFmtId="0" fontId="29" fillId="0" borderId="13" xfId="271" applyFont="1" applyBorder="1" applyAlignment="1">
      <alignment horizontal="center" wrapText="1"/>
    </xf>
    <xf numFmtId="0" fontId="54" fillId="2" borderId="11" xfId="271" applyFont="1" applyFill="1" applyBorder="1" applyAlignment="1">
      <alignment horizontal="left" vertical="top" wrapText="1"/>
    </xf>
    <xf numFmtId="0" fontId="31" fillId="0" borderId="11" xfId="271" applyBorder="1" applyAlignment="1" applyProtection="1">
      <alignment vertical="top" wrapText="1"/>
      <protection locked="0"/>
    </xf>
    <xf numFmtId="168" fontId="31" fillId="5" borderId="11" xfId="271" applyNumberFormat="1" applyFill="1" applyBorder="1" applyAlignment="1" applyProtection="1">
      <alignment vertical="top" wrapText="1"/>
      <protection locked="0"/>
    </xf>
    <xf numFmtId="0" fontId="31" fillId="5" borderId="3" xfId="271" applyFill="1" applyBorder="1" applyAlignment="1" applyProtection="1">
      <alignment vertical="top" wrapText="1"/>
      <protection locked="0"/>
    </xf>
    <xf numFmtId="0" fontId="31" fillId="5" borderId="11" xfId="271" applyFill="1" applyBorder="1" applyAlignment="1" applyProtection="1">
      <alignment vertical="top" wrapText="1"/>
      <protection locked="0"/>
    </xf>
    <xf numFmtId="0" fontId="31" fillId="0" borderId="11" xfId="271" applyBorder="1" applyAlignment="1">
      <alignment horizontal="right" vertical="top" wrapText="1"/>
    </xf>
    <xf numFmtId="168" fontId="31" fillId="0" borderId="11" xfId="271" applyNumberFormat="1" applyBorder="1" applyAlignment="1">
      <alignment vertical="top" wrapText="1"/>
    </xf>
    <xf numFmtId="0" fontId="29" fillId="0" borderId="11" xfId="271" applyFont="1" applyBorder="1" applyAlignment="1">
      <alignment horizontal="right" vertical="top" wrapText="1"/>
    </xf>
    <xf numFmtId="0" fontId="31" fillId="5" borderId="11" xfId="271" applyFill="1" applyBorder="1" applyAlignment="1" applyProtection="1">
      <alignment horizontal="right" vertical="top" wrapText="1"/>
      <protection locked="0"/>
    </xf>
    <xf numFmtId="168" fontId="29" fillId="0" borderId="11" xfId="271" applyNumberFormat="1" applyFont="1" applyBorder="1" applyAlignment="1">
      <alignment vertical="top" wrapText="1"/>
    </xf>
    <xf numFmtId="0" fontId="39" fillId="0" borderId="11" xfId="271" applyFont="1" applyBorder="1" applyAlignment="1">
      <alignment horizontal="right" vertical="top" wrapText="1"/>
    </xf>
    <xf numFmtId="0" fontId="36" fillId="0" borderId="0" xfId="271" applyFont="1" applyAlignment="1" applyProtection="1">
      <alignment vertical="top" wrapText="1"/>
      <protection locked="0"/>
    </xf>
    <xf numFmtId="0" fontId="31" fillId="0" borderId="5" xfId="271" applyBorder="1" applyAlignment="1" applyProtection="1">
      <alignment vertical="top" wrapText="1"/>
      <protection locked="0"/>
    </xf>
    <xf numFmtId="0" fontId="29" fillId="0" borderId="3" xfId="271" applyFont="1" applyBorder="1" applyAlignment="1">
      <alignment horizontal="left" vertical="top"/>
    </xf>
    <xf numFmtId="0" fontId="31" fillId="0" borderId="4" xfId="271" applyBorder="1" applyAlignment="1" applyProtection="1">
      <alignment horizontal="left" vertical="top"/>
      <protection locked="0"/>
    </xf>
    <xf numFmtId="0" fontId="31" fillId="0" borderId="4" xfId="271" applyBorder="1" applyAlignment="1" applyProtection="1">
      <alignment vertical="top" wrapText="1"/>
      <protection locked="0"/>
    </xf>
    <xf numFmtId="0" fontId="36" fillId="0" borderId="0" xfId="271" applyFont="1" applyAlignment="1">
      <alignment vertical="top" wrapText="1"/>
    </xf>
    <xf numFmtId="0" fontId="31" fillId="0" borderId="4" xfId="271" applyBorder="1" applyAlignment="1">
      <alignment vertical="top" wrapText="1"/>
    </xf>
    <xf numFmtId="0" fontId="54" fillId="2" borderId="11" xfId="271" applyFont="1" applyFill="1" applyBorder="1" applyAlignment="1" applyProtection="1">
      <alignment horizontal="left" vertical="top" wrapText="1"/>
      <protection locked="0"/>
    </xf>
    <xf numFmtId="0" fontId="58" fillId="0" borderId="11" xfId="0" applyFont="1" applyBorder="1" applyAlignment="1">
      <alignment horizontal="right" vertical="top" wrapText="1"/>
    </xf>
    <xf numFmtId="0" fontId="31" fillId="8" borderId="0" xfId="542" quotePrefix="1" applyFont="1" applyFill="1" applyAlignment="1">
      <alignment horizontal="left"/>
    </xf>
    <xf numFmtId="0" fontId="31" fillId="8" borderId="0" xfId="542" applyFont="1" applyFill="1"/>
    <xf numFmtId="0" fontId="39" fillId="8" borderId="0" xfId="542" applyFont="1" applyFill="1"/>
    <xf numFmtId="0" fontId="58" fillId="0" borderId="11" xfId="271" applyFont="1" applyBorder="1" applyAlignment="1">
      <alignment horizontal="right" vertical="top"/>
    </xf>
    <xf numFmtId="0" fontId="58" fillId="0" borderId="11" xfId="271" applyFont="1" applyBorder="1" applyAlignment="1">
      <alignment horizontal="right" vertical="top" wrapText="1"/>
    </xf>
    <xf numFmtId="0" fontId="31" fillId="0" borderId="0" xfId="271" applyAlignment="1">
      <alignment horizontal="left" vertical="top"/>
    </xf>
    <xf numFmtId="0" fontId="29" fillId="0" borderId="0" xfId="271" applyFont="1" applyAlignment="1">
      <alignment horizontal="right"/>
    </xf>
    <xf numFmtId="0" fontId="30" fillId="0" borderId="0" xfId="271" applyFont="1" applyAlignment="1">
      <alignment horizontal="center"/>
    </xf>
    <xf numFmtId="5" fontId="31" fillId="0" borderId="0" xfId="542" applyNumberFormat="1" applyFont="1"/>
    <xf numFmtId="1" fontId="31" fillId="0" borderId="15" xfId="271" applyNumberFormat="1" applyBorder="1"/>
    <xf numFmtId="1" fontId="31" fillId="0" borderId="14" xfId="271" applyNumberFormat="1" applyBorder="1"/>
    <xf numFmtId="0" fontId="30" fillId="0" borderId="6" xfId="271" applyFont="1" applyBorder="1" applyAlignment="1">
      <alignment horizontal="left"/>
    </xf>
    <xf numFmtId="0" fontId="30" fillId="0" borderId="6" xfId="271" applyFont="1" applyBorder="1" applyAlignment="1">
      <alignment horizontal="right"/>
    </xf>
    <xf numFmtId="165" fontId="31" fillId="0" borderId="0" xfId="271" applyNumberFormat="1"/>
    <xf numFmtId="170" fontId="31" fillId="0" borderId="14" xfId="271" applyNumberFormat="1" applyBorder="1"/>
    <xf numFmtId="1" fontId="29" fillId="0" borderId="11" xfId="271" applyNumberFormat="1" applyFont="1" applyBorder="1"/>
    <xf numFmtId="165" fontId="29" fillId="0" borderId="11" xfId="271" applyNumberFormat="1" applyFont="1" applyBorder="1"/>
    <xf numFmtId="3" fontId="61" fillId="0" borderId="11" xfId="0" applyNumberFormat="1" applyFont="1" applyBorder="1" applyAlignment="1">
      <alignment vertical="top" wrapText="1"/>
    </xf>
    <xf numFmtId="166" fontId="31" fillId="0" borderId="0" xfId="0" applyNumberFormat="1" applyFont="1"/>
    <xf numFmtId="0" fontId="0" fillId="0" borderId="0" xfId="0" applyProtection="1">
      <protection locked="0"/>
    </xf>
    <xf numFmtId="0" fontId="27" fillId="0" borderId="0" xfId="0" applyFont="1" applyProtection="1">
      <protection locked="0"/>
    </xf>
    <xf numFmtId="0" fontId="27" fillId="0" borderId="0" xfId="271" applyFont="1" applyProtection="1">
      <protection locked="0"/>
    </xf>
    <xf numFmtId="168" fontId="27" fillId="0" borderId="0" xfId="271" applyNumberFormat="1" applyFont="1" applyProtection="1">
      <protection locked="0"/>
    </xf>
    <xf numFmtId="0" fontId="35" fillId="0" borderId="1" xfId="0" applyFont="1" applyBorder="1"/>
    <xf numFmtId="0" fontId="22" fillId="0" borderId="2" xfId="0" applyFont="1" applyBorder="1" applyAlignment="1">
      <alignment horizontal="left"/>
    </xf>
    <xf numFmtId="0" fontId="22" fillId="0" borderId="2" xfId="0" applyFont="1" applyBorder="1"/>
    <xf numFmtId="0" fontId="35" fillId="0" borderId="8" xfId="0" applyFont="1" applyBorder="1"/>
    <xf numFmtId="0" fontId="35" fillId="0" borderId="9" xfId="0" applyFont="1" applyBorder="1"/>
    <xf numFmtId="0" fontId="29" fillId="0" borderId="0" xfId="0" applyFont="1" applyAlignment="1">
      <alignment horizontal="left" vertical="top"/>
    </xf>
    <xf numFmtId="0" fontId="77" fillId="0" borderId="0" xfId="0" applyFont="1" applyAlignment="1">
      <alignment vertical="center" wrapText="1"/>
    </xf>
    <xf numFmtId="0" fontId="77" fillId="0" borderId="0" xfId="0" applyFont="1" applyAlignment="1">
      <alignment vertical="center"/>
    </xf>
    <xf numFmtId="0" fontId="77" fillId="0" borderId="0" xfId="0" applyFont="1" applyAlignment="1">
      <alignment horizontal="left" vertical="center" indent="1"/>
    </xf>
    <xf numFmtId="172" fontId="31" fillId="5" borderId="0" xfId="0" applyNumberFormat="1" applyFont="1" applyFill="1" applyAlignment="1">
      <alignment horizontal="center"/>
    </xf>
    <xf numFmtId="0" fontId="78" fillId="0" borderId="0" xfId="0" applyFont="1" applyAlignment="1">
      <alignment horizontal="left" vertical="center"/>
    </xf>
    <xf numFmtId="0" fontId="41" fillId="0" borderId="2" xfId="543" applyFont="1" applyBorder="1" applyAlignment="1">
      <alignment horizontal="center" vertical="top" wrapText="1"/>
    </xf>
    <xf numFmtId="49" fontId="52" fillId="0" borderId="0" xfId="0" applyNumberFormat="1" applyFont="1" applyAlignment="1">
      <alignment horizontal="center"/>
    </xf>
    <xf numFmtId="0" fontId="58" fillId="0" borderId="0" xfId="0" applyFont="1"/>
    <xf numFmtId="5" fontId="82" fillId="0" borderId="11" xfId="541" applyNumberFormat="1" applyFont="1" applyBorder="1" applyAlignment="1" applyProtection="1">
      <alignment horizontal="center"/>
    </xf>
    <xf numFmtId="5" fontId="82" fillId="42" borderId="11" xfId="541" applyNumberFormat="1" applyFont="1" applyFill="1" applyBorder="1" applyAlignment="1" applyProtection="1">
      <alignment horizontal="center"/>
    </xf>
    <xf numFmtId="5" fontId="82" fillId="2" borderId="11" xfId="541" applyNumberFormat="1" applyFont="1" applyFill="1" applyBorder="1" applyAlignment="1" applyProtection="1">
      <alignment horizontal="center"/>
    </xf>
    <xf numFmtId="0" fontId="58" fillId="0" borderId="0" xfId="0" applyFont="1" applyAlignment="1">
      <alignment vertical="top" wrapText="1"/>
    </xf>
    <xf numFmtId="0" fontId="58" fillId="0" borderId="0" xfId="0" applyFont="1" applyAlignment="1">
      <alignment vertical="top"/>
    </xf>
    <xf numFmtId="0" fontId="58" fillId="2" borderId="0" xfId="0" applyFont="1" applyFill="1" applyAlignment="1">
      <alignment vertical="top" wrapText="1"/>
    </xf>
    <xf numFmtId="0" fontId="84" fillId="0" borderId="13" xfId="0" applyFont="1" applyBorder="1" applyAlignment="1">
      <alignment vertical="top" wrapText="1"/>
    </xf>
    <xf numFmtId="0" fontId="36" fillId="0" borderId="0" xfId="0" applyFont="1" applyAlignment="1">
      <alignment vertical="top" wrapText="1"/>
    </xf>
    <xf numFmtId="0" fontId="84" fillId="2" borderId="13" xfId="0" applyFont="1" applyFill="1" applyBorder="1" applyAlignment="1">
      <alignment vertical="top" wrapText="1"/>
    </xf>
    <xf numFmtId="0" fontId="84" fillId="0" borderId="0" xfId="0" applyFont="1" applyAlignment="1">
      <alignment vertical="top" wrapText="1"/>
    </xf>
    <xf numFmtId="0" fontId="84" fillId="2" borderId="0" xfId="0" applyFont="1" applyFill="1" applyAlignment="1">
      <alignment vertical="top" wrapText="1"/>
    </xf>
    <xf numFmtId="0" fontId="58" fillId="0" borderId="0" xfId="0" applyFont="1" applyAlignment="1">
      <alignment horizontal="right" vertical="top" wrapText="1"/>
    </xf>
    <xf numFmtId="168" fontId="58" fillId="5" borderId="6" xfId="0" applyNumberFormat="1" applyFont="1" applyFill="1" applyBorder="1" applyAlignment="1" applyProtection="1">
      <alignment horizontal="right" vertical="top" wrapText="1"/>
      <protection locked="0"/>
    </xf>
    <xf numFmtId="168" fontId="58" fillId="0" borderId="6" xfId="0" applyNumberFormat="1" applyFont="1" applyBorder="1" applyAlignment="1">
      <alignment horizontal="right" vertical="top" wrapText="1"/>
    </xf>
    <xf numFmtId="0" fontId="29" fillId="0" borderId="0" xfId="0" applyFont="1" applyAlignment="1">
      <alignment horizontal="left" vertical="top" wrapText="1"/>
    </xf>
    <xf numFmtId="0" fontId="31" fillId="0" borderId="0" xfId="0" applyFont="1" applyAlignment="1">
      <alignment horizontal="right" vertical="top" wrapText="1"/>
    </xf>
    <xf numFmtId="10" fontId="31" fillId="5" borderId="6" xfId="0" applyNumberFormat="1" applyFont="1" applyFill="1" applyBorder="1" applyAlignment="1" applyProtection="1">
      <alignment horizontal="center" vertical="top" wrapText="1"/>
      <protection locked="0"/>
    </xf>
    <xf numFmtId="0" fontId="69" fillId="0" borderId="0" xfId="0" applyFont="1" applyAlignment="1">
      <alignment horizontal="left" vertical="center"/>
    </xf>
    <xf numFmtId="0" fontId="29" fillId="0" borderId="2" xfId="543" applyFont="1" applyBorder="1" applyAlignment="1">
      <alignment horizontal="center"/>
    </xf>
    <xf numFmtId="0" fontId="0" fillId="0" borderId="0" xfId="543" applyFont="1"/>
    <xf numFmtId="0" fontId="23" fillId="0" borderId="0" xfId="244" quotePrefix="1" applyAlignment="1" applyProtection="1">
      <alignment horizontal="left"/>
    </xf>
    <xf numFmtId="168" fontId="58"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108" fillId="0" borderId="0" xfId="0" applyFont="1" applyAlignment="1">
      <alignment horizontal="left" vertical="top"/>
    </xf>
    <xf numFmtId="0" fontId="109" fillId="0" borderId="0" xfId="0" applyFont="1" applyAlignment="1">
      <alignment horizontal="left" vertical="top"/>
    </xf>
    <xf numFmtId="0" fontId="77" fillId="0" borderId="0" xfId="0" applyFont="1"/>
    <xf numFmtId="0" fontId="29" fillId="8" borderId="11" xfId="542" applyFont="1" applyFill="1" applyBorder="1" applyAlignment="1">
      <alignment horizontal="left"/>
    </xf>
    <xf numFmtId="0" fontId="29" fillId="8" borderId="11" xfId="542" applyFont="1" applyFill="1" applyBorder="1" applyAlignment="1">
      <alignment horizontal="center"/>
    </xf>
    <xf numFmtId="0" fontId="68" fillId="8" borderId="11" xfId="542" applyFont="1" applyFill="1" applyBorder="1" applyAlignment="1">
      <alignment horizontal="left"/>
    </xf>
    <xf numFmtId="0" fontId="68" fillId="0" borderId="11" xfId="542" applyFont="1" applyBorder="1" applyAlignment="1">
      <alignment horizontal="left"/>
    </xf>
    <xf numFmtId="0" fontId="29" fillId="0" borderId="0" xfId="271" applyFont="1" applyAlignment="1" applyProtection="1">
      <alignment horizontal="center" wrapText="1"/>
      <protection locked="0"/>
    </xf>
    <xf numFmtId="0" fontId="31" fillId="0" borderId="0" xfId="271" applyAlignment="1" applyProtection="1">
      <alignment vertical="top" wrapText="1"/>
      <protection locked="0"/>
    </xf>
    <xf numFmtId="0" fontId="29" fillId="0" borderId="0" xfId="271" applyFont="1" applyAlignment="1" applyProtection="1">
      <alignment vertical="top" wrapText="1"/>
      <protection locked="0"/>
    </xf>
    <xf numFmtId="0" fontId="22" fillId="0" borderId="0" xfId="0" applyFont="1" applyAlignment="1">
      <alignment horizontal="center"/>
    </xf>
    <xf numFmtId="0" fontId="36" fillId="0" borderId="8" xfId="569" applyFont="1" applyBorder="1" applyAlignment="1">
      <alignment vertical="top" wrapText="1"/>
    </xf>
    <xf numFmtId="0" fontId="36" fillId="0" borderId="0" xfId="569" applyFont="1" applyAlignment="1">
      <alignment vertical="top" wrapText="1"/>
    </xf>
    <xf numFmtId="0" fontId="60" fillId="2" borderId="11" xfId="569" applyFont="1" applyFill="1" applyBorder="1" applyAlignment="1">
      <alignment horizontal="left" vertical="top" wrapText="1"/>
    </xf>
    <xf numFmtId="6" fontId="58" fillId="4" borderId="11" xfId="569" applyNumberFormat="1" applyFont="1" applyFill="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6" fontId="58" fillId="0" borderId="11" xfId="569" applyNumberFormat="1" applyFont="1" applyBorder="1" applyAlignment="1">
      <alignment vertical="top" wrapText="1"/>
    </xf>
    <xf numFmtId="6" fontId="58" fillId="5" borderId="11" xfId="569" applyNumberFormat="1" applyFont="1" applyFill="1" applyBorder="1" applyAlignment="1" applyProtection="1">
      <alignment vertical="top" wrapText="1"/>
      <protection locked="0"/>
    </xf>
    <xf numFmtId="6" fontId="58" fillId="6" borderId="11" xfId="569" applyNumberFormat="1" applyFont="1" applyFill="1" applyBorder="1" applyAlignment="1">
      <alignment horizontal="center" vertical="top" wrapText="1"/>
    </xf>
    <xf numFmtId="0" fontId="58" fillId="0" borderId="11" xfId="569" applyFont="1" applyBorder="1" applyAlignment="1">
      <alignment horizontal="right" vertical="top" wrapText="1"/>
    </xf>
    <xf numFmtId="0" fontId="59" fillId="0" borderId="11" xfId="569" applyFont="1" applyBorder="1" applyAlignment="1">
      <alignment horizontal="right" vertical="top" wrapText="1"/>
    </xf>
    <xf numFmtId="0" fontId="58" fillId="0" borderId="11" xfId="569" applyFont="1" applyBorder="1" applyAlignment="1">
      <alignment horizontal="right" vertical="top"/>
    </xf>
    <xf numFmtId="6" fontId="59" fillId="0" borderId="11" xfId="569" applyNumberFormat="1" applyFont="1" applyBorder="1" applyAlignment="1">
      <alignment vertical="top" wrapText="1"/>
    </xf>
    <xf numFmtId="0" fontId="59" fillId="0" borderId="8" xfId="569" applyFont="1" applyBorder="1" applyAlignment="1">
      <alignment vertical="top" wrapText="1"/>
    </xf>
    <xf numFmtId="0" fontId="59" fillId="0" borderId="0" xfId="569" applyFont="1" applyAlignment="1">
      <alignment vertical="top" wrapText="1"/>
    </xf>
    <xf numFmtId="0" fontId="25" fillId="0" borderId="11" xfId="569" applyFont="1" applyBorder="1" applyAlignment="1">
      <alignment horizontal="right" vertical="top" wrapText="1"/>
    </xf>
    <xf numFmtId="0" fontId="59" fillId="0" borderId="0" xfId="569" applyFont="1" applyAlignment="1">
      <alignment horizontal="left" vertical="top"/>
    </xf>
    <xf numFmtId="6" fontId="58" fillId="0" borderId="0" xfId="569" applyNumberFormat="1" applyFont="1" applyAlignment="1">
      <alignment horizontal="left" vertical="top"/>
    </xf>
    <xf numFmtId="0" fontId="109" fillId="0" borderId="0" xfId="569" applyFont="1" applyAlignment="1">
      <alignment horizontal="left" vertical="top"/>
    </xf>
    <xf numFmtId="6" fontId="58" fillId="0" borderId="0" xfId="569" applyNumberFormat="1" applyFont="1" applyAlignment="1">
      <alignment vertical="top" wrapText="1"/>
    </xf>
    <xf numFmtId="0" fontId="58" fillId="0" borderId="0" xfId="569" applyFont="1" applyAlignment="1">
      <alignment horizontal="left" vertical="top"/>
    </xf>
    <xf numFmtId="0" fontId="58" fillId="0" borderId="12" xfId="569" applyFont="1" applyBorder="1" applyAlignment="1">
      <alignment vertical="top" wrapText="1"/>
    </xf>
    <xf numFmtId="0" fontId="29" fillId="0" borderId="0" xfId="569" applyFont="1" applyAlignment="1">
      <alignment horizontal="left" vertical="top"/>
    </xf>
    <xf numFmtId="0" fontId="112" fillId="0" borderId="0" xfId="569" applyFont="1" applyAlignment="1">
      <alignment horizontal="left" vertical="top"/>
    </xf>
    <xf numFmtId="0" fontId="69" fillId="0" borderId="0" xfId="569" applyFont="1" applyAlignment="1">
      <alignment horizontal="left" vertical="center"/>
    </xf>
    <xf numFmtId="0" fontId="37" fillId="0" borderId="0" xfId="569" applyFont="1" applyAlignment="1">
      <alignment vertical="top" wrapText="1"/>
    </xf>
    <xf numFmtId="0" fontId="37" fillId="0" borderId="12" xfId="569" applyFont="1" applyBorder="1" applyAlignment="1">
      <alignment vertical="top" wrapText="1"/>
    </xf>
    <xf numFmtId="0" fontId="37" fillId="0" borderId="8" xfId="569" applyFont="1" applyBorder="1" applyAlignment="1">
      <alignment vertical="top" wrapText="1"/>
    </xf>
    <xf numFmtId="0" fontId="58" fillId="0" borderId="0" xfId="569" applyFont="1" applyAlignment="1">
      <alignment vertical="top"/>
    </xf>
    <xf numFmtId="168" fontId="58" fillId="0" borderId="0" xfId="569" applyNumberFormat="1" applyFont="1" applyAlignment="1" applyProtection="1">
      <alignment horizontal="right" vertical="top" wrapText="1"/>
      <protection locked="0"/>
    </xf>
    <xf numFmtId="0" fontId="22" fillId="0" borderId="0" xfId="569" applyAlignment="1">
      <alignment vertical="top" wrapText="1"/>
    </xf>
    <xf numFmtId="0" fontId="22" fillId="0" borderId="0" xfId="569" applyAlignment="1">
      <alignment vertical="top"/>
    </xf>
    <xf numFmtId="0" fontId="58" fillId="0" borderId="0" xfId="569" applyFont="1" applyAlignment="1">
      <alignment horizontal="right" vertical="top" wrapText="1"/>
    </xf>
    <xf numFmtId="0" fontId="29" fillId="0" borderId="0" xfId="569" applyFont="1" applyAlignment="1">
      <alignment horizontal="left" vertical="top" wrapText="1"/>
    </xf>
    <xf numFmtId="168" fontId="58" fillId="0" borderId="0" xfId="569" applyNumberFormat="1" applyFont="1" applyAlignment="1">
      <alignment horizontal="right" vertical="top" wrapText="1"/>
    </xf>
    <xf numFmtId="0" fontId="22" fillId="0" borderId="0" xfId="569" applyAlignment="1" applyProtection="1">
      <alignment horizontal="left" vertical="top" wrapText="1"/>
      <protection locked="0"/>
    </xf>
    <xf numFmtId="0" fontId="22" fillId="0" borderId="0" xfId="569" applyAlignment="1">
      <alignment horizontal="right" vertical="top" wrapText="1"/>
    </xf>
    <xf numFmtId="0" fontId="22" fillId="0" borderId="0" xfId="569" applyAlignment="1">
      <alignment horizontal="left" vertical="top"/>
    </xf>
    <xf numFmtId="0" fontId="84" fillId="0" borderId="0" xfId="569" applyFont="1" applyAlignment="1">
      <alignment vertical="top" wrapText="1"/>
    </xf>
    <xf numFmtId="0" fontId="84" fillId="0" borderId="12" xfId="569" applyFont="1" applyBorder="1" applyAlignment="1">
      <alignment vertical="top" wrapText="1"/>
    </xf>
    <xf numFmtId="0" fontId="84" fillId="0" borderId="8" xfId="569" applyFont="1" applyBorder="1" applyAlignment="1">
      <alignment vertical="top" wrapText="1"/>
    </xf>
    <xf numFmtId="0" fontId="36" fillId="0" borderId="0" xfId="569" applyFont="1" applyAlignment="1">
      <alignment horizontal="right" vertical="top" wrapText="1"/>
    </xf>
    <xf numFmtId="0" fontId="84" fillId="0" borderId="0" xfId="569" applyFont="1" applyAlignment="1">
      <alignment horizontal="right" vertical="top" wrapText="1"/>
    </xf>
    <xf numFmtId="0" fontId="59" fillId="0" borderId="3" xfId="569" applyFont="1" applyBorder="1" applyAlignment="1">
      <alignment horizontal="left"/>
    </xf>
    <xf numFmtId="0" fontId="59" fillId="0" borderId="13" xfId="569" applyFont="1" applyBorder="1" applyAlignment="1">
      <alignment horizontal="center" wrapText="1"/>
    </xf>
    <xf numFmtId="0" fontId="59" fillId="0" borderId="8" xfId="569" applyFont="1" applyBorder="1" applyAlignment="1">
      <alignment horizontal="center" wrapText="1"/>
    </xf>
    <xf numFmtId="0" fontId="59" fillId="0" borderId="0" xfId="569" applyFont="1" applyAlignment="1">
      <alignment horizontal="center" wrapText="1"/>
    </xf>
    <xf numFmtId="0" fontId="22" fillId="0" borderId="0" xfId="569"/>
    <xf numFmtId="0" fontId="28" fillId="0" borderId="0" xfId="569" applyFont="1" applyAlignment="1">
      <alignment horizontal="center" vertical="center"/>
    </xf>
    <xf numFmtId="0" fontId="29" fillId="0" borderId="0" xfId="569" applyFont="1"/>
    <xf numFmtId="0" fontId="22" fillId="0" borderId="1" xfId="569" applyBorder="1"/>
    <xf numFmtId="0" fontId="22" fillId="0" borderId="2" xfId="569" applyBorder="1"/>
    <xf numFmtId="0" fontId="22" fillId="0" borderId="8" xfId="569" applyBorder="1"/>
    <xf numFmtId="0" fontId="22" fillId="0" borderId="9" xfId="569" applyBorder="1"/>
    <xf numFmtId="0" fontId="22" fillId="0" borderId="6" xfId="569" applyBorder="1"/>
    <xf numFmtId="0" fontId="30" fillId="0" borderId="0" xfId="569" applyFont="1"/>
    <xf numFmtId="0" fontId="22" fillId="0" borderId="7" xfId="569" applyBorder="1"/>
    <xf numFmtId="0" fontId="22" fillId="0" borderId="12" xfId="569" applyBorder="1"/>
    <xf numFmtId="0" fontId="22" fillId="0" borderId="10" xfId="569" applyBorder="1"/>
    <xf numFmtId="0" fontId="30" fillId="0" borderId="0" xfId="569" applyFont="1" applyAlignment="1">
      <alignment vertical="top" wrapText="1"/>
    </xf>
    <xf numFmtId="0" fontId="22" fillId="0" borderId="0" xfId="569" applyAlignment="1">
      <alignment horizontal="right"/>
    </xf>
    <xf numFmtId="0" fontId="22" fillId="0" borderId="0" xfId="569" applyAlignment="1">
      <alignment wrapText="1"/>
    </xf>
    <xf numFmtId="0" fontId="22" fillId="0" borderId="0" xfId="569" applyAlignment="1">
      <alignment vertical="center"/>
    </xf>
    <xf numFmtId="0" fontId="46" fillId="0" borderId="0" xfId="569" applyFont="1" applyAlignment="1">
      <alignment vertical="center" wrapText="1"/>
    </xf>
    <xf numFmtId="0" fontId="40" fillId="0" borderId="0" xfId="569" applyFont="1" applyAlignment="1">
      <alignment vertical="top" wrapText="1"/>
    </xf>
    <xf numFmtId="0" fontId="29" fillId="0" borderId="0" xfId="569" applyFont="1" applyAlignment="1">
      <alignment vertical="top" wrapText="1"/>
    </xf>
    <xf numFmtId="0" fontId="30" fillId="0" borderId="0" xfId="569" applyFont="1" applyAlignment="1">
      <alignment horizontal="left" vertical="top" wrapText="1"/>
    </xf>
    <xf numFmtId="164" fontId="22" fillId="0" borderId="0" xfId="569" applyNumberFormat="1" applyAlignment="1">
      <alignment horizontal="right"/>
    </xf>
    <xf numFmtId="168" fontId="22" fillId="0" borderId="0" xfId="569" applyNumberFormat="1" applyAlignment="1">
      <alignment horizontal="right"/>
    </xf>
    <xf numFmtId="0" fontId="110" fillId="0" borderId="0" xfId="569" applyFont="1" applyAlignment="1">
      <alignment horizontal="left" vertical="top" wrapText="1"/>
    </xf>
    <xf numFmtId="168" fontId="22" fillId="0" borderId="0" xfId="569" applyNumberFormat="1" applyAlignment="1">
      <alignment wrapText="1"/>
    </xf>
    <xf numFmtId="0" fontId="27" fillId="0" borderId="11" xfId="253" applyFont="1" applyBorder="1" applyAlignment="1">
      <alignment horizontal="center" wrapText="1"/>
    </xf>
    <xf numFmtId="0" fontId="27" fillId="0" borderId="0" xfId="253" applyFont="1" applyAlignment="1">
      <alignment horizontal="center" wrapText="1"/>
    </xf>
    <xf numFmtId="3" fontId="27" fillId="0" borderId="11" xfId="271" applyNumberFormat="1" applyFont="1" applyBorder="1"/>
    <xf numFmtId="3" fontId="27" fillId="0" borderId="0" xfId="271" applyNumberFormat="1" applyFont="1"/>
    <xf numFmtId="0" fontId="70" fillId="0" borderId="0" xfId="271" applyFont="1" applyAlignment="1">
      <alignment horizontal="left"/>
    </xf>
    <xf numFmtId="0" fontId="70" fillId="0" borderId="0" xfId="271" applyFont="1" applyAlignment="1">
      <alignment horizontal="right"/>
    </xf>
    <xf numFmtId="168" fontId="27" fillId="0" borderId="11" xfId="271" applyNumberFormat="1" applyFont="1" applyBorder="1"/>
    <xf numFmtId="168" fontId="27" fillId="0" borderId="0" xfId="271" applyNumberFormat="1" applyFont="1"/>
    <xf numFmtId="0" fontId="58" fillId="0" borderId="0" xfId="569" applyFont="1" applyAlignment="1">
      <alignment horizontal="left"/>
    </xf>
    <xf numFmtId="0" fontId="22" fillId="0" borderId="3" xfId="569" applyBorder="1"/>
    <xf numFmtId="0" fontId="111" fillId="0" borderId="0" xfId="1834"/>
    <xf numFmtId="0" fontId="0" fillId="0" borderId="0" xfId="0" applyAlignment="1">
      <alignment horizontal="left" vertical="top"/>
    </xf>
    <xf numFmtId="0" fontId="110" fillId="0" borderId="0" xfId="0" applyFont="1" applyAlignment="1">
      <alignment vertical="top" wrapText="1"/>
    </xf>
    <xf numFmtId="0" fontId="58" fillId="0" borderId="0" xfId="271" applyFont="1" applyAlignment="1">
      <alignment vertical="top" wrapText="1"/>
    </xf>
    <xf numFmtId="4" fontId="22" fillId="0" borderId="0" xfId="1192" applyNumberFormat="1" applyAlignment="1">
      <alignment horizontal="left" vertical="top" wrapText="1"/>
    </xf>
    <xf numFmtId="0" fontId="22" fillId="0" borderId="0" xfId="0" applyFont="1" applyAlignment="1">
      <alignment horizontal="left" vertical="top" wrapText="1"/>
    </xf>
    <xf numFmtId="0" fontId="29" fillId="0" borderId="12" xfId="543" applyFont="1" applyBorder="1" applyAlignment="1">
      <alignment horizontal="right"/>
    </xf>
    <xf numFmtId="0" fontId="41" fillId="0" borderId="0" xfId="543" applyFont="1" applyAlignment="1">
      <alignment horizontal="center"/>
    </xf>
    <xf numFmtId="4" fontId="22" fillId="0" borderId="0" xfId="569" applyNumberFormat="1" applyAlignment="1">
      <alignment horizontal="left"/>
    </xf>
    <xf numFmtId="0" fontId="22" fillId="0" borderId="0" xfId="569" applyAlignment="1">
      <alignment horizontal="left" vertical="top" wrapText="1"/>
    </xf>
    <xf numFmtId="0" fontId="22" fillId="0" borderId="0" xfId="569" applyAlignment="1">
      <alignment horizontal="left"/>
    </xf>
    <xf numFmtId="0" fontId="22" fillId="0" borderId="0" xfId="1192" applyAlignment="1">
      <alignment horizontal="left"/>
    </xf>
    <xf numFmtId="0" fontId="29" fillId="0" borderId="0" xfId="569" applyFont="1" applyAlignment="1">
      <alignment horizontal="left"/>
    </xf>
    <xf numFmtId="0" fontId="51" fillId="0" borderId="0" xfId="1192" applyFont="1"/>
    <xf numFmtId="0" fontId="58" fillId="0" borderId="11" xfId="0" applyFont="1" applyBorder="1" applyAlignment="1">
      <alignment horizontal="right" vertical="center"/>
    </xf>
    <xf numFmtId="0" fontId="22" fillId="0" borderId="0" xfId="1192" applyAlignment="1">
      <alignment horizontal="left" vertical="top" wrapText="1"/>
    </xf>
    <xf numFmtId="0" fontId="51" fillId="0" borderId="0" xfId="0" applyFont="1" applyAlignment="1">
      <alignment vertical="top" wrapText="1"/>
    </xf>
    <xf numFmtId="0" fontId="51" fillId="0" borderId="0" xfId="0" applyFont="1" applyAlignment="1">
      <alignment horizontal="left" vertical="top" wrapText="1"/>
    </xf>
    <xf numFmtId="6" fontId="59" fillId="0" borderId="0" xfId="569" applyNumberFormat="1" applyFont="1" applyAlignment="1">
      <alignment horizontal="right" vertical="top"/>
    </xf>
    <xf numFmtId="0" fontId="22" fillId="0" borderId="0" xfId="0" applyFont="1" applyAlignment="1">
      <alignment vertical="top" wrapText="1"/>
    </xf>
    <xf numFmtId="168" fontId="31" fillId="0" borderId="0" xfId="0" applyNumberFormat="1" applyFont="1" applyAlignment="1">
      <alignment horizontal="right"/>
    </xf>
    <xf numFmtId="168" fontId="31" fillId="0" borderId="28" xfId="540" applyNumberFormat="1" applyBorder="1" applyAlignment="1" applyProtection="1">
      <alignment horizontal="center"/>
    </xf>
    <xf numFmtId="168" fontId="31" fillId="0" borderId="29" xfId="540" applyNumberFormat="1" applyBorder="1" applyAlignment="1" applyProtection="1">
      <alignment horizontal="center"/>
    </xf>
    <xf numFmtId="168" fontId="31" fillId="0" borderId="30" xfId="540" applyNumberFormat="1" applyBorder="1" applyAlignment="1" applyProtection="1">
      <alignment horizontal="center"/>
    </xf>
    <xf numFmtId="168" fontId="31" fillId="0" borderId="31" xfId="540" applyNumberFormat="1" applyBorder="1" applyAlignment="1" applyProtection="1">
      <alignment horizontal="center"/>
    </xf>
    <xf numFmtId="168" fontId="31" fillId="0" borderId="32" xfId="540" applyNumberFormat="1" applyBorder="1" applyAlignment="1" applyProtection="1">
      <alignment horizontal="center"/>
    </xf>
    <xf numFmtId="168" fontId="31" fillId="0" borderId="33" xfId="540" applyNumberFormat="1" applyBorder="1" applyAlignment="1" applyProtection="1">
      <alignment horizontal="center"/>
    </xf>
    <xf numFmtId="168" fontId="31" fillId="0" borderId="34" xfId="540" applyNumberFormat="1" applyBorder="1" applyAlignment="1" applyProtection="1">
      <alignment horizontal="center"/>
    </xf>
    <xf numFmtId="168" fontId="31" fillId="0" borderId="35" xfId="540" applyNumberFormat="1" applyBorder="1" applyAlignment="1" applyProtection="1">
      <alignment horizontal="center"/>
    </xf>
    <xf numFmtId="168" fontId="31" fillId="0" borderId="36" xfId="540" applyNumberFormat="1" applyBorder="1" applyAlignment="1" applyProtection="1">
      <alignment horizontal="center"/>
    </xf>
    <xf numFmtId="168" fontId="31" fillId="0" borderId="37" xfId="540" applyNumberFormat="1" applyBorder="1" applyAlignment="1" applyProtection="1">
      <alignment horizontal="center"/>
    </xf>
    <xf numFmtId="168" fontId="31" fillId="0" borderId="38" xfId="540" applyNumberFormat="1" applyBorder="1" applyAlignment="1" applyProtection="1">
      <alignment horizontal="center"/>
    </xf>
    <xf numFmtId="168" fontId="31" fillId="0" borderId="39" xfId="540" applyNumberFormat="1" applyBorder="1" applyAlignment="1" applyProtection="1">
      <alignment horizontal="center"/>
    </xf>
    <xf numFmtId="168" fontId="31" fillId="0" borderId="40" xfId="540" applyNumberFormat="1" applyBorder="1" applyAlignment="1" applyProtection="1">
      <alignment horizontal="center"/>
    </xf>
    <xf numFmtId="168" fontId="31" fillId="0" borderId="0" xfId="540" applyNumberFormat="1" applyAlignment="1" applyProtection="1">
      <alignment horizontal="center"/>
    </xf>
    <xf numFmtId="168" fontId="31" fillId="0" borderId="14" xfId="540" applyNumberFormat="1" applyBorder="1" applyAlignment="1" applyProtection="1">
      <alignment horizontal="center"/>
    </xf>
    <xf numFmtId="168" fontId="31" fillId="0" borderId="41" xfId="540" applyNumberFormat="1" applyBorder="1" applyAlignment="1" applyProtection="1">
      <alignment horizontal="center"/>
    </xf>
    <xf numFmtId="168" fontId="31" fillId="0" borderId="42" xfId="540" applyNumberFormat="1" applyBorder="1" applyAlignment="1" applyProtection="1">
      <alignment horizontal="center"/>
    </xf>
    <xf numFmtId="168" fontId="31" fillId="0" borderId="43" xfId="540" applyNumberFormat="1" applyBorder="1" applyAlignment="1" applyProtection="1">
      <alignment horizontal="center"/>
    </xf>
    <xf numFmtId="168" fontId="31" fillId="0" borderId="44" xfId="540" applyNumberFormat="1" applyBorder="1" applyAlignment="1" applyProtection="1">
      <alignment horizontal="center"/>
    </xf>
    <xf numFmtId="0" fontId="22" fillId="0" borderId="0" xfId="1192"/>
    <xf numFmtId="0" fontId="22" fillId="0" borderId="0" xfId="0" applyFont="1" applyAlignment="1">
      <alignment wrapText="1"/>
    </xf>
    <xf numFmtId="0" fontId="51" fillId="0" borderId="0" xfId="0" applyFont="1" applyAlignment="1">
      <alignment horizontal="left" vertical="top"/>
    </xf>
    <xf numFmtId="0" fontId="51" fillId="0" borderId="0" xfId="0" applyFont="1" applyAlignment="1">
      <alignment vertical="top"/>
    </xf>
    <xf numFmtId="0" fontId="22" fillId="0" borderId="0" xfId="569" applyAlignment="1">
      <alignment horizontal="center"/>
    </xf>
    <xf numFmtId="0" fontId="40" fillId="0" borderId="0" xfId="569" applyFont="1" applyAlignment="1">
      <alignment horizontal="left"/>
    </xf>
    <xf numFmtId="0" fontId="40" fillId="0" borderId="0" xfId="569" applyFont="1" applyAlignment="1">
      <alignment horizontal="center"/>
    </xf>
    <xf numFmtId="49" fontId="29" fillId="0" borderId="0" xfId="569" applyNumberFormat="1" applyFont="1" applyAlignment="1">
      <alignment horizontal="center"/>
    </xf>
    <xf numFmtId="0" fontId="56" fillId="0" borderId="0" xfId="569" applyFont="1" applyAlignment="1">
      <alignment horizontal="center"/>
    </xf>
    <xf numFmtId="0" fontId="22" fillId="5" borderId="6" xfId="569" applyFill="1" applyBorder="1" applyProtection="1">
      <protection locked="0"/>
    </xf>
    <xf numFmtId="0" fontId="23" fillId="0" borderId="0" xfId="244" applyAlignment="1" applyProtection="1">
      <alignment horizontal="center"/>
    </xf>
    <xf numFmtId="49" fontId="22" fillId="0" borderId="0" xfId="569" applyNumberFormat="1" applyAlignment="1">
      <alignment horizontal="center"/>
    </xf>
    <xf numFmtId="0" fontId="22" fillId="0" borderId="0" xfId="569" applyAlignment="1">
      <alignment horizontal="center" vertical="center"/>
    </xf>
    <xf numFmtId="0" fontId="22" fillId="0" borderId="0" xfId="1192" applyAlignment="1">
      <alignment horizontal="center"/>
    </xf>
    <xf numFmtId="0" fontId="29" fillId="0" borderId="0" xfId="569" applyFont="1" applyAlignment="1">
      <alignment horizontal="center"/>
    </xf>
    <xf numFmtId="0" fontId="22" fillId="0" borderId="0" xfId="569" applyAlignment="1">
      <alignment horizontal="left" indent="4"/>
    </xf>
    <xf numFmtId="0" fontId="22" fillId="0" borderId="0" xfId="569" quotePrefix="1" applyAlignment="1">
      <alignment horizontal="left"/>
    </xf>
    <xf numFmtId="0" fontId="40" fillId="0" borderId="0" xfId="569" applyFont="1"/>
    <xf numFmtId="0" fontId="22" fillId="0" borderId="0" xfId="1192" applyAlignment="1" applyProtection="1">
      <alignment horizontal="left"/>
      <protection locked="0"/>
    </xf>
    <xf numFmtId="0" fontId="22" fillId="0" borderId="0" xfId="569" applyAlignment="1" applyProtection="1">
      <alignment horizontal="left"/>
      <protection locked="0"/>
    </xf>
    <xf numFmtId="49" fontId="22" fillId="0" borderId="0" xfId="1192" applyNumberFormat="1" applyAlignment="1">
      <alignment horizontal="center"/>
    </xf>
    <xf numFmtId="0" fontId="56" fillId="0" borderId="0" xfId="1192" applyFont="1" applyAlignment="1">
      <alignment horizontal="center"/>
    </xf>
    <xf numFmtId="0" fontId="29" fillId="0" borderId="0" xfId="1192" applyFont="1" applyAlignment="1">
      <alignment horizontal="left"/>
    </xf>
    <xf numFmtId="4" fontId="22" fillId="0" borderId="0" xfId="1192" applyNumberFormat="1" applyAlignment="1">
      <alignment horizontal="left"/>
    </xf>
    <xf numFmtId="0" fontId="29" fillId="0" borderId="0" xfId="569" quotePrefix="1" applyFont="1" applyAlignment="1">
      <alignment horizontal="center"/>
    </xf>
    <xf numFmtId="49" fontId="22" fillId="0" borderId="0" xfId="569" applyNumberFormat="1"/>
    <xf numFmtId="0" fontId="54" fillId="0" borderId="0" xfId="569" applyFont="1" applyAlignment="1">
      <alignment horizontal="left"/>
    </xf>
    <xf numFmtId="4" fontId="56" fillId="0" borderId="0" xfId="569" applyNumberFormat="1" applyFont="1" applyAlignment="1">
      <alignment horizontal="center"/>
    </xf>
    <xf numFmtId="4" fontId="22" fillId="0" borderId="0" xfId="569" applyNumberFormat="1" applyAlignment="1">
      <alignment horizontal="center"/>
    </xf>
    <xf numFmtId="4" fontId="22" fillId="0" borderId="0" xfId="569" applyNumberFormat="1"/>
    <xf numFmtId="0" fontId="52" fillId="0" borderId="0" xfId="569" applyFont="1" applyAlignment="1">
      <alignment horizontal="left"/>
    </xf>
    <xf numFmtId="0" fontId="23" fillId="0" borderId="0" xfId="244" applyNumberFormat="1" applyFill="1" applyAlignment="1" applyProtection="1">
      <alignment horizontal="left"/>
      <protection locked="0"/>
    </xf>
    <xf numFmtId="0" fontId="58" fillId="0" borderId="11" xfId="0" applyFont="1" applyBorder="1" applyAlignment="1" applyProtection="1">
      <alignment horizontal="right" vertical="top" wrapText="1"/>
      <protection locked="0"/>
    </xf>
    <xf numFmtId="168" fontId="61" fillId="44" borderId="11" xfId="0" applyNumberFormat="1" applyFont="1" applyFill="1" applyBorder="1" applyAlignment="1">
      <alignment vertical="top" wrapText="1"/>
    </xf>
    <xf numFmtId="0" fontId="22" fillId="0" borderId="11" xfId="271" applyFont="1" applyBorder="1" applyAlignment="1">
      <alignment horizontal="right" vertical="top" wrapText="1"/>
    </xf>
    <xf numFmtId="0" fontId="30" fillId="0" borderId="0" xfId="569" applyFont="1" applyAlignment="1">
      <alignment horizontal="left"/>
    </xf>
    <xf numFmtId="0" fontId="108" fillId="0" borderId="0" xfId="0" applyFont="1"/>
    <xf numFmtId="0" fontId="119" fillId="0" borderId="0" xfId="0" applyFont="1" applyAlignment="1">
      <alignment horizontal="left" vertical="top"/>
    </xf>
    <xf numFmtId="0" fontId="120" fillId="0" borderId="0" xfId="0" applyFont="1" applyAlignment="1">
      <alignment horizontal="left" vertical="top"/>
    </xf>
    <xf numFmtId="168" fontId="30" fillId="0" borderId="0" xfId="0" applyNumberFormat="1" applyFont="1" applyAlignment="1">
      <alignment horizontal="left" vertical="top" wrapText="1"/>
    </xf>
    <xf numFmtId="168" fontId="58" fillId="5" borderId="11" xfId="0" applyNumberFormat="1" applyFont="1" applyFill="1" applyBorder="1" applyAlignment="1">
      <alignment vertical="top" wrapText="1"/>
    </xf>
    <xf numFmtId="0" fontId="22" fillId="0" borderId="0" xfId="271" applyFont="1" applyAlignment="1">
      <alignment horizontal="left" vertical="top"/>
    </xf>
    <xf numFmtId="0" fontId="58" fillId="0" borderId="0" xfId="569" applyFont="1"/>
    <xf numFmtId="0" fontId="22" fillId="0" borderId="0" xfId="0" applyFont="1" applyAlignment="1">
      <alignment horizontal="left" vertical="top"/>
    </xf>
    <xf numFmtId="4" fontId="22" fillId="0" borderId="0" xfId="1192" applyNumberFormat="1" applyAlignment="1">
      <alignment vertical="top" wrapText="1"/>
    </xf>
    <xf numFmtId="0" fontId="29" fillId="0" borderId="16" xfId="271" applyFont="1" applyBorder="1"/>
    <xf numFmtId="0" fontId="65" fillId="0" borderId="0" xfId="569" applyFont="1"/>
    <xf numFmtId="0" fontId="46" fillId="0" borderId="0" xfId="569" applyFont="1"/>
    <xf numFmtId="0" fontId="22" fillId="0" borderId="0" xfId="1192" applyAlignment="1">
      <alignment vertical="top" wrapText="1"/>
    </xf>
    <xf numFmtId="49" fontId="22" fillId="0" borderId="0" xfId="1192" applyNumberFormat="1" applyAlignment="1">
      <alignment vertical="top" wrapText="1"/>
    </xf>
    <xf numFmtId="0" fontId="60" fillId="0" borderId="9" xfId="543" applyFont="1" applyBorder="1" applyAlignment="1">
      <alignment vertical="top"/>
    </xf>
    <xf numFmtId="0" fontId="22" fillId="0" borderId="0" xfId="0" applyFont="1" applyAlignment="1">
      <alignment vertical="center"/>
    </xf>
    <xf numFmtId="0" fontId="121" fillId="0" borderId="0" xfId="0" applyFont="1"/>
    <xf numFmtId="3" fontId="108" fillId="0" borderId="0" xfId="0" applyNumberFormat="1" applyFont="1"/>
    <xf numFmtId="0" fontId="108" fillId="0" borderId="0" xfId="0" applyFont="1" applyAlignment="1">
      <alignment horizontal="left"/>
    </xf>
    <xf numFmtId="168" fontId="122" fillId="0" borderId="0" xfId="0" applyNumberFormat="1" applyFont="1" applyAlignment="1">
      <alignment horizontal="left" vertical="top"/>
    </xf>
    <xf numFmtId="0" fontId="108" fillId="0" borderId="0" xfId="0" applyFont="1" applyAlignment="1">
      <alignment horizontal="left" vertical="center"/>
    </xf>
    <xf numFmtId="0" fontId="124" fillId="0" borderId="0" xfId="0" applyFont="1"/>
    <xf numFmtId="172" fontId="22" fillId="0" borderId="8" xfId="543" applyNumberFormat="1" applyBorder="1"/>
    <xf numFmtId="0" fontId="22" fillId="0" borderId="8" xfId="4495" applyFont="1" applyBorder="1"/>
    <xf numFmtId="0" fontId="22" fillId="0" borderId="0" xfId="4495" applyFont="1"/>
    <xf numFmtId="0" fontId="28" fillId="0" borderId="0" xfId="4495" applyFont="1" applyAlignment="1">
      <alignment horizontal="center" vertical="center"/>
    </xf>
    <xf numFmtId="0" fontId="29" fillId="0" borderId="0" xfId="4495" applyFont="1" applyAlignment="1">
      <alignment horizontal="left"/>
    </xf>
    <xf numFmtId="0" fontId="29" fillId="0" borderId="0" xfId="4495" applyFont="1"/>
    <xf numFmtId="0" fontId="32" fillId="0" borderId="0" xfId="4495" applyFont="1" applyAlignment="1">
      <alignment horizontal="center" vertical="center"/>
    </xf>
    <xf numFmtId="0" fontId="32" fillId="0" borderId="27" xfId="4495" applyFont="1" applyBorder="1" applyAlignment="1">
      <alignment horizontal="center" vertical="center"/>
    </xf>
    <xf numFmtId="0" fontId="32" fillId="0" borderId="46" xfId="4495" applyFont="1" applyBorder="1" applyAlignment="1">
      <alignment horizontal="center" vertical="center"/>
    </xf>
    <xf numFmtId="0" fontId="29" fillId="0" borderId="0" xfId="4495" applyFont="1" applyAlignment="1">
      <alignment horizontal="right"/>
    </xf>
    <xf numFmtId="0" fontId="22" fillId="0" borderId="0" xfId="1192" quotePrefix="1" applyAlignment="1">
      <alignment horizontal="center"/>
    </xf>
    <xf numFmtId="0" fontId="52" fillId="0" borderId="0" xfId="4495" applyFont="1" applyAlignment="1">
      <alignment horizontal="left" vertical="center"/>
    </xf>
    <xf numFmtId="49" fontId="30" fillId="0" borderId="0" xfId="4495" applyNumberFormat="1" applyFont="1" applyAlignment="1">
      <alignment horizontal="left" vertical="top"/>
    </xf>
    <xf numFmtId="0" fontId="22" fillId="0" borderId="47" xfId="4495" applyFont="1" applyBorder="1" applyAlignment="1">
      <alignment horizontal="left" vertical="center"/>
    </xf>
    <xf numFmtId="0" fontId="32" fillId="0" borderId="48" xfId="4495" applyFont="1" applyBorder="1" applyAlignment="1">
      <alignment horizontal="center" vertical="center"/>
    </xf>
    <xf numFmtId="0" fontId="30" fillId="0" borderId="0" xfId="4495" applyFont="1"/>
    <xf numFmtId="0" fontId="30" fillId="0" borderId="0" xfId="4495" applyFont="1" applyAlignment="1">
      <alignment horizontal="left" vertical="top"/>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22" fillId="0" borderId="0" xfId="4495" applyFont="1" applyAlignment="1">
      <alignment horizontal="left" vertical="center"/>
    </xf>
    <xf numFmtId="0" fontId="126" fillId="0" borderId="0" xfId="4496" applyFont="1" applyAlignment="1">
      <alignment vertical="center"/>
    </xf>
    <xf numFmtId="0" fontId="125" fillId="0" borderId="0" xfId="4496" applyFont="1"/>
    <xf numFmtId="0" fontId="125" fillId="0" borderId="0" xfId="4496" applyFont="1" applyAlignment="1">
      <alignment vertical="center"/>
    </xf>
    <xf numFmtId="0" fontId="127" fillId="0" borderId="0" xfId="4496" applyFont="1" applyAlignment="1">
      <alignment vertical="center"/>
    </xf>
    <xf numFmtId="0" fontId="22" fillId="0" borderId="0" xfId="4496" applyFont="1" applyAlignment="1">
      <alignment vertical="center"/>
    </xf>
    <xf numFmtId="0" fontId="30" fillId="0" borderId="3" xfId="4495" applyFont="1" applyBorder="1" applyAlignment="1">
      <alignment vertical="top" wrapText="1"/>
    </xf>
    <xf numFmtId="0" fontId="30" fillId="0" borderId="4" xfId="4495" applyFont="1" applyBorder="1" applyAlignment="1">
      <alignment vertical="top" wrapText="1"/>
    </xf>
    <xf numFmtId="164" fontId="123" fillId="0" borderId="4" xfId="4495" applyNumberFormat="1" applyBorder="1" applyAlignment="1">
      <alignment horizontal="right"/>
    </xf>
    <xf numFmtId="0" fontId="30" fillId="0" borderId="4" xfId="4495" applyFont="1" applyBorder="1"/>
    <xf numFmtId="0" fontId="29" fillId="0" borderId="5" xfId="4495" applyFont="1" applyBorder="1" applyAlignment="1">
      <alignment horizontal="right"/>
    </xf>
    <xf numFmtId="0" fontId="22" fillId="0" borderId="16" xfId="4495" applyFont="1" applyBorder="1"/>
    <xf numFmtId="0" fontId="22" fillId="0" borderId="16" xfId="4495" applyFont="1" applyBorder="1" applyAlignment="1">
      <alignment horizontal="left" vertical="top"/>
    </xf>
    <xf numFmtId="0" fontId="30" fillId="0" borderId="16" xfId="4495" applyFont="1" applyBorder="1" applyAlignment="1">
      <alignment horizontal="left" vertical="top" wrapText="1"/>
    </xf>
    <xf numFmtId="0" fontId="30" fillId="0" borderId="45" xfId="4495" applyFont="1" applyBorder="1" applyAlignment="1">
      <alignment horizontal="left" vertical="top" wrapText="1"/>
    </xf>
    <xf numFmtId="0" fontId="123" fillId="0" borderId="0" xfId="4495"/>
    <xf numFmtId="0" fontId="23" fillId="0" borderId="0" xfId="244" applyFill="1" applyBorder="1" applyAlignment="1" applyProtection="1">
      <alignment horizontal="left" vertical="top"/>
    </xf>
    <xf numFmtId="0" fontId="23" fillId="0" borderId="0" xfId="244" applyFill="1" applyBorder="1" applyAlignment="1" applyProtection="1">
      <alignment horizontal="left" vertical="top" wrapText="1"/>
    </xf>
    <xf numFmtId="0" fontId="30" fillId="0" borderId="0" xfId="4495" applyFont="1" applyAlignment="1">
      <alignment horizontal="left" vertical="top" wrapText="1"/>
    </xf>
    <xf numFmtId="0" fontId="30" fillId="0" borderId="0" xfId="4495" applyFont="1" applyAlignment="1">
      <alignment horizontal="right" vertical="top"/>
    </xf>
    <xf numFmtId="0" fontId="22" fillId="0" borderId="0" xfId="4495" applyFont="1" applyAlignment="1">
      <alignment vertical="center" wrapText="1"/>
    </xf>
    <xf numFmtId="0" fontId="125" fillId="0" borderId="53" xfId="4496" applyFont="1" applyBorder="1" applyAlignment="1">
      <alignment vertical="top" wrapText="1"/>
    </xf>
    <xf numFmtId="0" fontId="125" fillId="0" borderId="0" xfId="4496" applyFont="1" applyAlignment="1">
      <alignment vertical="top" wrapText="1"/>
    </xf>
    <xf numFmtId="10" fontId="125" fillId="0" borderId="0" xfId="4496" applyNumberFormat="1" applyFont="1" applyAlignment="1">
      <alignment vertical="top" wrapText="1"/>
    </xf>
    <xf numFmtId="0" fontId="125" fillId="0" borderId="54" xfId="4496" applyFont="1" applyBorder="1" applyAlignment="1">
      <alignment vertical="top" wrapText="1"/>
    </xf>
    <xf numFmtId="0" fontId="125" fillId="0" borderId="0" xfId="4496" applyFont="1" applyAlignment="1">
      <alignment vertical="top"/>
    </xf>
    <xf numFmtId="165" fontId="125" fillId="0" borderId="0" xfId="4496" applyNumberFormat="1" applyFont="1" applyAlignment="1">
      <alignment vertical="top" wrapText="1"/>
    </xf>
    <xf numFmtId="0" fontId="29" fillId="0" borderId="57" xfId="4495" applyFont="1" applyBorder="1"/>
    <xf numFmtId="0" fontId="29" fillId="0" borderId="58" xfId="4495" applyFont="1" applyBorder="1"/>
    <xf numFmtId="0" fontId="29" fillId="0" borderId="58" xfId="4495" applyFont="1" applyBorder="1" applyAlignment="1">
      <alignment horizontal="right"/>
    </xf>
    <xf numFmtId="0" fontId="29" fillId="0" borderId="59" xfId="4495" applyFont="1" applyBorder="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xf>
    <xf numFmtId="0" fontId="32" fillId="0" borderId="57" xfId="4495" applyFont="1" applyBorder="1" applyAlignment="1">
      <alignment horizontal="center" vertical="center"/>
    </xf>
    <xf numFmtId="0" fontId="32" fillId="0" borderId="58" xfId="4495" applyFont="1" applyBorder="1" applyAlignment="1">
      <alignment horizontal="center" vertical="center"/>
    </xf>
    <xf numFmtId="0" fontId="32" fillId="0" borderId="59" xfId="4495" applyFont="1" applyBorder="1" applyAlignment="1">
      <alignment horizontal="center" vertical="center"/>
    </xf>
    <xf numFmtId="0" fontId="29" fillId="0" borderId="0" xfId="4495" applyFont="1" applyAlignment="1">
      <alignment horizontal="center"/>
    </xf>
    <xf numFmtId="0" fontId="29" fillId="0" borderId="8" xfId="4495" applyFont="1" applyBorder="1"/>
    <xf numFmtId="0" fontId="30" fillId="0" borderId="0" xfId="4495" applyFont="1" applyAlignment="1">
      <alignment horizontal="left"/>
    </xf>
    <xf numFmtId="0" fontId="29" fillId="0" borderId="0" xfId="4495" applyFont="1" applyAlignment="1">
      <alignment horizontal="center" vertical="top"/>
    </xf>
    <xf numFmtId="0" fontId="22" fillId="0" borderId="0" xfId="4495" applyFont="1" applyAlignment="1">
      <alignment horizontal="center"/>
    </xf>
    <xf numFmtId="0" fontId="38" fillId="0" borderId="0" xfId="4495" applyFont="1"/>
    <xf numFmtId="0" fontId="30" fillId="0" borderId="8" xfId="4495" applyFont="1" applyBorder="1"/>
    <xf numFmtId="0" fontId="58" fillId="0" borderId="8" xfId="4495" applyFont="1" applyBorder="1"/>
    <xf numFmtId="1" fontId="22" fillId="0" borderId="0" xfId="1192" applyNumberFormat="1"/>
    <xf numFmtId="0" fontId="22" fillId="0" borderId="3" xfId="4495" applyFont="1" applyBorder="1"/>
    <xf numFmtId="0" fontId="22" fillId="0" borderId="4" xfId="4495" applyFont="1" applyBorder="1"/>
    <xf numFmtId="0" fontId="22" fillId="0" borderId="0" xfId="1192" applyAlignment="1">
      <alignment wrapText="1"/>
    </xf>
    <xf numFmtId="0" fontId="30" fillId="0" borderId="0" xfId="4495" applyFont="1" applyAlignment="1">
      <alignment vertical="top" wrapText="1"/>
    </xf>
    <xf numFmtId="0" fontId="30" fillId="0" borderId="0" xfId="1192" applyFont="1"/>
    <xf numFmtId="0" fontId="22" fillId="0" borderId="0" xfId="4495" applyFont="1" applyAlignment="1">
      <alignment horizontal="left"/>
    </xf>
    <xf numFmtId="0" fontId="30" fillId="0" borderId="3" xfId="4495" applyFont="1" applyBorder="1"/>
    <xf numFmtId="0" fontId="22" fillId="0" borderId="4" xfId="4495" applyFont="1" applyBorder="1" applyAlignment="1">
      <alignment horizontal="right"/>
    </xf>
    <xf numFmtId="1" fontId="22" fillId="0" borderId="0" xfId="4495" applyNumberFormat="1" applyFont="1" applyAlignment="1">
      <alignment horizontal="center"/>
    </xf>
    <xf numFmtId="0" fontId="58" fillId="0" borderId="0" xfId="4495" applyFont="1"/>
    <xf numFmtId="0" fontId="22" fillId="0" borderId="0" xfId="4495" applyFont="1" applyAlignment="1">
      <alignment horizontal="right"/>
    </xf>
    <xf numFmtId="0" fontId="30" fillId="0" borderId="0" xfId="4495" applyFont="1" applyAlignment="1">
      <alignment vertical="top"/>
    </xf>
    <xf numFmtId="0" fontId="30" fillId="0" borderId="27" xfId="4495" applyFont="1" applyBorder="1"/>
    <xf numFmtId="0" fontId="29" fillId="0" borderId="0" xfId="4495" applyFont="1" applyAlignment="1">
      <alignment vertical="top"/>
    </xf>
    <xf numFmtId="0" fontId="40" fillId="0" borderId="0" xfId="4495" applyFont="1" applyAlignment="1">
      <alignment vertical="top" wrapText="1"/>
    </xf>
    <xf numFmtId="0" fontId="29" fillId="0" borderId="0" xfId="4495" applyFont="1" applyAlignment="1">
      <alignment horizontal="left" vertical="top" wrapText="1"/>
    </xf>
    <xf numFmtId="0" fontId="22" fillId="0" borderId="0" xfId="4495" applyFont="1" applyAlignment="1">
      <alignment horizontal="left" vertical="top"/>
    </xf>
    <xf numFmtId="0" fontId="40" fillId="0" borderId="0" xfId="4495" applyFont="1" applyAlignment="1">
      <alignment vertical="top"/>
    </xf>
    <xf numFmtId="0" fontId="22" fillId="0" borderId="10" xfId="4495" applyFont="1" applyBorder="1" applyAlignment="1">
      <alignment horizontal="center"/>
    </xf>
    <xf numFmtId="0" fontId="22" fillId="0" borderId="16" xfId="4495" applyFont="1" applyBorder="1" applyAlignment="1">
      <alignment horizontal="center"/>
    </xf>
    <xf numFmtId="0" fontId="38" fillId="0" borderId="16" xfId="4495" applyFont="1" applyBorder="1"/>
    <xf numFmtId="0" fontId="30" fillId="0" borderId="16" xfId="4495" applyFont="1" applyBorder="1"/>
    <xf numFmtId="0" fontId="22" fillId="0" borderId="0" xfId="4496" applyFont="1" applyAlignment="1">
      <alignment vertical="top" wrapText="1"/>
    </xf>
    <xf numFmtId="0" fontId="29" fillId="0" borderId="0" xfId="1192" applyFont="1" applyAlignment="1">
      <alignment horizontal="right"/>
    </xf>
    <xf numFmtId="0" fontId="22" fillId="0" borderId="0" xfId="4496" applyFont="1"/>
    <xf numFmtId="0" fontId="22" fillId="0" borderId="0" xfId="4496" applyFont="1" applyAlignment="1">
      <alignment horizontal="left"/>
    </xf>
    <xf numFmtId="0" fontId="22" fillId="0" borderId="0" xfId="4496" applyFont="1" applyAlignment="1">
      <alignment horizontal="right"/>
    </xf>
    <xf numFmtId="0" fontId="30" fillId="0" borderId="0" xfId="4496" applyFont="1" applyAlignment="1">
      <alignment vertical="top" wrapText="1"/>
    </xf>
    <xf numFmtId="0" fontId="22" fillId="0" borderId="4" xfId="4496" applyFont="1" applyBorder="1"/>
    <xf numFmtId="0" fontId="29" fillId="0" borderId="4" xfId="4496" applyFont="1" applyBorder="1" applyAlignment="1">
      <alignment horizontal="right"/>
    </xf>
    <xf numFmtId="0" fontId="30" fillId="0" borderId="27" xfId="4495" applyFont="1" applyBorder="1" applyAlignment="1">
      <alignment horizontal="left" vertical="top"/>
    </xf>
    <xf numFmtId="0" fontId="22" fillId="0" borderId="27" xfId="4495" applyFont="1" applyBorder="1" applyAlignment="1">
      <alignment horizontal="left" vertical="top"/>
    </xf>
    <xf numFmtId="0" fontId="29" fillId="0" borderId="27" xfId="4495" applyFont="1" applyBorder="1" applyAlignment="1">
      <alignment horizontal="right"/>
    </xf>
    <xf numFmtId="0" fontId="22" fillId="0" borderId="27" xfId="4495" applyFont="1" applyBorder="1" applyAlignment="1">
      <alignment horizontal="center"/>
    </xf>
    <xf numFmtId="0" fontId="22" fillId="0" borderId="46" xfId="4495" applyFont="1" applyBorder="1" applyAlignment="1">
      <alignment horizontal="center"/>
    </xf>
    <xf numFmtId="164" fontId="30" fillId="0" borderId="0" xfId="4495" applyNumberFormat="1" applyFont="1" applyAlignment="1">
      <alignment horizontal="left" vertical="top" wrapText="1"/>
    </xf>
    <xf numFmtId="0" fontId="33" fillId="0" borderId="0" xfId="4495" applyFont="1"/>
    <xf numFmtId="0" fontId="30" fillId="0" borderId="0" xfId="4495" applyFont="1" applyAlignment="1">
      <alignment horizontal="right"/>
    </xf>
    <xf numFmtId="0" fontId="22" fillId="0" borderId="27" xfId="543" applyBorder="1"/>
    <xf numFmtId="0" fontId="22" fillId="0" borderId="46" xfId="543" applyBorder="1"/>
    <xf numFmtId="0" fontId="29" fillId="0" borderId="0" xfId="4495" applyFont="1" applyAlignment="1">
      <alignment horizontal="left" vertical="top"/>
    </xf>
    <xf numFmtId="1" fontId="123" fillId="0" borderId="0" xfId="4495" applyNumberFormat="1"/>
    <xf numFmtId="0" fontId="22" fillId="0" borderId="0" xfId="4495" applyFont="1" applyAlignment="1">
      <alignment vertical="top" wrapText="1"/>
    </xf>
    <xf numFmtId="0" fontId="22" fillId="0" borderId="0" xfId="4495" applyFont="1" applyAlignment="1">
      <alignment horizontal="left" vertical="top" wrapText="1"/>
    </xf>
    <xf numFmtId="0" fontId="22" fillId="0" borderId="50" xfId="4495" applyFont="1" applyBorder="1" applyAlignment="1">
      <alignment vertical="top"/>
    </xf>
    <xf numFmtId="1" fontId="30" fillId="0" borderId="8" xfId="4495" applyNumberFormat="1" applyFont="1" applyBorder="1"/>
    <xf numFmtId="0" fontId="22" fillId="0" borderId="0" xfId="543" applyAlignment="1">
      <alignment vertical="top"/>
    </xf>
    <xf numFmtId="0" fontId="30" fillId="0" borderId="51" xfId="4495" applyFont="1" applyBorder="1" applyAlignment="1">
      <alignment horizontal="left" vertical="top"/>
    </xf>
    <xf numFmtId="0" fontId="30" fillId="0" borderId="52" xfId="4495" applyFont="1" applyBorder="1" applyAlignment="1">
      <alignment horizontal="left" vertical="top"/>
    </xf>
    <xf numFmtId="0" fontId="123" fillId="0" borderId="0" xfId="4495" applyAlignment="1" applyProtection="1">
      <alignment horizontal="center"/>
      <protection locked="0"/>
    </xf>
    <xf numFmtId="0" fontId="22" fillId="0" borderId="53" xfId="4495" applyFont="1" applyBorder="1" applyAlignment="1">
      <alignment vertical="top"/>
    </xf>
    <xf numFmtId="0" fontId="22" fillId="0" borderId="54" xfId="4495" applyFont="1" applyBorder="1" applyAlignment="1">
      <alignment vertical="top" wrapText="1"/>
    </xf>
    <xf numFmtId="0" fontId="66" fillId="0" borderId="53" xfId="4495" applyFont="1" applyBorder="1"/>
    <xf numFmtId="0" fontId="30" fillId="0" borderId="54" xfId="4495" applyFont="1" applyBorder="1" applyAlignment="1">
      <alignment horizontal="left" vertical="top"/>
    </xf>
    <xf numFmtId="0" fontId="22" fillId="0" borderId="53" xfId="4495" applyFont="1" applyBorder="1" applyAlignment="1">
      <alignment vertical="center" wrapText="1"/>
    </xf>
    <xf numFmtId="0" fontId="66" fillId="0" borderId="57" xfId="4495" applyFont="1" applyBorder="1"/>
    <xf numFmtId="0" fontId="30" fillId="0" borderId="58" xfId="4495" applyFont="1" applyBorder="1" applyAlignment="1">
      <alignment horizontal="left" vertical="top"/>
    </xf>
    <xf numFmtId="0" fontId="30" fillId="0" borderId="12" xfId="4495" applyFont="1" applyBorder="1"/>
    <xf numFmtId="0" fontId="22" fillId="0" borderId="57" xfId="4495" applyFont="1" applyBorder="1" applyAlignment="1">
      <alignment vertical="center"/>
    </xf>
    <xf numFmtId="0" fontId="22" fillId="0" borderId="58" xfId="4495" applyFont="1" applyBorder="1" applyAlignment="1">
      <alignment vertical="top"/>
    </xf>
    <xf numFmtId="0" fontId="22" fillId="0" borderId="59" xfId="4495" applyFont="1" applyBorder="1" applyAlignment="1">
      <alignment vertical="top"/>
    </xf>
    <xf numFmtId="0" fontId="22" fillId="0" borderId="0" xfId="4495" applyFont="1" applyAlignment="1">
      <alignment vertical="top"/>
    </xf>
    <xf numFmtId="0" fontId="30" fillId="0" borderId="4" xfId="4495" applyFont="1" applyBorder="1" applyAlignment="1">
      <alignment horizontal="left" vertical="top"/>
    </xf>
    <xf numFmtId="0" fontId="22" fillId="0" borderId="4" xfId="4495" applyFont="1" applyBorder="1" applyAlignment="1">
      <alignment horizontal="left" vertical="top"/>
    </xf>
    <xf numFmtId="0" fontId="22" fillId="0" borderId="2" xfId="4495" applyFont="1" applyBorder="1"/>
    <xf numFmtId="0" fontId="30" fillId="0" borderId="2" xfId="4495" applyFont="1" applyBorder="1"/>
    <xf numFmtId="0" fontId="22" fillId="0" borderId="2" xfId="4495" applyFont="1" applyBorder="1" applyAlignment="1">
      <alignment horizontal="center"/>
    </xf>
    <xf numFmtId="0" fontId="30" fillId="0" borderId="7" xfId="4495" applyFont="1" applyBorder="1"/>
    <xf numFmtId="0" fontId="38" fillId="0" borderId="0" xfId="4495" applyFont="1" applyAlignment="1">
      <alignment horizontal="right"/>
    </xf>
    <xf numFmtId="0" fontId="128" fillId="0" borderId="0" xfId="4495" applyFont="1" applyAlignment="1">
      <alignment horizontal="left" vertical="top" wrapText="1"/>
    </xf>
    <xf numFmtId="0" fontId="38" fillId="0" borderId="0" xfId="4495" applyFont="1" applyAlignment="1">
      <alignment horizontal="left" vertical="top"/>
    </xf>
    <xf numFmtId="0" fontId="30" fillId="0" borderId="0" xfId="4495" quotePrefix="1" applyFont="1" applyAlignment="1">
      <alignment horizontal="right"/>
    </xf>
    <xf numFmtId="0" fontId="22" fillId="0" borderId="0" xfId="4497"/>
    <xf numFmtId="0" fontId="30" fillId="0" borderId="0" xfId="4495" applyFont="1" applyAlignment="1">
      <alignment horizontal="left" vertical="top" wrapText="1" shrinkToFit="1"/>
    </xf>
    <xf numFmtId="0" fontId="123" fillId="0" borderId="0" xfId="4495" applyAlignment="1">
      <alignment vertical="top" wrapText="1"/>
    </xf>
    <xf numFmtId="0" fontId="30" fillId="0" borderId="4" xfId="4495" applyFont="1" applyBorder="1" applyAlignment="1">
      <alignment horizontal="left" vertical="top" wrapText="1" shrinkToFit="1"/>
    </xf>
    <xf numFmtId="0" fontId="38" fillId="0" borderId="8" xfId="4495" applyFont="1" applyBorder="1"/>
    <xf numFmtId="0" fontId="30" fillId="0" borderId="0" xfId="4495" applyFont="1" applyAlignment="1">
      <alignment horizontal="center"/>
    </xf>
    <xf numFmtId="0" fontId="30" fillId="0" borderId="0" xfId="4495" quotePrefix="1" applyFont="1"/>
    <xf numFmtId="0" fontId="30" fillId="0" borderId="0" xfId="4495" applyFont="1" applyAlignment="1">
      <alignment horizontal="left" vertical="top" shrinkToFit="1"/>
    </xf>
    <xf numFmtId="0" fontId="52" fillId="0" borderId="0" xfId="4495" applyFont="1"/>
    <xf numFmtId="0" fontId="30" fillId="0" borderId="3" xfId="4495" applyFont="1" applyBorder="1" applyAlignment="1">
      <alignment horizontal="center"/>
    </xf>
    <xf numFmtId="0" fontId="123" fillId="0" borderId="8" xfId="4495" applyBorder="1"/>
    <xf numFmtId="0" fontId="29" fillId="0" borderId="8" xfId="4495" applyFont="1" applyBorder="1" applyAlignment="1">
      <alignment vertical="top"/>
    </xf>
    <xf numFmtId="0" fontId="123" fillId="0" borderId="0" xfId="4495" applyAlignment="1">
      <alignment vertical="top"/>
    </xf>
    <xf numFmtId="0" fontId="29"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22" fillId="0" borderId="0" xfId="4497" applyNumberFormat="1"/>
    <xf numFmtId="1" fontId="30"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30" fillId="0" borderId="6" xfId="4495" applyFont="1" applyBorder="1"/>
    <xf numFmtId="1" fontId="30" fillId="0" borderId="8" xfId="4495" applyNumberFormat="1" applyFont="1" applyBorder="1" applyAlignment="1">
      <alignment horizontal="center" vertical="top"/>
    </xf>
    <xf numFmtId="0" fontId="123" fillId="0" borderId="12" xfId="4495" applyBorder="1"/>
    <xf numFmtId="0" fontId="30" fillId="0" borderId="9" xfId="4495" applyFont="1" applyBorder="1"/>
    <xf numFmtId="0" fontId="123" fillId="0" borderId="10" xfId="4495" applyBorder="1"/>
    <xf numFmtId="0" fontId="38" fillId="0" borderId="3" xfId="4495" applyFont="1" applyBorder="1"/>
    <xf numFmtId="0" fontId="29" fillId="0" borderId="4" xfId="4495" applyFont="1" applyBorder="1"/>
    <xf numFmtId="0" fontId="123" fillId="0" borderId="12" xfId="4495" applyBorder="1" applyAlignment="1">
      <alignment vertical="top"/>
    </xf>
    <xf numFmtId="0" fontId="38"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8" fillId="0" borderId="9" xfId="4495" applyFont="1" applyBorder="1"/>
    <xf numFmtId="0" fontId="30" fillId="0" borderId="10" xfId="4495" applyFont="1" applyBorder="1"/>
    <xf numFmtId="0" fontId="132" fillId="0" borderId="0" xfId="4495" applyFont="1" applyAlignment="1">
      <alignment wrapText="1"/>
    </xf>
    <xf numFmtId="0" fontId="38" fillId="0" borderId="9" xfId="4495" applyFont="1" applyBorder="1" applyAlignment="1">
      <alignment horizontal="center"/>
    </xf>
    <xf numFmtId="0" fontId="29" fillId="0" borderId="10" xfId="4495" applyFont="1" applyBorder="1"/>
    <xf numFmtId="0" fontId="40" fillId="0" borderId="0" xfId="4495" applyFont="1"/>
    <xf numFmtId="0" fontId="30" fillId="0" borderId="50" xfId="4495" applyFont="1" applyBorder="1"/>
    <xf numFmtId="0" fontId="30" fillId="0" borderId="51" xfId="4495" applyFont="1" applyBorder="1"/>
    <xf numFmtId="1" fontId="30" fillId="0" borderId="51" xfId="4495" quotePrefix="1" applyNumberFormat="1" applyFont="1" applyBorder="1" applyAlignment="1">
      <alignment horizontal="center" vertical="top"/>
    </xf>
    <xf numFmtId="0" fontId="29" fillId="0" borderId="51" xfId="4495" applyFont="1" applyBorder="1"/>
    <xf numFmtId="0" fontId="29" fillId="0" borderId="52" xfId="4495" applyFont="1" applyBorder="1" applyAlignment="1">
      <alignment horizontal="center"/>
    </xf>
    <xf numFmtId="0" fontId="22" fillId="0" borderId="53" xfId="4495" applyFont="1" applyBorder="1"/>
    <xf numFmtId="1" fontId="30" fillId="0" borderId="0" xfId="4495" quotePrefix="1" applyNumberFormat="1" applyFont="1" applyAlignment="1">
      <alignment horizontal="center" vertical="top"/>
    </xf>
    <xf numFmtId="0" fontId="29" fillId="0" borderId="54" xfId="4495" applyFont="1" applyBorder="1" applyAlignment="1">
      <alignment horizontal="center"/>
    </xf>
    <xf numFmtId="0" fontId="38" fillId="0" borderId="0" xfId="4495" applyFont="1" applyAlignment="1">
      <alignment vertical="top"/>
    </xf>
    <xf numFmtId="0" fontId="30" fillId="0" borderId="61" xfId="4495" applyFont="1" applyBorder="1"/>
    <xf numFmtId="0" fontId="123" fillId="0" borderId="58" xfId="4495" applyBorder="1" applyAlignment="1">
      <alignment horizontal="center"/>
    </xf>
    <xf numFmtId="1" fontId="30" fillId="0" borderId="58" xfId="4495" quotePrefix="1" applyNumberFormat="1" applyFont="1" applyBorder="1" applyAlignment="1">
      <alignment horizontal="center" vertical="top"/>
    </xf>
    <xf numFmtId="0" fontId="38" fillId="0" borderId="58" xfId="4495" applyFont="1" applyBorder="1" applyAlignment="1">
      <alignment vertical="top"/>
    </xf>
    <xf numFmtId="0" fontId="30" fillId="0" borderId="58" xfId="4495" applyFont="1" applyBorder="1" applyAlignment="1">
      <alignment vertical="top" wrapText="1"/>
    </xf>
    <xf numFmtId="0" fontId="30" fillId="0" borderId="58" xfId="4495" applyFont="1" applyBorder="1"/>
    <xf numFmtId="0" fontId="29" fillId="0" borderId="58" xfId="4495" applyFont="1" applyBorder="1" applyAlignment="1">
      <alignment horizontal="center"/>
    </xf>
    <xf numFmtId="0" fontId="123" fillId="0" borderId="61" xfId="4495" applyBorder="1"/>
    <xf numFmtId="0" fontId="123" fillId="0" borderId="0" xfId="4495" applyAlignment="1">
      <alignment horizontal="center"/>
    </xf>
    <xf numFmtId="0" fontId="22" fillId="0" borderId="53" xfId="543" applyBorder="1"/>
    <xf numFmtId="0" fontId="30" fillId="0" borderId="54" xfId="4495" applyFont="1" applyBorder="1"/>
    <xf numFmtId="0" fontId="22" fillId="0" borderId="58" xfId="543" applyBorder="1"/>
    <xf numFmtId="1" fontId="30" fillId="0" borderId="58" xfId="4495" applyNumberFormat="1" applyFont="1" applyBorder="1" applyAlignment="1">
      <alignment horizontal="center" vertical="top"/>
    </xf>
    <xf numFmtId="0" fontId="38" fillId="0" borderId="58" xfId="4495" applyFont="1" applyBorder="1" applyAlignment="1">
      <alignment vertical="center"/>
    </xf>
    <xf numFmtId="0" fontId="123" fillId="0" borderId="58" xfId="4495" applyBorder="1" applyAlignment="1">
      <alignment vertical="top" wrapText="1"/>
    </xf>
    <xf numFmtId="0" fontId="22" fillId="0" borderId="58" xfId="4495" applyFont="1" applyBorder="1"/>
    <xf numFmtId="0" fontId="38" fillId="0" borderId="0" xfId="4495" applyFont="1" applyAlignment="1">
      <alignment vertical="center"/>
    </xf>
    <xf numFmtId="0" fontId="30" fillId="0" borderId="53" xfId="4495" applyFont="1" applyBorder="1"/>
    <xf numFmtId="0" fontId="22" fillId="0" borderId="57" xfId="543" applyBorder="1"/>
    <xf numFmtId="0" fontId="30" fillId="0" borderId="58" xfId="4495" applyFont="1" applyBorder="1" applyAlignment="1">
      <alignment vertical="top"/>
    </xf>
    <xf numFmtId="0" fontId="30" fillId="0" borderId="59" xfId="4495" applyFont="1" applyBorder="1"/>
    <xf numFmtId="0" fontId="30" fillId="0" borderId="57" xfId="4495" applyFont="1" applyBorder="1"/>
    <xf numFmtId="0" fontId="22" fillId="0" borderId="51" xfId="4495" applyFont="1" applyBorder="1"/>
    <xf numFmtId="0" fontId="30" fillId="0" borderId="52" xfId="4495" applyFont="1" applyBorder="1"/>
    <xf numFmtId="0" fontId="22" fillId="0" borderId="50" xfId="543" applyBorder="1"/>
    <xf numFmtId="0" fontId="22" fillId="0" borderId="51" xfId="543" applyBorder="1"/>
    <xf numFmtId="0" fontId="22" fillId="0" borderId="52" xfId="543" applyBorder="1"/>
    <xf numFmtId="0" fontId="30" fillId="0" borderId="0" xfId="4495" applyFont="1" applyAlignment="1">
      <alignment wrapText="1"/>
    </xf>
    <xf numFmtId="0" fontId="29" fillId="0" borderId="54" xfId="4495" applyFont="1" applyBorder="1" applyAlignment="1">
      <alignment horizontal="center" vertical="top"/>
    </xf>
    <xf numFmtId="0" fontId="123" fillId="0" borderId="53" xfId="4495" applyBorder="1" applyAlignment="1">
      <alignment horizontal="center"/>
    </xf>
    <xf numFmtId="2" fontId="30" fillId="0" borderId="0" xfId="4495" applyNumberFormat="1" applyFont="1" applyAlignment="1">
      <alignment horizontal="right"/>
    </xf>
    <xf numFmtId="2" fontId="30" fillId="0" borderId="8" xfId="4495" applyNumberFormat="1" applyFont="1" applyBorder="1" applyAlignment="1">
      <alignment horizontal="left"/>
    </xf>
    <xf numFmtId="0" fontId="30" fillId="0" borderId="8" xfId="4495" applyFont="1" applyBorder="1" applyAlignment="1">
      <alignment horizontal="right"/>
    </xf>
    <xf numFmtId="0" fontId="131" fillId="0" borderId="0" xfId="4495" applyFont="1"/>
    <xf numFmtId="0" fontId="123" fillId="0" borderId="57" xfId="4495" applyBorder="1" applyAlignment="1">
      <alignment horizontal="center"/>
    </xf>
    <xf numFmtId="0" fontId="29" fillId="0" borderId="59" xfId="4495" applyFont="1" applyBorder="1" applyAlignment="1">
      <alignment horizontal="center"/>
    </xf>
    <xf numFmtId="9" fontId="30" fillId="0" borderId="0" xfId="4495" applyNumberFormat="1" applyFont="1" applyAlignment="1">
      <alignment horizontal="left"/>
    </xf>
    <xf numFmtId="0" fontId="22" fillId="0" borderId="17" xfId="543" applyBorder="1"/>
    <xf numFmtId="0" fontId="22" fillId="0" borderId="16" xfId="543" applyBorder="1"/>
    <xf numFmtId="0" fontId="22" fillId="0" borderId="51" xfId="4495" quotePrefix="1" applyFont="1" applyBorder="1" applyAlignment="1">
      <alignment horizontal="center" vertical="top"/>
    </xf>
    <xf numFmtId="0" fontId="30" fillId="0" borderId="53" xfId="4495" applyFont="1" applyBorder="1" applyAlignment="1">
      <alignment horizontal="left" vertical="top"/>
    </xf>
    <xf numFmtId="0" fontId="30" fillId="0" borderId="0" xfId="4495" applyFont="1" applyAlignment="1">
      <alignment horizontal="center" vertical="top"/>
    </xf>
    <xf numFmtId="0" fontId="30" fillId="0" borderId="57" xfId="4495" applyFont="1" applyBorder="1" applyAlignment="1">
      <alignment horizontal="left" vertical="top"/>
    </xf>
    <xf numFmtId="0" fontId="30" fillId="0" borderId="58" xfId="4495" applyFont="1" applyBorder="1" applyAlignment="1">
      <alignment horizontal="center" vertical="top"/>
    </xf>
    <xf numFmtId="0" fontId="123" fillId="0" borderId="58" xfId="4495" applyBorder="1"/>
    <xf numFmtId="0" fontId="29" fillId="0" borderId="58" xfId="4495" applyFont="1" applyBorder="1" applyAlignment="1">
      <alignment vertical="top"/>
    </xf>
    <xf numFmtId="0" fontId="29" fillId="0" borderId="58" xfId="4495" applyFont="1" applyBorder="1" applyAlignment="1">
      <alignment horizontal="left" vertical="top"/>
    </xf>
    <xf numFmtId="0" fontId="29" fillId="0" borderId="51" xfId="4495" applyFont="1" applyBorder="1" applyAlignment="1">
      <alignment horizontal="left" vertical="top"/>
    </xf>
    <xf numFmtId="0" fontId="29" fillId="0" borderId="53" xfId="4495" applyFont="1" applyBorder="1" applyAlignment="1">
      <alignment horizontal="left" vertical="top"/>
    </xf>
    <xf numFmtId="0" fontId="58" fillId="0" borderId="0" xfId="4495" applyFont="1" applyAlignment="1">
      <alignment horizontal="left" vertical="top"/>
    </xf>
    <xf numFmtId="0" fontId="30" fillId="0" borderId="0" xfId="4495" quotePrefix="1" applyFont="1" applyAlignment="1">
      <alignment horizontal="center" vertical="top"/>
    </xf>
    <xf numFmtId="0" fontId="59" fillId="0" borderId="0" xfId="4495" applyFont="1" applyAlignment="1">
      <alignment horizontal="center"/>
    </xf>
    <xf numFmtId="0" fontId="59" fillId="0" borderId="0" xfId="4495" applyFont="1" applyAlignment="1">
      <alignment vertical="top"/>
    </xf>
    <xf numFmtId="0" fontId="110" fillId="0" borderId="0" xfId="4495" applyFont="1"/>
    <xf numFmtId="0" fontId="58" fillId="0" borderId="0" xfId="4495" applyFont="1" applyAlignment="1">
      <alignment vertical="top"/>
    </xf>
    <xf numFmtId="0" fontId="38" fillId="0" borderId="53" xfId="4495" applyFont="1" applyBorder="1"/>
    <xf numFmtId="2" fontId="30" fillId="0" borderId="8" xfId="4495" applyNumberFormat="1" applyFont="1" applyBorder="1" applyAlignment="1">
      <alignment horizontal="right"/>
    </xf>
    <xf numFmtId="0" fontId="29" fillId="0" borderId="50" xfId="4495" applyFont="1" applyBorder="1" applyAlignment="1">
      <alignment horizontal="left" vertical="top"/>
    </xf>
    <xf numFmtId="0" fontId="58" fillId="0" borderId="51" xfId="4495" applyFont="1" applyBorder="1" applyAlignment="1">
      <alignment horizontal="left" vertical="top"/>
    </xf>
    <xf numFmtId="0" fontId="123" fillId="0" borderId="53" xfId="4495" applyBorder="1"/>
    <xf numFmtId="0" fontId="110" fillId="0" borderId="0" xfId="4495" applyFont="1" applyAlignment="1">
      <alignment horizontal="left" vertical="top"/>
    </xf>
    <xf numFmtId="1" fontId="29" fillId="0" borderId="58" xfId="4495" applyNumberFormat="1" applyFont="1" applyBorder="1" applyAlignment="1">
      <alignment vertical="top"/>
    </xf>
    <xf numFmtId="172" fontId="29" fillId="0" borderId="8" xfId="543" applyNumberFormat="1" applyFont="1" applyBorder="1"/>
    <xf numFmtId="172" fontId="29" fillId="0" borderId="0" xfId="543" applyNumberFormat="1" applyFont="1"/>
    <xf numFmtId="0" fontId="38" fillId="0" borderId="0" xfId="4495" applyFont="1" applyAlignment="1">
      <alignment wrapText="1"/>
    </xf>
    <xf numFmtId="0" fontId="38" fillId="0" borderId="0" xfId="4495" applyFont="1" applyAlignment="1">
      <alignment horizontal="center"/>
    </xf>
    <xf numFmtId="0" fontId="38" fillId="0" borderId="0" xfId="4495" applyFont="1" applyAlignment="1">
      <alignment vertical="center" wrapText="1"/>
    </xf>
    <xf numFmtId="180" fontId="30" fillId="0" borderId="0" xfId="4495" applyNumberFormat="1" applyFont="1" applyAlignment="1">
      <alignment horizontal="center"/>
    </xf>
    <xf numFmtId="1" fontId="30" fillId="0" borderId="0" xfId="4495" applyNumberFormat="1" applyFont="1" applyAlignment="1">
      <alignment horizontal="center"/>
    </xf>
    <xf numFmtId="0" fontId="29" fillId="0" borderId="51" xfId="4495" applyFont="1" applyBorder="1" applyAlignment="1">
      <alignment horizontal="center"/>
    </xf>
    <xf numFmtId="0" fontId="29" fillId="0" borderId="51" xfId="4495" applyFont="1" applyBorder="1" applyAlignment="1">
      <alignment vertical="top"/>
    </xf>
    <xf numFmtId="0" fontId="29" fillId="0" borderId="53" xfId="4495" applyFont="1" applyBorder="1"/>
    <xf numFmtId="0" fontId="22" fillId="0" borderId="54" xfId="543" applyBorder="1"/>
    <xf numFmtId="49" fontId="30" fillId="0" borderId="0" xfId="4495" applyNumberFormat="1" applyFont="1" applyAlignment="1">
      <alignment horizontal="left" vertical="center" wrapText="1"/>
    </xf>
    <xf numFmtId="0" fontId="22" fillId="0" borderId="57" xfId="4495" applyFont="1" applyBorder="1"/>
    <xf numFmtId="1" fontId="22" fillId="0" borderId="0" xfId="4495" applyNumberFormat="1" applyFont="1" applyAlignment="1">
      <alignment vertical="center"/>
    </xf>
    <xf numFmtId="0" fontId="40" fillId="0" borderId="50" xfId="4495" applyFont="1" applyBorder="1"/>
    <xf numFmtId="0" fontId="30" fillId="0" borderId="51" xfId="4495" applyFont="1" applyBorder="1" applyAlignment="1">
      <alignment horizontal="center" vertical="top"/>
    </xf>
    <xf numFmtId="0" fontId="30" fillId="0" borderId="51" xfId="4495" applyFont="1" applyBorder="1" applyAlignment="1">
      <alignment vertical="top" wrapText="1"/>
    </xf>
    <xf numFmtId="0" fontId="30" fillId="0" borderId="51" xfId="4495" applyFont="1" applyBorder="1" applyAlignment="1">
      <alignment horizontal="left" vertical="top" wrapText="1"/>
    </xf>
    <xf numFmtId="0" fontId="22" fillId="0" borderId="0" xfId="4495" quotePrefix="1" applyFont="1" applyAlignment="1">
      <alignment horizontal="center" vertical="top"/>
    </xf>
    <xf numFmtId="1" fontId="30" fillId="0" borderId="0" xfId="4495" quotePrefix="1" applyNumberFormat="1" applyFont="1" applyAlignment="1">
      <alignment wrapText="1"/>
    </xf>
    <xf numFmtId="0" fontId="30" fillId="0" borderId="6" xfId="4495" applyFont="1" applyBorder="1" applyAlignment="1">
      <alignment horizontal="right"/>
    </xf>
    <xf numFmtId="0" fontId="125" fillId="0" borderId="0" xfId="4496" applyFont="1" applyAlignment="1">
      <alignment wrapText="1"/>
    </xf>
    <xf numFmtId="0" fontId="22" fillId="0" borderId="0" xfId="4496" applyFont="1" applyAlignment="1">
      <alignment wrapText="1"/>
    </xf>
    <xf numFmtId="0" fontId="38" fillId="0" borderId="51" xfId="4495" applyFont="1" applyBorder="1" applyAlignment="1">
      <alignment vertical="top"/>
    </xf>
    <xf numFmtId="0" fontId="22" fillId="0" borderId="51" xfId="4496" applyFont="1" applyBorder="1" applyAlignment="1">
      <alignment wrapText="1"/>
    </xf>
    <xf numFmtId="0" fontId="29" fillId="0" borderId="51" xfId="4495" applyFont="1" applyBorder="1" applyAlignment="1">
      <alignment horizontal="right"/>
    </xf>
    <xf numFmtId="0" fontId="22" fillId="0" borderId="52" xfId="4495" applyFont="1" applyBorder="1" applyAlignment="1">
      <alignment horizontal="center"/>
    </xf>
    <xf numFmtId="0" fontId="22" fillId="0" borderId="53" xfId="4495" applyFont="1" applyBorder="1" applyAlignment="1">
      <alignment horizontal="left" vertical="top"/>
    </xf>
    <xf numFmtId="0" fontId="22" fillId="0" borderId="54" xfId="4495" applyFont="1" applyBorder="1" applyAlignment="1">
      <alignment horizontal="left" vertical="top"/>
    </xf>
    <xf numFmtId="0" fontId="22" fillId="0" borderId="54" xfId="4495" applyFont="1" applyBorder="1" applyAlignment="1">
      <alignment horizontal="center"/>
    </xf>
    <xf numFmtId="0" fontId="22" fillId="0" borderId="59" xfId="4495" applyFont="1" applyBorder="1" applyAlignment="1">
      <alignment horizontal="center"/>
    </xf>
    <xf numFmtId="9" fontId="22" fillId="0" borderId="0" xfId="4496" applyNumberFormat="1" applyFont="1" applyAlignment="1">
      <alignment horizontal="center"/>
    </xf>
    <xf numFmtId="1" fontId="22" fillId="0" borderId="0" xfId="543" applyNumberFormat="1"/>
    <xf numFmtId="0" fontId="30" fillId="0" borderId="1" xfId="4495" applyFont="1" applyBorder="1"/>
    <xf numFmtId="0" fontId="29" fillId="0" borderId="0" xfId="4495" applyFont="1" applyAlignment="1">
      <alignment horizontal="center" wrapText="1"/>
    </xf>
    <xf numFmtId="0" fontId="29" fillId="0" borderId="9" xfId="4495" applyFont="1" applyBorder="1" applyAlignment="1">
      <alignment horizontal="left"/>
    </xf>
    <xf numFmtId="0" fontId="29" fillId="0" borderId="3" xfId="4495" applyFont="1" applyBorder="1" applyAlignment="1">
      <alignment horizontal="left"/>
    </xf>
    <xf numFmtId="0" fontId="29" fillId="0" borderId="4" xfId="4495" applyFont="1" applyBorder="1" applyAlignment="1">
      <alignment horizontal="left"/>
    </xf>
    <xf numFmtId="0" fontId="22" fillId="0" borderId="2" xfId="4495" applyFont="1" applyBorder="1" applyAlignment="1">
      <alignment horizontal="left"/>
    </xf>
    <xf numFmtId="0" fontId="29" fillId="0" borderId="2" xfId="4495" applyFont="1" applyBorder="1" applyAlignment="1">
      <alignment horizontal="left"/>
    </xf>
    <xf numFmtId="0" fontId="29" fillId="0" borderId="5" xfId="4495" applyFont="1" applyBorder="1" applyAlignment="1">
      <alignment horizontal="left"/>
    </xf>
    <xf numFmtId="180" fontId="69" fillId="0" borderId="0" xfId="4495" applyNumberFormat="1" applyFont="1" applyAlignment="1">
      <alignment horizontal="center" vertical="center"/>
    </xf>
    <xf numFmtId="0" fontId="22" fillId="0" borderId="12" xfId="4495" applyFont="1" applyBorder="1" applyAlignment="1">
      <alignment vertical="top"/>
    </xf>
    <xf numFmtId="0" fontId="52" fillId="0" borderId="0" xfId="4495" applyFont="1" applyAlignment="1">
      <alignment vertical="top" wrapText="1"/>
    </xf>
    <xf numFmtId="0" fontId="22" fillId="0" borderId="51" xfId="4495" applyFont="1" applyBorder="1" applyAlignment="1">
      <alignment horizontal="left" vertical="top" wrapText="1"/>
    </xf>
    <xf numFmtId="0" fontId="22" fillId="0" borderId="51" xfId="4495" applyFont="1" applyBorder="1" applyAlignment="1">
      <alignment horizontal="right"/>
    </xf>
    <xf numFmtId="0" fontId="22" fillId="0" borderId="52" xfId="4495" applyFont="1" applyBorder="1" applyAlignment="1">
      <alignment horizontal="right"/>
    </xf>
    <xf numFmtId="0" fontId="22" fillId="0" borderId="54" xfId="4495" applyFont="1" applyBorder="1" applyAlignment="1">
      <alignment horizontal="right"/>
    </xf>
    <xf numFmtId="0" fontId="22" fillId="0" borderId="58" xfId="4495" applyFont="1" applyBorder="1" applyAlignment="1">
      <alignment horizontal="left" vertical="top" wrapText="1"/>
    </xf>
    <xf numFmtId="0" fontId="22" fillId="0" borderId="58" xfId="4495" applyFont="1" applyBorder="1" applyAlignment="1">
      <alignment horizontal="right"/>
    </xf>
    <xf numFmtId="0" fontId="22" fillId="0" borderId="59" xfId="4495" applyFont="1" applyBorder="1" applyAlignment="1">
      <alignment horizontal="right"/>
    </xf>
    <xf numFmtId="0" fontId="52" fillId="0" borderId="0" xfId="4495" applyFont="1" applyAlignment="1">
      <alignment horizontal="left" vertical="top" wrapText="1"/>
    </xf>
    <xf numFmtId="0" fontId="22" fillId="0" borderId="0" xfId="1192" applyAlignment="1">
      <alignment horizontal="left" vertical="top"/>
    </xf>
    <xf numFmtId="0" fontId="40" fillId="0" borderId="0" xfId="1192" applyFont="1" applyAlignment="1">
      <alignment horizontal="left" vertical="top"/>
    </xf>
    <xf numFmtId="0" fontId="22" fillId="0" borderId="0" xfId="1192" applyAlignment="1">
      <alignment vertical="top"/>
    </xf>
    <xf numFmtId="168" fontId="22" fillId="0" borderId="0" xfId="1192" applyNumberFormat="1"/>
    <xf numFmtId="165" fontId="22" fillId="0" borderId="0" xfId="1192" applyNumberFormat="1"/>
    <xf numFmtId="165" fontId="22" fillId="0" borderId="0" xfId="1192" applyNumberFormat="1" applyAlignment="1">
      <alignment horizontal="right"/>
    </xf>
    <xf numFmtId="2" fontId="22" fillId="0" borderId="0" xfId="1192" applyNumberFormat="1"/>
    <xf numFmtId="6" fontId="22" fillId="0" borderId="0" xfId="1192" applyNumberFormat="1"/>
    <xf numFmtId="0" fontId="29" fillId="0" borderId="0" xfId="1192" applyFont="1"/>
    <xf numFmtId="0" fontId="52" fillId="0" borderId="0" xfId="1192" applyFont="1"/>
    <xf numFmtId="168" fontId="22" fillId="0" borderId="0" xfId="4495" applyNumberFormat="1" applyFont="1"/>
    <xf numFmtId="0" fontId="29" fillId="0" borderId="0" xfId="1192" applyFont="1" applyAlignment="1">
      <alignment vertical="center"/>
    </xf>
    <xf numFmtId="0" fontId="121" fillId="0" borderId="0" xfId="1192" applyFont="1" applyAlignment="1">
      <alignment horizontal="left"/>
    </xf>
    <xf numFmtId="0" fontId="118" fillId="0" borderId="0" xfId="1192" applyFont="1" applyAlignment="1">
      <alignment horizontal="left"/>
    </xf>
    <xf numFmtId="0" fontId="118" fillId="0" borderId="0" xfId="1192" applyFont="1" applyAlignment="1">
      <alignment horizontal="center"/>
    </xf>
    <xf numFmtId="168" fontId="22" fillId="0" borderId="0" xfId="1192" applyNumberFormat="1" applyAlignment="1">
      <alignment horizontal="center"/>
    </xf>
    <xf numFmtId="9" fontId="22" fillId="0" borderId="0" xfId="1192" applyNumberFormat="1"/>
    <xf numFmtId="0" fontId="22" fillId="0" borderId="0" xfId="1192" applyAlignment="1">
      <alignment horizontal="right"/>
    </xf>
    <xf numFmtId="0" fontId="22" fillId="0" borderId="53" xfId="4495" applyFont="1" applyBorder="1" applyAlignment="1">
      <alignment horizontal="left"/>
    </xf>
    <xf numFmtId="6" fontId="29" fillId="0" borderId="0" xfId="1192" applyNumberFormat="1" applyFont="1" applyAlignment="1">
      <alignment horizontal="right"/>
    </xf>
    <xf numFmtId="165" fontId="22" fillId="0" borderId="0" xfId="4495" applyNumberFormat="1" applyFont="1"/>
    <xf numFmtId="0" fontId="59" fillId="0" borderId="4" xfId="4495" applyFont="1" applyBorder="1"/>
    <xf numFmtId="0" fontId="42" fillId="0" borderId="0" xfId="543" applyFont="1" applyAlignment="1">
      <alignment vertical="center" wrapText="1"/>
    </xf>
    <xf numFmtId="1" fontId="29" fillId="0" borderId="13" xfId="271" applyNumberFormat="1" applyFont="1" applyBorder="1"/>
    <xf numFmtId="1" fontId="31" fillId="0" borderId="13" xfId="271" applyNumberFormat="1" applyBorder="1"/>
    <xf numFmtId="0" fontId="22" fillId="0" borderId="11" xfId="0" applyFont="1" applyBorder="1"/>
    <xf numFmtId="9" fontId="22" fillId="0" borderId="0" xfId="4495" applyNumberFormat="1" applyFont="1"/>
    <xf numFmtId="165" fontId="125" fillId="0" borderId="0" xfId="4496" applyNumberFormat="1" applyFont="1" applyAlignment="1">
      <alignment horizontal="center" vertical="top" wrapText="1"/>
    </xf>
    <xf numFmtId="168" fontId="125" fillId="0" borderId="0" xfId="4496" applyNumberFormat="1" applyFont="1" applyAlignment="1">
      <alignment vertical="top" wrapText="1"/>
    </xf>
    <xf numFmtId="165" fontId="125" fillId="0" borderId="64" xfId="4496" applyNumberFormat="1" applyFont="1" applyBorder="1" applyAlignment="1">
      <alignment horizontal="center" vertical="top" wrapText="1"/>
    </xf>
    <xf numFmtId="165" fontId="125" fillId="0" borderId="53" xfId="4496" applyNumberFormat="1" applyFont="1" applyBorder="1" applyAlignment="1">
      <alignment horizontal="left" vertical="top"/>
    </xf>
    <xf numFmtId="165" fontId="125" fillId="0" borderId="53" xfId="4496" applyNumberFormat="1" applyFont="1" applyBorder="1" applyAlignment="1">
      <alignment horizontal="center" vertical="top" wrapText="1"/>
    </xf>
    <xf numFmtId="168" fontId="125" fillId="0" borderId="0" xfId="4496" applyNumberFormat="1" applyFont="1" applyAlignment="1">
      <alignment vertical="top"/>
    </xf>
    <xf numFmtId="1" fontId="125" fillId="0" borderId="0" xfId="4496" applyNumberFormat="1" applyFont="1" applyAlignment="1">
      <alignment vertical="top" wrapText="1"/>
    </xf>
    <xf numFmtId="164" fontId="30" fillId="0" borderId="0" xfId="4495" applyNumberFormat="1" applyFont="1"/>
    <xf numFmtId="0" fontId="29" fillId="0" borderId="8" xfId="0" applyFont="1" applyBorder="1" applyAlignment="1">
      <alignment horizontal="center" vertical="center" wrapText="1"/>
    </xf>
    <xf numFmtId="0" fontId="2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31" fillId="0" borderId="3" xfId="0" applyFont="1" applyBorder="1" applyAlignment="1">
      <alignment horizontal="center"/>
    </xf>
    <xf numFmtId="0" fontId="31" fillId="0" borderId="4" xfId="0" applyFont="1" applyBorder="1" applyAlignment="1">
      <alignment horizontal="center"/>
    </xf>
    <xf numFmtId="0" fontId="31" fillId="0" borderId="5" xfId="0" applyFont="1" applyBorder="1" applyAlignment="1">
      <alignment horizontal="center"/>
    </xf>
    <xf numFmtId="0" fontId="29" fillId="0" borderId="7" xfId="0" applyFont="1" applyBorder="1" applyAlignment="1">
      <alignment horizontal="right"/>
    </xf>
    <xf numFmtId="0" fontId="0" fillId="0" borderId="0" xfId="0" applyAlignment="1" applyProtection="1">
      <alignment horizontal="left" vertical="top" wrapText="1"/>
      <protection locked="0"/>
    </xf>
    <xf numFmtId="0" fontId="22" fillId="0" borderId="9" xfId="0" applyFont="1" applyBorder="1" applyAlignment="1">
      <alignment horizontal="left"/>
    </xf>
    <xf numFmtId="0" fontId="22" fillId="0" borderId="6" xfId="0" applyFont="1" applyBorder="1"/>
    <xf numFmtId="0" fontId="22" fillId="0" borderId="9" xfId="0" applyFont="1" applyBorder="1"/>
    <xf numFmtId="0" fontId="55" fillId="0" borderId="0" xfId="0" applyFont="1" applyAlignment="1">
      <alignment horizontal="center"/>
    </xf>
    <xf numFmtId="0" fontId="28" fillId="0" borderId="0" xfId="0" applyFont="1" applyAlignment="1">
      <alignment horizontal="center" vertical="center" wrapText="1"/>
    </xf>
    <xf numFmtId="0" fontId="37" fillId="0" borderId="0" xfId="0" applyFont="1" applyAlignment="1">
      <alignment horizontal="center"/>
    </xf>
    <xf numFmtId="0" fontId="30" fillId="0" borderId="0" xfId="0" applyFont="1" applyAlignment="1">
      <alignment horizontal="center"/>
    </xf>
    <xf numFmtId="0" fontId="29" fillId="0" borderId="3" xfId="0" applyFont="1" applyBorder="1"/>
    <xf numFmtId="0" fontId="29" fillId="0" borderId="4" xfId="271" applyFont="1" applyBorder="1"/>
    <xf numFmtId="0" fontId="29" fillId="0" borderId="3" xfId="271" applyFont="1" applyBorder="1"/>
    <xf numFmtId="0" fontId="29" fillId="0" borderId="5" xfId="271" applyFont="1" applyBorder="1"/>
    <xf numFmtId="0" fontId="22" fillId="0" borderId="58" xfId="4495" applyFont="1" applyBorder="1" applyAlignment="1">
      <alignment vertical="center" wrapText="1"/>
    </xf>
    <xf numFmtId="0" fontId="22" fillId="0" borderId="59" xfId="4495" applyFont="1" applyBorder="1" applyAlignment="1">
      <alignment vertical="center" wrapText="1"/>
    </xf>
    <xf numFmtId="0" fontId="22" fillId="0" borderId="0" xfId="4495" applyFont="1" applyAlignment="1">
      <alignment horizontal="left" vertical="center" wrapText="1"/>
    </xf>
    <xf numFmtId="0" fontId="29" fillId="0" borderId="5" xfId="0" applyFont="1" applyBorder="1"/>
    <xf numFmtId="168" fontId="27" fillId="43" borderId="0" xfId="0" applyNumberFormat="1" applyFont="1" applyFill="1"/>
    <xf numFmtId="9" fontId="30" fillId="0" borderId="0" xfId="543" applyNumberFormat="1" applyFont="1" applyAlignment="1">
      <alignment horizontal="center"/>
    </xf>
    <xf numFmtId="171" fontId="22" fillId="0" borderId="0" xfId="543" applyNumberFormat="1"/>
    <xf numFmtId="171" fontId="22" fillId="0" borderId="11" xfId="543" applyNumberFormat="1" applyBorder="1"/>
    <xf numFmtId="1" fontId="22" fillId="0" borderId="11" xfId="543" applyNumberFormat="1" applyBorder="1" applyAlignment="1">
      <alignment horizontal="center"/>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9" fillId="0" borderId="8" xfId="543" applyFont="1" applyBorder="1" applyAlignment="1">
      <alignment vertical="center" wrapText="1"/>
    </xf>
    <xf numFmtId="0" fontId="49" fillId="0" borderId="0" xfId="543" applyFont="1" applyAlignment="1">
      <alignment vertical="center" wrapText="1"/>
    </xf>
    <xf numFmtId="0" fontId="49" fillId="0" borderId="12" xfId="543" applyFont="1" applyBorder="1" applyAlignment="1">
      <alignment vertical="center" wrapText="1"/>
    </xf>
    <xf numFmtId="0" fontId="49" fillId="0" borderId="9" xfId="543" applyFont="1" applyBorder="1" applyAlignment="1">
      <alignment vertical="center" wrapText="1"/>
    </xf>
    <xf numFmtId="0" fontId="49" fillId="0" borderId="6" xfId="543" applyFont="1" applyBorder="1" applyAlignment="1">
      <alignment vertical="center" wrapText="1"/>
    </xf>
    <xf numFmtId="0" fontId="49" fillId="0" borderId="10" xfId="543" applyFont="1" applyBorder="1" applyAlignment="1">
      <alignment vertical="center" wrapText="1"/>
    </xf>
    <xf numFmtId="0" fontId="42" fillId="0" borderId="12" xfId="543" applyFont="1" applyBorder="1" applyAlignment="1">
      <alignment horizontal="center" vertical="top"/>
    </xf>
    <xf numFmtId="0" fontId="43" fillId="0" borderId="7" xfId="543" applyFont="1" applyBorder="1"/>
    <xf numFmtId="0" fontId="22" fillId="0" borderId="12" xfId="543" quotePrefix="1" applyBorder="1"/>
    <xf numFmtId="0" fontId="58" fillId="0" borderId="2" xfId="569" applyFont="1" applyBorder="1" applyAlignment="1">
      <alignment vertical="top"/>
    </xf>
    <xf numFmtId="0" fontId="32" fillId="0" borderId="0" xfId="4495" applyFont="1"/>
    <xf numFmtId="0" fontId="22" fillId="0" borderId="0" xfId="4495" applyFont="1" applyAlignment="1">
      <alignment vertical="top" wrapText="1" shrinkToFit="1"/>
    </xf>
    <xf numFmtId="0" fontId="148" fillId="0" borderId="0" xfId="4495" applyFont="1"/>
    <xf numFmtId="164" fontId="22" fillId="0" borderId="0" xfId="1192" applyNumberFormat="1" applyAlignment="1">
      <alignment horizontal="right"/>
    </xf>
    <xf numFmtId="164" fontId="22" fillId="0" borderId="0" xfId="4495" applyNumberFormat="1" applyFont="1" applyAlignment="1">
      <alignment horizontal="right"/>
    </xf>
    <xf numFmtId="0" fontId="22" fillId="0" borderId="0" xfId="4495" applyFont="1" applyAlignment="1">
      <alignment horizontal="left" vertical="top" wrapText="1" shrinkToFit="1"/>
    </xf>
    <xf numFmtId="0" fontId="22" fillId="0" borderId="6" xfId="4495" applyFont="1" applyBorder="1" applyAlignment="1">
      <alignment vertical="top" wrapText="1"/>
    </xf>
    <xf numFmtId="0" fontId="148" fillId="0" borderId="4" xfId="4495" applyFont="1" applyBorder="1"/>
    <xf numFmtId="0" fontId="22" fillId="0" borderId="4" xfId="4495" applyFont="1" applyBorder="1" applyAlignment="1">
      <alignment horizontal="left" vertical="top" wrapText="1" shrinkToFit="1"/>
    </xf>
    <xf numFmtId="0" fontId="32" fillId="0" borderId="0" xfId="4495" applyFont="1" applyAlignment="1">
      <alignment horizontal="left" vertical="top"/>
    </xf>
    <xf numFmtId="0" fontId="22" fillId="0" borderId="0" xfId="4495" applyFont="1" applyAlignment="1">
      <alignment vertical="center" wrapText="1" shrinkToFit="1"/>
    </xf>
    <xf numFmtId="0" fontId="22" fillId="0" borderId="0" xfId="4495" applyFont="1" applyAlignment="1">
      <alignment horizontal="left" vertical="top" shrinkToFit="1"/>
    </xf>
    <xf numFmtId="0" fontId="22" fillId="0" borderId="0" xfId="4495" applyFont="1" applyAlignment="1">
      <alignment horizontal="left" vertical="center" shrinkToFit="1"/>
    </xf>
    <xf numFmtId="0" fontId="32" fillId="0" borderId="4" xfId="4495" applyFont="1" applyBorder="1"/>
    <xf numFmtId="0" fontId="22" fillId="0" borderId="4" xfId="4495" applyFont="1" applyBorder="1" applyAlignment="1">
      <alignment horizontal="left" vertical="top" shrinkToFit="1"/>
    </xf>
    <xf numFmtId="0" fontId="22" fillId="0" borderId="0" xfId="4495" applyFont="1" applyAlignment="1">
      <alignment vertical="center"/>
    </xf>
    <xf numFmtId="0" fontId="28" fillId="0" borderId="0" xfId="4495" applyFont="1"/>
    <xf numFmtId="0" fontId="32" fillId="0" borderId="0" xfId="4495" applyFont="1" applyAlignment="1">
      <alignment horizontal="center"/>
    </xf>
    <xf numFmtId="0" fontId="22" fillId="0" borderId="4" xfId="4495" applyFont="1" applyBorder="1" applyAlignment="1">
      <alignment horizontal="left" vertical="top" wrapText="1"/>
    </xf>
    <xf numFmtId="44" fontId="22" fillId="0" borderId="0" xfId="707" applyFont="1" applyFill="1" applyBorder="1" applyAlignment="1" applyProtection="1">
      <alignment horizontal="left" vertical="top" wrapText="1"/>
    </xf>
    <xf numFmtId="44" fontId="22" fillId="0" borderId="4" xfId="707" applyFont="1" applyFill="1" applyBorder="1" applyAlignment="1" applyProtection="1">
      <alignment horizontal="left" vertical="top" wrapText="1"/>
    </xf>
    <xf numFmtId="164" fontId="40" fillId="0" borderId="0" xfId="4495" applyNumberFormat="1" applyFont="1" applyAlignment="1">
      <alignment horizontal="left"/>
    </xf>
    <xf numFmtId="0" fontId="32" fillId="0" borderId="0" xfId="4495" applyFont="1" applyAlignment="1">
      <alignment horizontal="left"/>
    </xf>
    <xf numFmtId="0" fontId="22" fillId="0" borderId="4" xfId="4495" applyFont="1" applyBorder="1" applyAlignment="1">
      <alignment vertical="top" wrapText="1"/>
    </xf>
    <xf numFmtId="0" fontId="32" fillId="0" borderId="4" xfId="4495" applyFont="1" applyBorder="1" applyAlignment="1">
      <alignment horizontal="left" vertical="top"/>
    </xf>
    <xf numFmtId="0" fontId="22" fillId="0" borderId="0" xfId="4495" applyFont="1" applyAlignment="1">
      <alignment horizontal="left" vertical="center" wrapText="1" shrinkToFit="1"/>
    </xf>
    <xf numFmtId="0" fontId="22" fillId="0" borderId="6" xfId="4495" applyFont="1" applyBorder="1" applyAlignment="1">
      <alignment horizontal="left" vertical="top" wrapText="1"/>
    </xf>
    <xf numFmtId="2" fontId="121" fillId="0" borderId="0" xfId="0" applyNumberFormat="1" applyFont="1" applyAlignment="1">
      <alignment horizontal="center"/>
    </xf>
    <xf numFmtId="9" fontId="22" fillId="0" borderId="0" xfId="4494" applyFont="1" applyAlignment="1">
      <alignment horizontal="center"/>
    </xf>
    <xf numFmtId="3" fontId="22" fillId="0" borderId="0" xfId="0" applyNumberFormat="1" applyFont="1"/>
    <xf numFmtId="10" fontId="22" fillId="0" borderId="0" xfId="0" applyNumberFormat="1" applyFont="1" applyAlignment="1">
      <alignment horizontal="center"/>
    </xf>
    <xf numFmtId="168" fontId="22" fillId="0" borderId="0" xfId="0" applyNumberFormat="1" applyFont="1"/>
    <xf numFmtId="168" fontId="22" fillId="5" borderId="0" xfId="0" applyNumberFormat="1" applyFont="1" applyFill="1"/>
    <xf numFmtId="3" fontId="22" fillId="5" borderId="0" xfId="0" applyNumberFormat="1" applyFont="1" applyFill="1"/>
    <xf numFmtId="0" fontId="22" fillId="5" borderId="0" xfId="0" applyFont="1" applyFill="1"/>
    <xf numFmtId="3" fontId="22" fillId="5" borderId="6" xfId="0" applyNumberFormat="1" applyFont="1" applyFill="1" applyBorder="1"/>
    <xf numFmtId="3" fontId="22" fillId="0" borderId="6" xfId="0" applyNumberFormat="1" applyFont="1" applyBorder="1"/>
    <xf numFmtId="168" fontId="22" fillId="0" borderId="0" xfId="0" applyNumberFormat="1" applyFont="1" applyAlignment="1">
      <alignment horizontal="center"/>
    </xf>
    <xf numFmtId="3" fontId="22" fillId="0" borderId="0" xfId="0" applyNumberFormat="1" applyFont="1" applyAlignment="1">
      <alignment horizontal="center"/>
    </xf>
    <xf numFmtId="0" fontId="22" fillId="0" borderId="50" xfId="4495" applyFont="1" applyBorder="1" applyAlignment="1">
      <alignment vertical="center"/>
    </xf>
    <xf numFmtId="0" fontId="22" fillId="0" borderId="51" xfId="4495" applyFont="1" applyBorder="1" applyAlignment="1">
      <alignment vertical="center"/>
    </xf>
    <xf numFmtId="0" fontId="22" fillId="0" borderId="52" xfId="4495" applyFont="1" applyBorder="1" applyAlignment="1">
      <alignment vertical="center"/>
    </xf>
    <xf numFmtId="0" fontId="22" fillId="0" borderId="54" xfId="4495" applyFont="1" applyBorder="1" applyAlignment="1">
      <alignment vertical="center" wrapText="1"/>
    </xf>
    <xf numFmtId="0" fontId="22" fillId="0" borderId="53" xfId="4495" applyFont="1" applyBorder="1" applyAlignment="1">
      <alignment vertical="top" wrapText="1"/>
    </xf>
    <xf numFmtId="9" fontId="22" fillId="0" borderId="0" xfId="543" applyNumberFormat="1" applyAlignment="1">
      <alignment horizontal="center"/>
    </xf>
    <xf numFmtId="0" fontId="54" fillId="0" borderId="0" xfId="4496" applyFont="1"/>
    <xf numFmtId="168" fontId="58" fillId="5" borderId="11" xfId="0" applyNumberFormat="1" applyFont="1" applyFill="1" applyBorder="1" applyAlignment="1" applyProtection="1">
      <alignment vertical="top" wrapText="1"/>
      <protection locked="0"/>
    </xf>
    <xf numFmtId="0" fontId="22" fillId="0" borderId="0" xfId="0" applyFont="1" applyAlignment="1">
      <alignment horizontal="left" wrapText="1"/>
    </xf>
    <xf numFmtId="4" fontId="40" fillId="0" borderId="0" xfId="0" applyNumberFormat="1" applyFont="1" applyAlignment="1">
      <alignment horizontal="left"/>
    </xf>
    <xf numFmtId="4" fontId="22" fillId="0" borderId="0" xfId="0" applyNumberFormat="1" applyFont="1" applyAlignment="1">
      <alignment horizontal="left" vertical="top" wrapText="1"/>
    </xf>
    <xf numFmtId="0" fontId="29" fillId="0" borderId="4" xfId="0" applyFont="1" applyBorder="1" applyAlignment="1">
      <alignment horizontal="left"/>
    </xf>
    <xf numFmtId="4" fontId="22" fillId="0" borderId="0" xfId="0" applyNumberFormat="1" applyFont="1" applyAlignment="1">
      <alignment horizontal="left"/>
    </xf>
    <xf numFmtId="43" fontId="56" fillId="0" borderId="0" xfId="4503" applyFont="1" applyAlignment="1" applyProtection="1">
      <alignment horizontal="center"/>
    </xf>
    <xf numFmtId="43" fontId="22" fillId="0" borderId="0" xfId="4503" applyFont="1" applyAlignment="1" applyProtection="1">
      <alignment horizontal="center"/>
    </xf>
    <xf numFmtId="43" fontId="22" fillId="0" borderId="0" xfId="4503" applyFont="1" applyProtection="1"/>
    <xf numFmtId="49" fontId="22" fillId="0" borderId="0" xfId="0" applyNumberFormat="1" applyFont="1"/>
    <xf numFmtId="49" fontId="22" fillId="0" borderId="0" xfId="0" applyNumberFormat="1" applyFont="1" applyAlignment="1">
      <alignment horizontal="center"/>
    </xf>
    <xf numFmtId="4" fontId="22" fillId="0" borderId="0" xfId="0" applyNumberFormat="1" applyFont="1" applyAlignment="1">
      <alignment vertical="top" wrapText="1"/>
    </xf>
    <xf numFmtId="0" fontId="22" fillId="0" borderId="0" xfId="0" quotePrefix="1" applyFont="1"/>
    <xf numFmtId="0" fontId="52" fillId="0" borderId="0" xfId="0" applyFont="1" applyAlignment="1">
      <alignment horizontal="left"/>
    </xf>
    <xf numFmtId="0" fontId="22" fillId="0" borderId="4" xfId="0" applyFont="1" applyBorder="1" applyAlignment="1">
      <alignment horizontal="left"/>
    </xf>
    <xf numFmtId="0" fontId="22" fillId="0" borderId="0" xfId="0" quotePrefix="1" applyFont="1" applyAlignment="1">
      <alignment horizontal="left"/>
    </xf>
    <xf numFmtId="0" fontId="22" fillId="0" borderId="0" xfId="0" quotePrefix="1" applyFont="1" applyAlignment="1">
      <alignment horizontal="left" vertical="top"/>
    </xf>
    <xf numFmtId="0" fontId="52" fillId="0" borderId="0" xfId="1192" applyFont="1" applyAlignment="1">
      <alignment horizontal="left"/>
    </xf>
    <xf numFmtId="0" fontId="56" fillId="0" borderId="0" xfId="0" applyFont="1" applyAlignment="1">
      <alignment horizontal="center" vertical="center"/>
    </xf>
    <xf numFmtId="49" fontId="29" fillId="0" borderId="0" xfId="0" applyNumberFormat="1" applyFont="1" applyAlignment="1">
      <alignment horizontal="center" vertical="center"/>
    </xf>
    <xf numFmtId="49" fontId="22" fillId="0" borderId="0" xfId="0" applyNumberFormat="1" applyFont="1" applyAlignment="1">
      <alignment vertical="center"/>
    </xf>
    <xf numFmtId="4" fontId="22" fillId="0" borderId="0" xfId="0" applyNumberFormat="1" applyFont="1" applyAlignment="1">
      <alignment horizontal="center"/>
    </xf>
    <xf numFmtId="4" fontId="22" fillId="0" borderId="0" xfId="0" applyNumberFormat="1" applyFont="1"/>
    <xf numFmtId="10" fontId="22" fillId="0" borderId="0" xfId="4495" applyNumberFormat="1" applyFont="1"/>
    <xf numFmtId="10" fontId="125" fillId="0" borderId="0" xfId="4496" applyNumberFormat="1" applyFont="1" applyAlignment="1">
      <alignment horizontal="center" vertical="top" wrapText="1"/>
    </xf>
    <xf numFmtId="10" fontId="125" fillId="0" borderId="64" xfId="4496" applyNumberFormat="1" applyFont="1" applyBorder="1" applyAlignment="1">
      <alignment horizontal="center" vertical="top" wrapText="1"/>
    </xf>
    <xf numFmtId="10" fontId="125"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2" fillId="0" borderId="0" xfId="1192" quotePrefix="1" applyNumberFormat="1" applyAlignment="1">
      <alignment horizontal="center"/>
    </xf>
    <xf numFmtId="0" fontId="125" fillId="0" borderId="0" xfId="4495" applyFont="1"/>
    <xf numFmtId="10" fontId="125" fillId="0" borderId="0" xfId="4495" applyNumberFormat="1" applyFont="1"/>
    <xf numFmtId="172" fontId="22" fillId="0" borderId="0" xfId="4495" applyNumberFormat="1" applyFont="1"/>
    <xf numFmtId="0" fontId="45" fillId="0" borderId="0" xfId="0" applyFont="1" applyAlignment="1">
      <alignment horizontal="center"/>
    </xf>
    <xf numFmtId="0" fontId="41" fillId="0" borderId="0" xfId="0" applyFont="1" applyAlignment="1">
      <alignment horizontal="left"/>
    </xf>
    <xf numFmtId="0" fontId="0" fillId="0" borderId="10" xfId="0" applyBorder="1" applyAlignment="1">
      <alignment horizontal="left"/>
    </xf>
    <xf numFmtId="1" fontId="22" fillId="0" borderId="0" xfId="1192" applyNumberFormat="1" applyAlignment="1">
      <alignment horizontal="center"/>
    </xf>
    <xf numFmtId="0" fontId="123" fillId="0" borderId="63" xfId="4495" applyBorder="1"/>
    <xf numFmtId="0" fontId="58" fillId="0" borderId="0" xfId="271" applyFont="1" applyAlignment="1">
      <alignment vertical="top"/>
    </xf>
    <xf numFmtId="0" fontId="29" fillId="0" borderId="11" xfId="0" applyFont="1" applyBorder="1" applyAlignment="1">
      <alignment horizontal="right" vertical="top" wrapText="1"/>
    </xf>
    <xf numFmtId="0" fontId="31" fillId="0" borderId="11" xfId="271" applyBorder="1" applyAlignment="1" applyProtection="1">
      <alignment horizontal="right" vertical="top" wrapText="1"/>
      <protection locked="0"/>
    </xf>
    <xf numFmtId="0" fontId="22" fillId="0" borderId="54" xfId="4495" applyFont="1" applyBorder="1" applyAlignment="1">
      <alignment vertical="top"/>
    </xf>
    <xf numFmtId="9" fontId="31" fillId="0" borderId="0" xfId="0" applyNumberFormat="1" applyFont="1"/>
    <xf numFmtId="0" fontId="22" fillId="0" borderId="16" xfId="569" applyBorder="1" applyAlignment="1">
      <alignment horizontal="center"/>
    </xf>
    <xf numFmtId="164" fontId="22" fillId="0" borderId="57" xfId="4495" applyNumberFormat="1" applyFont="1" applyBorder="1" applyAlignment="1">
      <alignment vertical="top" wrapText="1"/>
    </xf>
    <xf numFmtId="164" fontId="22" fillId="0" borderId="58" xfId="4495" applyNumberFormat="1" applyFont="1" applyBorder="1" applyAlignment="1">
      <alignment vertical="top" wrapText="1"/>
    </xf>
    <xf numFmtId="164" fontId="22" fillId="0" borderId="59" xfId="4495" applyNumberFormat="1" applyFont="1" applyBorder="1" applyAlignment="1">
      <alignment vertical="top" wrapText="1"/>
    </xf>
    <xf numFmtId="0" fontId="29" fillId="0" borderId="0" xfId="1192" applyFont="1" applyAlignment="1">
      <alignment horizontal="left" vertical="top" wrapText="1"/>
    </xf>
    <xf numFmtId="0" fontId="22" fillId="0" borderId="16" xfId="569" applyBorder="1"/>
    <xf numFmtId="0" fontId="22" fillId="0" borderId="4" xfId="569" applyBorder="1"/>
    <xf numFmtId="0" fontId="29" fillId="0" borderId="4" xfId="569" applyFont="1" applyBorder="1"/>
    <xf numFmtId="49" fontId="22" fillId="0" borderId="4" xfId="569" applyNumberFormat="1" applyBorder="1"/>
    <xf numFmtId="0" fontId="151" fillId="0" borderId="0" xfId="0" applyFont="1"/>
    <xf numFmtId="0" fontId="22" fillId="0" borderId="0" xfId="0" applyFont="1" applyAlignment="1">
      <alignment horizontal="right"/>
    </xf>
    <xf numFmtId="1" fontId="22" fillId="0" borderId="0" xfId="0" applyNumberFormat="1" applyFont="1" applyAlignment="1">
      <alignment horizontal="center"/>
    </xf>
    <xf numFmtId="0" fontId="29" fillId="0" borderId="0" xfId="0" applyFont="1" applyAlignment="1">
      <alignment horizontal="left" vertical="center"/>
    </xf>
    <xf numFmtId="0" fontId="22" fillId="0" borderId="0" xfId="0" applyFont="1" applyAlignment="1">
      <alignment horizontal="left" vertical="center"/>
    </xf>
    <xf numFmtId="0" fontId="29" fillId="0" borderId="0" xfId="569" applyFont="1" applyAlignment="1">
      <alignment vertical="top"/>
    </xf>
    <xf numFmtId="0" fontId="23" fillId="0" borderId="0" xfId="244" applyAlignment="1"/>
    <xf numFmtId="0" fontId="29" fillId="0" borderId="0" xfId="0" applyFont="1" applyAlignment="1">
      <alignment vertical="top" wrapText="1"/>
    </xf>
    <xf numFmtId="49" fontId="29" fillId="0" borderId="0" xfId="0" applyNumberFormat="1" applyFont="1"/>
    <xf numFmtId="49" fontId="29" fillId="0" borderId="0" xfId="0" applyNumberFormat="1" applyFont="1" applyAlignment="1">
      <alignment vertical="top"/>
    </xf>
    <xf numFmtId="0" fontId="45" fillId="0" borderId="11" xfId="0" applyFont="1" applyBorder="1"/>
    <xf numFmtId="175" fontId="22" fillId="0" borderId="0" xfId="543" applyNumberFormat="1" applyAlignment="1">
      <alignment vertical="center"/>
    </xf>
    <xf numFmtId="0" fontId="101" fillId="43" borderId="6" xfId="4496" applyFont="1" applyFill="1" applyBorder="1" applyAlignment="1" applyProtection="1">
      <alignment horizontal="center"/>
      <protection locked="0"/>
    </xf>
    <xf numFmtId="0" fontId="101" fillId="0" borderId="0" xfId="4496" applyFont="1"/>
    <xf numFmtId="0" fontId="101"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1" fillId="0" borderId="0" xfId="4496" applyNumberFormat="1" applyFont="1" applyAlignment="1">
      <alignment horizontal="center"/>
    </xf>
    <xf numFmtId="182" fontId="101" fillId="0" borderId="6" xfId="4496" applyNumberFormat="1" applyFont="1" applyBorder="1"/>
    <xf numFmtId="0" fontId="101" fillId="0" borderId="0" xfId="4496" applyFont="1" applyAlignment="1">
      <alignment vertical="center"/>
    </xf>
    <xf numFmtId="182" fontId="101" fillId="0" borderId="0" xfId="4496" applyNumberFormat="1" applyFont="1" applyAlignment="1">
      <alignment vertical="center"/>
    </xf>
    <xf numFmtId="175" fontId="101" fillId="0" borderId="0" xfId="4499" applyNumberFormat="1" applyFont="1" applyFill="1" applyBorder="1" applyAlignment="1" applyProtection="1">
      <alignment horizontal="left" vertical="center"/>
    </xf>
    <xf numFmtId="9" fontId="101" fillId="0" borderId="0" xfId="4499" applyFont="1" applyFill="1" applyBorder="1" applyAlignment="1" applyProtection="1">
      <alignment vertical="center"/>
    </xf>
    <xf numFmtId="183" fontId="101" fillId="0" borderId="0" xfId="4496" applyNumberFormat="1" applyFont="1" applyAlignment="1">
      <alignment vertical="center" wrapText="1"/>
    </xf>
    <xf numFmtId="9" fontId="101" fillId="0" borderId="0" xfId="4499" applyFont="1" applyBorder="1" applyAlignment="1" applyProtection="1">
      <alignment vertical="center"/>
    </xf>
    <xf numFmtId="164" fontId="101" fillId="0" borderId="0" xfId="4496" applyNumberFormat="1" applyFont="1" applyAlignment="1">
      <alignment vertical="center" wrapText="1"/>
    </xf>
    <xf numFmtId="0" fontId="101" fillId="0" borderId="0" xfId="4496" applyFont="1" applyAlignment="1">
      <alignment horizontal="center" vertical="center"/>
    </xf>
    <xf numFmtId="182" fontId="101" fillId="0" borderId="11" xfId="8721" applyNumberFormat="1" applyFont="1" applyBorder="1" applyProtection="1"/>
    <xf numFmtId="182" fontId="101" fillId="0" borderId="11" xfId="4496" applyNumberFormat="1" applyFont="1" applyBorder="1"/>
    <xf numFmtId="164" fontId="101" fillId="0" borderId="0" xfId="4496" applyNumberFormat="1" applyFont="1" applyAlignment="1">
      <alignment wrapText="1"/>
    </xf>
    <xf numFmtId="49" fontId="101" fillId="0" borderId="0" xfId="4496" applyNumberFormat="1" applyFont="1" applyAlignment="1">
      <alignment horizontal="left"/>
    </xf>
    <xf numFmtId="0" fontId="142" fillId="0" borderId="0" xfId="4496" applyFont="1"/>
    <xf numFmtId="9" fontId="101" fillId="0" borderId="11" xfId="4494" applyFont="1" applyFill="1" applyBorder="1" applyAlignment="1" applyProtection="1">
      <alignment horizontal="right"/>
    </xf>
    <xf numFmtId="1" fontId="101" fillId="0" borderId="0" xfId="4496" applyNumberFormat="1" applyFont="1"/>
    <xf numFmtId="0" fontId="139" fillId="45" borderId="3" xfId="4496" applyFont="1" applyFill="1" applyBorder="1" applyAlignment="1">
      <alignment horizontal="left" indent="1"/>
    </xf>
    <xf numFmtId="0" fontId="101" fillId="45" borderId="4" xfId="4496" applyFont="1" applyFill="1" applyBorder="1"/>
    <xf numFmtId="2" fontId="101" fillId="45" borderId="5" xfId="4496" applyNumberFormat="1" applyFont="1" applyFill="1" applyBorder="1"/>
    <xf numFmtId="181" fontId="101" fillId="0" borderId="0" xfId="4496" applyNumberFormat="1" applyFont="1"/>
    <xf numFmtId="165" fontId="140" fillId="0" borderId="0" xfId="4499" applyNumberFormat="1" applyFont="1" applyFill="1" applyBorder="1" applyProtection="1"/>
    <xf numFmtId="9" fontId="101" fillId="0" borderId="0" xfId="4494" applyFont="1" applyFill="1" applyProtection="1"/>
    <xf numFmtId="0" fontId="101" fillId="0" borderId="11" xfId="4496" applyFont="1" applyBorder="1" applyAlignment="1">
      <alignment horizontal="center"/>
    </xf>
    <xf numFmtId="2" fontId="101" fillId="0" borderId="11" xfId="4496" applyNumberFormat="1" applyFont="1" applyBorder="1" applyAlignment="1">
      <alignment horizontal="center"/>
    </xf>
    <xf numFmtId="0" fontId="101" fillId="0" borderId="0" xfId="4496" applyFont="1" applyAlignment="1">
      <alignment vertical="top" wrapText="1"/>
    </xf>
    <xf numFmtId="0" fontId="101" fillId="0" borderId="11" xfId="4496" applyFont="1" applyBorder="1" applyAlignment="1">
      <alignment horizontal="center" vertical="top" wrapText="1"/>
    </xf>
    <xf numFmtId="182" fontId="101" fillId="0" borderId="0" xfId="8721" applyNumberFormat="1" applyFont="1" applyBorder="1" applyProtection="1"/>
    <xf numFmtId="0" fontId="101" fillId="0" borderId="0" xfId="4496" applyFont="1" applyAlignment="1">
      <alignment horizontal="left" indent="1"/>
    </xf>
    <xf numFmtId="182" fontId="101" fillId="0" borderId="0" xfId="4496" applyNumberFormat="1" applyFont="1"/>
    <xf numFmtId="184" fontId="101" fillId="0" borderId="0" xfId="4496" applyNumberFormat="1" applyFont="1"/>
    <xf numFmtId="0" fontId="101" fillId="0" borderId="0" xfId="4496" applyFont="1" applyAlignment="1">
      <alignment horizontal="left"/>
    </xf>
    <xf numFmtId="0" fontId="101" fillId="0" borderId="0" xfId="4496" applyFont="1" applyAlignment="1">
      <alignment horizontal="center"/>
    </xf>
    <xf numFmtId="3" fontId="27" fillId="0" borderId="11" xfId="271" applyNumberFormat="1" applyFont="1" applyBorder="1" applyAlignment="1">
      <alignment horizontal="center"/>
    </xf>
    <xf numFmtId="3" fontId="27" fillId="43" borderId="11" xfId="271" applyNumberFormat="1" applyFont="1" applyFill="1" applyBorder="1" applyProtection="1">
      <protection locked="0"/>
    </xf>
    <xf numFmtId="0" fontId="101" fillId="0" borderId="0" xfId="4496" applyFont="1" applyAlignment="1">
      <alignment horizontal="right"/>
    </xf>
    <xf numFmtId="168" fontId="31" fillId="0" borderId="0" xfId="0" applyNumberFormat="1" applyFont="1"/>
    <xf numFmtId="0" fontId="101" fillId="0" borderId="15" xfId="4496" applyFont="1" applyBorder="1" applyAlignment="1">
      <alignment horizontal="center" vertical="top" wrapText="1"/>
    </xf>
    <xf numFmtId="2" fontId="101" fillId="0" borderId="15" xfId="4496" applyNumberFormat="1" applyFont="1" applyBorder="1" applyAlignment="1">
      <alignment horizontal="center"/>
    </xf>
    <xf numFmtId="0" fontId="101"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1" fillId="0" borderId="0" xfId="4499" applyNumberFormat="1" applyFont="1" applyFill="1" applyBorder="1" applyAlignment="1" applyProtection="1">
      <alignment horizontal="right" vertical="center"/>
    </xf>
    <xf numFmtId="0" fontId="101" fillId="0" borderId="66" xfId="4496" applyFont="1" applyBorder="1" applyAlignment="1">
      <alignment vertical="center"/>
    </xf>
    <xf numFmtId="0" fontId="101" fillId="0" borderId="41" xfId="4496" applyFont="1" applyBorder="1" applyAlignment="1">
      <alignment vertical="center"/>
    </xf>
    <xf numFmtId="182" fontId="101" fillId="0" borderId="73" xfId="4496" applyNumberFormat="1" applyFont="1" applyBorder="1" applyAlignment="1">
      <alignment vertical="center"/>
    </xf>
    <xf numFmtId="175" fontId="101" fillId="0" borderId="42" xfId="4499" applyNumberFormat="1" applyFont="1" applyFill="1" applyBorder="1" applyAlignment="1" applyProtection="1">
      <alignment horizontal="left" vertical="center"/>
    </xf>
    <xf numFmtId="0" fontId="101" fillId="0" borderId="42" xfId="4496" applyFont="1" applyBorder="1" applyAlignment="1">
      <alignment vertical="center"/>
    </xf>
    <xf numFmtId="0" fontId="101" fillId="0" borderId="44" xfId="4496" applyFont="1" applyBorder="1" applyAlignment="1">
      <alignment vertical="center"/>
    </xf>
    <xf numFmtId="49" fontId="101" fillId="0" borderId="0" xfId="4496" applyNumberFormat="1" applyFont="1" applyAlignment="1">
      <alignment horizontal="center" vertical="center"/>
    </xf>
    <xf numFmtId="0" fontId="101" fillId="0" borderId="65" xfId="4496" applyFont="1" applyBorder="1" applyAlignment="1">
      <alignment vertical="center"/>
    </xf>
    <xf numFmtId="0" fontId="101" fillId="0" borderId="29" xfId="4496" applyFont="1" applyBorder="1" applyAlignment="1">
      <alignment vertical="center"/>
    </xf>
    <xf numFmtId="0" fontId="101" fillId="0" borderId="29" xfId="4496" applyFont="1" applyBorder="1" applyAlignment="1">
      <alignment horizontal="right" vertical="center"/>
    </xf>
    <xf numFmtId="5" fontId="101" fillId="0" borderId="29" xfId="4496" applyNumberFormat="1" applyFont="1" applyBorder="1" applyAlignment="1">
      <alignment vertical="center"/>
    </xf>
    <xf numFmtId="0" fontId="101"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1" fillId="0" borderId="0" xfId="4496" applyFont="1" applyAlignment="1">
      <alignment horizontal="right" vertical="top" wrapText="1" indent="1"/>
    </xf>
    <xf numFmtId="182" fontId="101" fillId="0" borderId="6" xfId="8721" applyNumberFormat="1" applyFont="1" applyBorder="1" applyAlignment="1" applyProtection="1">
      <alignment horizontal="center"/>
    </xf>
    <xf numFmtId="0" fontId="101" fillId="0" borderId="0" xfId="4496" applyFont="1" applyAlignment="1">
      <alignment horizontal="right" indent="1"/>
    </xf>
    <xf numFmtId="0" fontId="101"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1" fillId="0" borderId="0" xfId="4494" applyNumberFormat="1" applyFont="1" applyBorder="1" applyAlignment="1" applyProtection="1">
      <alignment horizontal="center"/>
    </xf>
    <xf numFmtId="184" fontId="101"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1" fillId="0" borderId="6" xfId="8721" applyNumberFormat="1" applyFont="1" applyBorder="1" applyProtection="1"/>
    <xf numFmtId="184" fontId="101" fillId="0" borderId="0" xfId="4496" applyNumberFormat="1" applyFont="1" applyAlignment="1">
      <alignment horizontal="center"/>
    </xf>
    <xf numFmtId="0" fontId="101" fillId="0" borderId="6" xfId="4496" applyFont="1" applyBorder="1" applyAlignment="1">
      <alignment horizontal="right" vertical="top" wrapText="1" indent="1"/>
    </xf>
    <xf numFmtId="0" fontId="101" fillId="0" borderId="67" xfId="4496" applyFont="1" applyBorder="1" applyAlignment="1">
      <alignment horizontal="right" indent="1"/>
    </xf>
    <xf numFmtId="0" fontId="101" fillId="0" borderId="72" xfId="4496" applyFont="1" applyBorder="1" applyAlignment="1">
      <alignment horizontal="right" indent="1"/>
    </xf>
    <xf numFmtId="0" fontId="101" fillId="0" borderId="72" xfId="4496" quotePrefix="1" applyFont="1" applyBorder="1" applyAlignment="1">
      <alignment horizontal="right" indent="1"/>
    </xf>
    <xf numFmtId="0" fontId="101" fillId="0" borderId="69" xfId="4496" applyFont="1" applyBorder="1" applyAlignment="1">
      <alignment horizontal="right" indent="1"/>
    </xf>
    <xf numFmtId="182" fontId="101" fillId="0" borderId="71" xfId="4496" applyNumberFormat="1" applyFont="1" applyBorder="1"/>
    <xf numFmtId="182" fontId="101" fillId="0" borderId="76" xfId="4496" applyNumberFormat="1" applyFont="1" applyBorder="1"/>
    <xf numFmtId="182" fontId="101" fillId="0" borderId="77" xfId="4496" applyNumberFormat="1" applyFont="1" applyBorder="1"/>
    <xf numFmtId="175" fontId="29" fillId="0" borderId="0" xfId="543" applyNumberFormat="1" applyFont="1" applyAlignment="1">
      <alignment vertical="center"/>
    </xf>
    <xf numFmtId="10" fontId="139" fillId="0" borderId="0" xfId="4494" applyNumberFormat="1" applyFont="1" applyProtection="1"/>
    <xf numFmtId="0" fontId="29" fillId="0" borderId="0" xfId="1192" applyFont="1" applyAlignment="1">
      <alignment horizontal="left" indent="1"/>
    </xf>
    <xf numFmtId="168" fontId="101"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1" fillId="0" borderId="13" xfId="4496" applyNumberFormat="1" applyFont="1" applyBorder="1"/>
    <xf numFmtId="182" fontId="101" fillId="0" borderId="70" xfId="4496" applyNumberFormat="1" applyFont="1" applyBorder="1"/>
    <xf numFmtId="0" fontId="40" fillId="0" borderId="0" xfId="4495" applyFont="1" applyAlignment="1">
      <alignment vertical="center"/>
    </xf>
    <xf numFmtId="0" fontId="125" fillId="0" borderId="0" xfId="4496" applyFont="1" applyAlignment="1">
      <alignment vertical="center" wrapText="1"/>
    </xf>
    <xf numFmtId="0" fontId="155" fillId="0" borderId="0" xfId="0" applyFont="1"/>
    <xf numFmtId="0" fontId="27"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8" fillId="5" borderId="11" xfId="0" applyFont="1" applyFill="1" applyBorder="1" applyAlignment="1" applyProtection="1">
      <alignment horizontal="right" vertical="top" wrapText="1"/>
      <protection locked="0"/>
    </xf>
    <xf numFmtId="0" fontId="22" fillId="43" borderId="3" xfId="569" applyFill="1" applyBorder="1"/>
    <xf numFmtId="0" fontId="160" fillId="0" borderId="0" xfId="0" applyFont="1" applyAlignment="1">
      <alignment horizontal="right"/>
    </xf>
    <xf numFmtId="1" fontId="30" fillId="0" borderId="0" xfId="4495" applyNumberFormat="1" applyFont="1"/>
    <xf numFmtId="0" fontId="29" fillId="0" borderId="4" xfId="569" applyFont="1" applyBorder="1" applyAlignment="1">
      <alignment horizontal="center"/>
    </xf>
    <xf numFmtId="43" fontId="29" fillId="0" borderId="0" xfId="4503" applyFont="1" applyAlignment="1" applyProtection="1">
      <alignment horizontal="center"/>
    </xf>
    <xf numFmtId="0" fontId="29" fillId="0" borderId="0" xfId="569" applyFont="1" applyAlignment="1">
      <alignment horizontal="center" vertical="center"/>
    </xf>
    <xf numFmtId="0" fontId="29" fillId="0" borderId="16" xfId="569" applyFont="1" applyBorder="1" applyAlignment="1">
      <alignment horizontal="center"/>
    </xf>
    <xf numFmtId="49" fontId="29" fillId="0" borderId="4" xfId="569" applyNumberFormat="1" applyFont="1" applyBorder="1" applyAlignment="1">
      <alignment horizontal="center"/>
    </xf>
    <xf numFmtId="4" fontId="29" fillId="0" borderId="0" xfId="569" applyNumberFormat="1" applyFont="1" applyAlignment="1">
      <alignment horizontal="center"/>
    </xf>
    <xf numFmtId="0" fontId="22" fillId="0" borderId="0" xfId="569" applyAlignment="1">
      <alignment horizontal="center" wrapText="1"/>
    </xf>
    <xf numFmtId="0" fontId="22" fillId="0" borderId="0" xfId="0" applyFont="1" applyAlignment="1">
      <alignment vertical="center" wrapText="1"/>
    </xf>
    <xf numFmtId="3" fontId="27" fillId="43" borderId="11" xfId="271" applyNumberFormat="1" applyFont="1" applyFill="1" applyBorder="1" applyAlignment="1" applyProtection="1">
      <alignment horizontal="left"/>
      <protection locked="0"/>
    </xf>
    <xf numFmtId="0" fontId="101" fillId="43" borderId="6" xfId="4496" applyFont="1" applyFill="1" applyBorder="1" applyProtection="1">
      <protection locked="0"/>
    </xf>
    <xf numFmtId="1" fontId="101" fillId="0" borderId="0" xfId="4496" applyNumberFormat="1" applyFont="1" applyProtection="1">
      <protection locked="0"/>
    </xf>
    <xf numFmtId="182" fontId="165" fillId="0" borderId="11" xfId="4496" applyNumberFormat="1" applyFont="1" applyBorder="1"/>
    <xf numFmtId="44" fontId="101" fillId="0" borderId="0" xfId="4496" applyNumberFormat="1" applyFont="1"/>
    <xf numFmtId="182" fontId="27" fillId="0" borderId="11" xfId="4496" applyNumberFormat="1" applyFont="1" applyBorder="1"/>
    <xf numFmtId="9" fontId="101" fillId="0" borderId="0" xfId="4494" applyFont="1"/>
    <xf numFmtId="182" fontId="101" fillId="43" borderId="6" xfId="8721" applyNumberFormat="1" applyFont="1" applyFill="1" applyBorder="1" applyProtection="1">
      <protection locked="0"/>
    </xf>
    <xf numFmtId="0" fontId="22" fillId="0" borderId="0" xfId="4495" applyFont="1" applyAlignment="1">
      <alignment wrapText="1"/>
    </xf>
    <xf numFmtId="168" fontId="177" fillId="48" borderId="79" xfId="700" applyNumberFormat="1" applyFont="1" applyFill="1" applyBorder="1" applyAlignment="1" applyProtection="1">
      <protection locked="0"/>
    </xf>
    <xf numFmtId="3" fontId="50"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9" fillId="0" borderId="0" xfId="4495" applyFont="1" applyAlignment="1">
      <alignment wrapText="1"/>
    </xf>
    <xf numFmtId="182" fontId="22" fillId="0" borderId="0" xfId="700" applyNumberFormat="1" applyFont="1"/>
    <xf numFmtId="9" fontId="22" fillId="0" borderId="0" xfId="1022" applyFont="1"/>
    <xf numFmtId="168" fontId="22"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5" fillId="52" borderId="113" xfId="0" applyFont="1" applyFill="1" applyBorder="1"/>
    <xf numFmtId="0" fontId="125" fillId="53" borderId="113" xfId="0" applyFont="1" applyFill="1" applyBorder="1"/>
    <xf numFmtId="1" fontId="0" fillId="0" borderId="0" xfId="0" applyNumberFormat="1"/>
    <xf numFmtId="0" fontId="23"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3" fillId="0" borderId="0" xfId="244" applyAlignment="1">
      <alignment horizontal="left" vertical="top"/>
    </xf>
    <xf numFmtId="9" fontId="22" fillId="0" borderId="0" xfId="0" applyNumberFormat="1" applyFont="1"/>
    <xf numFmtId="185" fontId="171" fillId="0" borderId="0" xfId="698" applyNumberFormat="1" applyFont="1"/>
    <xf numFmtId="0" fontId="188" fillId="0" borderId="0" xfId="0" applyFont="1" applyAlignment="1">
      <alignment horizontal="center"/>
    </xf>
    <xf numFmtId="0" fontId="22" fillId="0" borderId="0" xfId="569" quotePrefix="1"/>
    <xf numFmtId="168" fontId="158" fillId="0" borderId="0" xfId="0" applyNumberFormat="1" applyFont="1" applyAlignment="1">
      <alignment vertical="center" wrapText="1"/>
    </xf>
    <xf numFmtId="168" fontId="189" fillId="0" borderId="0" xfId="0" applyNumberFormat="1" applyFont="1" applyAlignment="1">
      <alignment horizontal="center" vertical="center" wrapText="1"/>
    </xf>
    <xf numFmtId="0" fontId="0" fillId="0" borderId="0" xfId="0" applyAlignment="1">
      <alignment vertical="center"/>
    </xf>
    <xf numFmtId="0" fontId="29" fillId="0" borderId="0" xfId="4495" quotePrefix="1" applyFont="1"/>
    <xf numFmtId="0" fontId="29" fillId="0" borderId="0" xfId="4495" applyFont="1" applyAlignment="1">
      <alignment horizontal="left" vertical="center"/>
    </xf>
    <xf numFmtId="0" fontId="29" fillId="0" borderId="0" xfId="4495" applyFont="1" applyAlignment="1">
      <alignment vertical="center"/>
    </xf>
    <xf numFmtId="0" fontId="125" fillId="0" borderId="58" xfId="4496" applyFont="1" applyBorder="1" applyAlignment="1">
      <alignment vertical="center"/>
    </xf>
    <xf numFmtId="0" fontId="29" fillId="0" borderId="5" xfId="4495" applyFont="1" applyBorder="1"/>
    <xf numFmtId="182" fontId="101" fillId="0" borderId="6" xfId="4496" applyNumberFormat="1" applyFont="1" applyBorder="1" applyAlignment="1">
      <alignment vertical="center"/>
    </xf>
    <xf numFmtId="1" fontId="101" fillId="0" borderId="0" xfId="4496" applyNumberFormat="1" applyFont="1" applyAlignment="1">
      <alignment horizontal="right" vertical="top" wrapText="1" indent="1"/>
    </xf>
    <xf numFmtId="3" fontId="101" fillId="43" borderId="6" xfId="4496" applyNumberFormat="1" applyFont="1" applyFill="1" applyBorder="1" applyAlignment="1" applyProtection="1">
      <alignment horizontal="center"/>
      <protection locked="0"/>
    </xf>
    <xf numFmtId="0" fontId="6" fillId="0" borderId="0" xfId="8736"/>
    <xf numFmtId="0" fontId="171" fillId="0" borderId="0" xfId="8736" applyFont="1"/>
    <xf numFmtId="0" fontId="106" fillId="0" borderId="0" xfId="8736" applyFont="1"/>
    <xf numFmtId="0" fontId="6" fillId="47" borderId="66" xfId="8736" applyFill="1" applyBorder="1"/>
    <xf numFmtId="0" fontId="6" fillId="47" borderId="0" xfId="8736" applyFill="1"/>
    <xf numFmtId="0" fontId="105" fillId="47" borderId="0" xfId="8736" applyFont="1" applyFill="1"/>
    <xf numFmtId="9" fontId="6" fillId="44" borderId="3" xfId="1022" applyFont="1" applyFill="1" applyBorder="1" applyAlignment="1">
      <alignment horizontal="centerContinuous"/>
    </xf>
    <xf numFmtId="9" fontId="6" fillId="44" borderId="4" xfId="1022" applyFont="1" applyFill="1" applyBorder="1" applyAlignment="1">
      <alignment horizontal="centerContinuous"/>
    </xf>
    <xf numFmtId="9" fontId="6" fillId="44" borderId="5" xfId="1022" applyFont="1" applyFill="1" applyBorder="1" applyAlignment="1">
      <alignment horizontal="centerContinuous"/>
    </xf>
    <xf numFmtId="0" fontId="105" fillId="47" borderId="41" xfId="8736" applyFont="1" applyFill="1" applyBorder="1" applyAlignment="1">
      <alignment horizontal="center"/>
    </xf>
    <xf numFmtId="182" fontId="176" fillId="47" borderId="0" xfId="8737" applyNumberFormat="1" applyFont="1" applyFill="1" applyBorder="1" applyAlignment="1"/>
    <xf numFmtId="0" fontId="6" fillId="47" borderId="41" xfId="8736" applyFill="1" applyBorder="1"/>
    <xf numFmtId="0" fontId="106" fillId="47" borderId="0" xfId="8736" applyFont="1" applyFill="1"/>
    <xf numFmtId="0" fontId="180" fillId="47" borderId="0" xfId="8736" applyFont="1" applyFill="1"/>
    <xf numFmtId="0" fontId="105" fillId="47" borderId="41" xfId="8736" applyFont="1" applyFill="1" applyBorder="1"/>
    <xf numFmtId="0" fontId="105" fillId="0" borderId="0" xfId="8736" applyFont="1"/>
    <xf numFmtId="0" fontId="168" fillId="0" borderId="0" xfId="8736" applyFont="1"/>
    <xf numFmtId="0" fontId="105" fillId="54" borderId="100" xfId="8736" applyFont="1" applyFill="1" applyBorder="1"/>
    <xf numFmtId="0" fontId="6" fillId="53" borderId="99" xfId="8736" applyFill="1" applyBorder="1"/>
    <xf numFmtId="0" fontId="6" fillId="52" borderId="99" xfId="8736" applyFill="1" applyBorder="1"/>
    <xf numFmtId="0" fontId="105" fillId="45" borderId="65" xfId="8736" applyFont="1" applyFill="1" applyBorder="1"/>
    <xf numFmtId="0" fontId="6" fillId="45" borderId="80" xfId="8736" applyFill="1" applyBorder="1"/>
    <xf numFmtId="0" fontId="6" fillId="45" borderId="79" xfId="8736" applyFill="1" applyBorder="1"/>
    <xf numFmtId="0" fontId="6" fillId="45" borderId="78" xfId="8736" applyFill="1" applyBorder="1"/>
    <xf numFmtId="0" fontId="105" fillId="45" borderId="0" xfId="8736" applyFont="1" applyFill="1"/>
    <xf numFmtId="0" fontId="105" fillId="45" borderId="12" xfId="8736" applyFont="1" applyFill="1" applyBorder="1"/>
    <xf numFmtId="0" fontId="105" fillId="45" borderId="29" xfId="8736" applyFont="1" applyFill="1" applyBorder="1"/>
    <xf numFmtId="0" fontId="105" fillId="45" borderId="80" xfId="8736" applyFont="1" applyFill="1" applyBorder="1"/>
    <xf numFmtId="0" fontId="105" fillId="45" borderId="79" xfId="8736" applyFont="1" applyFill="1" applyBorder="1"/>
    <xf numFmtId="0" fontId="105" fillId="45" borderId="78" xfId="8736" applyFont="1" applyFill="1" applyBorder="1"/>
    <xf numFmtId="0" fontId="105" fillId="45" borderId="93" xfId="8736" applyFont="1" applyFill="1" applyBorder="1"/>
    <xf numFmtId="0" fontId="105" fillId="45" borderId="6" xfId="8736" applyFont="1" applyFill="1" applyBorder="1"/>
    <xf numFmtId="0" fontId="105" fillId="45" borderId="10" xfId="8736" applyFont="1" applyFill="1" applyBorder="1"/>
    <xf numFmtId="0" fontId="171" fillId="44" borderId="0" xfId="8736" applyFont="1" applyFill="1"/>
    <xf numFmtId="10" fontId="171" fillId="44" borderId="0" xfId="1022" applyNumberFormat="1" applyFont="1" applyFill="1"/>
    <xf numFmtId="0" fontId="6" fillId="45" borderId="29" xfId="8736" applyFill="1" applyBorder="1"/>
    <xf numFmtId="0" fontId="6" fillId="45" borderId="31" xfId="8736" applyFill="1" applyBorder="1"/>
    <xf numFmtId="0" fontId="105" fillId="45" borderId="92" xfId="8736" applyFont="1" applyFill="1" applyBorder="1"/>
    <xf numFmtId="0" fontId="105" fillId="45" borderId="74" xfId="8736" applyFont="1" applyFill="1" applyBorder="1"/>
    <xf numFmtId="0" fontId="182" fillId="47" borderId="0" xfId="8736" applyFont="1" applyFill="1"/>
    <xf numFmtId="0" fontId="105" fillId="45" borderId="31" xfId="8736" applyFont="1" applyFill="1" applyBorder="1"/>
    <xf numFmtId="0" fontId="6" fillId="47" borderId="0" xfId="8736" applyFill="1" applyAlignment="1">
      <alignment horizontal="left"/>
    </xf>
    <xf numFmtId="0" fontId="174" fillId="51" borderId="11" xfId="8736" applyFont="1" applyFill="1" applyBorder="1"/>
    <xf numFmtId="0" fontId="174" fillId="51" borderId="76" xfId="8736" applyFont="1" applyFill="1" applyBorder="1"/>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6" fillId="48" borderId="66" xfId="8736" applyFill="1" applyBorder="1"/>
    <xf numFmtId="0" fontId="6" fillId="48" borderId="0" xfId="8736" applyFill="1"/>
    <xf numFmtId="0" fontId="6" fillId="48" borderId="78" xfId="8736" applyFill="1" applyBorder="1"/>
    <xf numFmtId="0" fontId="105" fillId="47" borderId="66" xfId="8736" applyFont="1" applyFill="1" applyBorder="1"/>
    <xf numFmtId="49" fontId="105" fillId="47" borderId="66" xfId="8736" applyNumberFormat="1" applyFont="1" applyFill="1" applyBorder="1" applyAlignment="1">
      <alignment horizontal="right" vertical="top"/>
    </xf>
    <xf numFmtId="0" fontId="6" fillId="47" borderId="73" xfId="8736" applyFill="1" applyBorder="1"/>
    <xf numFmtId="0" fontId="6" fillId="47" borderId="42" xfId="8736" applyFill="1" applyBorder="1"/>
    <xf numFmtId="0" fontId="6" fillId="47" borderId="44" xfId="8736" applyFill="1" applyBorder="1"/>
    <xf numFmtId="0" fontId="6" fillId="44" borderId="66" xfId="8736" applyFill="1" applyBorder="1"/>
    <xf numFmtId="0" fontId="6" fillId="44" borderId="0" xfId="8736" applyFill="1"/>
    <xf numFmtId="0" fontId="6" fillId="44" borderId="41" xfId="8736" applyFill="1" applyBorder="1"/>
    <xf numFmtId="0" fontId="6" fillId="44" borderId="0" xfId="8736" applyFill="1" applyAlignment="1">
      <alignment horizontal="left"/>
    </xf>
    <xf numFmtId="0" fontId="6" fillId="44" borderId="73" xfId="8736" applyFill="1" applyBorder="1"/>
    <xf numFmtId="0" fontId="6" fillId="44" borderId="42" xfId="8736" applyFill="1" applyBorder="1"/>
    <xf numFmtId="0" fontId="6" fillId="44" borderId="44" xfId="8736" applyFill="1" applyBorder="1"/>
    <xf numFmtId="0" fontId="166" fillId="0" borderId="0" xfId="8736" applyFont="1"/>
    <xf numFmtId="0" fontId="0" fillId="5" borderId="6" xfId="0"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9" fontId="22" fillId="0" borderId="11" xfId="4494" applyFont="1" applyBorder="1" applyAlignment="1">
      <alignment horizontal="center"/>
    </xf>
    <xf numFmtId="9" fontId="121" fillId="0" borderId="0" xfId="4494" applyFont="1" applyAlignment="1">
      <alignment horizontal="center"/>
    </xf>
    <xf numFmtId="0" fontId="61" fillId="0" borderId="11" xfId="0" applyFont="1" applyBorder="1" applyAlignment="1" applyProtection="1">
      <alignment vertical="top" wrapText="1"/>
      <protection locked="0"/>
    </xf>
    <xf numFmtId="0" fontId="101" fillId="0" borderId="0" xfId="0" applyFont="1"/>
    <xf numFmtId="10" fontId="125" fillId="0" borderId="0" xfId="0" applyNumberFormat="1" applyFont="1" applyAlignment="1">
      <alignment horizontal="center"/>
    </xf>
    <xf numFmtId="3" fontId="101" fillId="0" borderId="0" xfId="0" applyNumberFormat="1" applyFont="1"/>
    <xf numFmtId="172" fontId="125" fillId="0" borderId="0" xfId="0" applyNumberFormat="1" applyFont="1" applyAlignment="1">
      <alignment horizontal="center"/>
    </xf>
    <xf numFmtId="0" fontId="101" fillId="0" borderId="0" xfId="1192" applyFont="1"/>
    <xf numFmtId="3" fontId="101" fillId="0" borderId="6" xfId="1192" applyNumberFormat="1" applyFont="1" applyBorder="1"/>
    <xf numFmtId="0" fontId="30" fillId="0" borderId="0" xfId="4495" applyFont="1" applyAlignment="1">
      <alignment horizontal="left" vertical="top" wrapText="1"/>
    </xf>
    <xf numFmtId="0" fontId="125" fillId="5" borderId="6" xfId="4496" applyFont="1" applyFill="1" applyBorder="1" applyAlignment="1" applyProtection="1">
      <alignment horizontal="center"/>
      <protection locked="0"/>
    </xf>
    <xf numFmtId="0" fontId="22" fillId="0" borderId="50" xfId="4495" applyFont="1" applyBorder="1" applyAlignment="1">
      <alignment vertical="center" wrapText="1"/>
    </xf>
    <xf numFmtId="0" fontId="22" fillId="0" borderId="51" xfId="4495" applyFont="1" applyBorder="1" applyAlignment="1">
      <alignment vertical="center" wrapText="1"/>
    </xf>
    <xf numFmtId="0" fontId="22" fillId="0" borderId="52" xfId="4495" applyFont="1" applyBorder="1" applyAlignment="1">
      <alignment vertical="center" wrapText="1"/>
    </xf>
    <xf numFmtId="0" fontId="22" fillId="0" borderId="57" xfId="4495" applyFont="1" applyBorder="1" applyAlignment="1">
      <alignment vertical="center" wrapText="1"/>
    </xf>
    <xf numFmtId="0" fontId="22" fillId="0" borderId="58" xfId="4495" applyFont="1" applyBorder="1" applyAlignment="1">
      <alignment vertical="center" wrapText="1"/>
    </xf>
    <xf numFmtId="0" fontId="22" fillId="0" borderId="59" xfId="4495" applyFont="1" applyBorder="1" applyAlignment="1">
      <alignment vertical="center" wrapText="1"/>
    </xf>
    <xf numFmtId="0" fontId="22" fillId="0" borderId="47" xfId="4495" applyFont="1" applyBorder="1" applyAlignment="1">
      <alignment horizontal="left" vertical="center" wrapText="1"/>
    </xf>
    <xf numFmtId="0" fontId="22" fillId="0" borderId="48" xfId="4495" applyFont="1" applyBorder="1" applyAlignment="1">
      <alignment horizontal="left" vertical="center" wrapText="1"/>
    </xf>
    <xf numFmtId="0" fontId="22" fillId="0" borderId="49" xfId="4495" applyFont="1" applyBorder="1" applyAlignment="1">
      <alignment horizontal="left" vertical="center" wrapText="1"/>
    </xf>
    <xf numFmtId="0" fontId="125" fillId="0" borderId="50" xfId="4496" applyFont="1" applyBorder="1" applyAlignment="1">
      <alignment horizontal="left" vertical="top" wrapText="1"/>
    </xf>
    <xf numFmtId="0" fontId="125" fillId="0" borderId="51" xfId="4496" applyFont="1" applyBorder="1" applyAlignment="1">
      <alignment horizontal="left" vertical="top" wrapText="1"/>
    </xf>
    <xf numFmtId="0" fontId="125" fillId="0" borderId="52" xfId="4496" applyFont="1" applyBorder="1" applyAlignment="1">
      <alignment horizontal="left" vertical="top" wrapText="1"/>
    </xf>
    <xf numFmtId="0" fontId="125" fillId="0" borderId="57" xfId="4496" applyFont="1" applyBorder="1" applyAlignment="1">
      <alignment horizontal="left" vertical="top" wrapText="1"/>
    </xf>
    <xf numFmtId="0" fontId="125" fillId="0" borderId="58" xfId="4496" applyFont="1" applyBorder="1" applyAlignment="1">
      <alignment horizontal="left" vertical="top" wrapText="1"/>
    </xf>
    <xf numFmtId="0" fontId="125" fillId="0" borderId="59" xfId="4496" applyFont="1" applyBorder="1" applyAlignment="1">
      <alignment horizontal="left" vertical="top" wrapText="1"/>
    </xf>
    <xf numFmtId="0" fontId="22" fillId="0" borderId="50" xfId="4495" applyFont="1" applyBorder="1" applyAlignment="1">
      <alignment horizontal="left" vertical="center" wrapText="1"/>
    </xf>
    <xf numFmtId="0" fontId="22" fillId="0" borderId="51" xfId="4495" applyFont="1" applyBorder="1" applyAlignment="1">
      <alignment horizontal="left" vertical="center" wrapText="1"/>
    </xf>
    <xf numFmtId="0" fontId="22" fillId="0" borderId="52" xfId="4495" applyFont="1" applyBorder="1" applyAlignment="1">
      <alignment horizontal="left" vertical="center" wrapText="1"/>
    </xf>
    <xf numFmtId="0" fontId="22" fillId="0" borderId="57" xfId="4495" applyFont="1" applyBorder="1" applyAlignment="1">
      <alignment horizontal="left" vertical="center" wrapText="1"/>
    </xf>
    <xf numFmtId="0" fontId="22" fillId="0" borderId="58" xfId="4495" applyFont="1" applyBorder="1" applyAlignment="1">
      <alignment horizontal="left" vertical="center" wrapText="1"/>
    </xf>
    <xf numFmtId="0" fontId="22" fillId="0" borderId="59" xfId="4495" applyFont="1" applyBorder="1" applyAlignment="1">
      <alignment horizontal="left" vertical="center" wrapText="1"/>
    </xf>
    <xf numFmtId="165" fontId="125" fillId="0" borderId="55" xfId="4496" applyNumberFormat="1" applyFont="1" applyBorder="1" applyAlignment="1">
      <alignment horizontal="center" vertical="top" wrapText="1"/>
    </xf>
    <xf numFmtId="165" fontId="125" fillId="0" borderId="6" xfId="4496" applyNumberFormat="1" applyFont="1" applyBorder="1" applyAlignment="1">
      <alignment horizontal="center" vertical="top" wrapText="1"/>
    </xf>
    <xf numFmtId="165" fontId="125" fillId="0" borderId="60" xfId="4496" applyNumberFormat="1" applyFont="1" applyBorder="1" applyAlignment="1">
      <alignment horizontal="center" vertical="top" wrapText="1"/>
    </xf>
    <xf numFmtId="165" fontId="125" fillId="0" borderId="4" xfId="4496" applyNumberFormat="1" applyFont="1" applyBorder="1" applyAlignment="1">
      <alignment horizontal="center" vertical="top" wrapText="1"/>
    </xf>
    <xf numFmtId="0" fontId="125" fillId="5" borderId="60" xfId="4496" applyFont="1" applyFill="1" applyBorder="1" applyAlignment="1" applyProtection="1">
      <alignment horizontal="center"/>
      <protection locked="0"/>
    </xf>
    <xf numFmtId="0" fontId="125" fillId="5" borderId="4" xfId="4496" applyFont="1" applyFill="1" applyBorder="1" applyAlignment="1" applyProtection="1">
      <alignment horizontal="center"/>
      <protection locked="0"/>
    </xf>
    <xf numFmtId="0" fontId="29" fillId="0" borderId="0" xfId="4495" applyFont="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125" fillId="5" borderId="55" xfId="4496" applyFont="1" applyFill="1" applyBorder="1" applyAlignment="1" applyProtection="1">
      <alignment horizontal="center"/>
      <protection locked="0"/>
    </xf>
    <xf numFmtId="168" fontId="125" fillId="0" borderId="55" xfId="4496" applyNumberFormat="1" applyFont="1" applyBorder="1" applyAlignment="1">
      <alignment horizontal="center" vertical="top"/>
    </xf>
    <xf numFmtId="168" fontId="125" fillId="0" borderId="6" xfId="4496" applyNumberFormat="1" applyFont="1" applyBorder="1" applyAlignment="1">
      <alignment horizontal="center" vertical="top"/>
    </xf>
    <xf numFmtId="0" fontId="28" fillId="3" borderId="2" xfId="4495" applyFont="1" applyFill="1" applyBorder="1" applyAlignment="1">
      <alignment horizontal="center" vertical="center"/>
    </xf>
    <xf numFmtId="0" fontId="28" fillId="3" borderId="16" xfId="4495" applyFont="1" applyFill="1" applyBorder="1" applyAlignment="1">
      <alignment horizontal="center" vertical="center"/>
    </xf>
    <xf numFmtId="0" fontId="29" fillId="0" borderId="48" xfId="4495" applyFont="1" applyBorder="1" applyAlignment="1">
      <alignment horizontal="left" vertical="top"/>
    </xf>
    <xf numFmtId="0" fontId="29" fillId="0" borderId="49" xfId="4495" applyFont="1" applyBorder="1" applyAlignment="1">
      <alignment horizontal="left" vertical="top"/>
    </xf>
    <xf numFmtId="1" fontId="22" fillId="0" borderId="3" xfId="4495" applyNumberFormat="1" applyFont="1" applyBorder="1" applyAlignment="1">
      <alignment horizontal="center"/>
    </xf>
    <xf numFmtId="1" fontId="22" fillId="0" borderId="4" xfId="4495" applyNumberFormat="1" applyFont="1" applyBorder="1" applyAlignment="1">
      <alignment horizontal="center"/>
    </xf>
    <xf numFmtId="1" fontId="22" fillId="0" borderId="5" xfId="4495" applyNumberFormat="1" applyFont="1" applyBorder="1" applyAlignment="1">
      <alignment horizontal="center"/>
    </xf>
    <xf numFmtId="0" fontId="22" fillId="0" borderId="53" xfId="4495" applyFont="1" applyBorder="1" applyAlignment="1">
      <alignment vertical="center" wrapText="1"/>
    </xf>
    <xf numFmtId="0" fontId="22" fillId="0" borderId="0" xfId="4495" applyFont="1" applyAlignment="1">
      <alignment vertical="center" wrapText="1"/>
    </xf>
    <xf numFmtId="0" fontId="22" fillId="0" borderId="54" xfId="4495" applyFont="1" applyBorder="1" applyAlignment="1">
      <alignment vertical="center" wrapText="1"/>
    </xf>
    <xf numFmtId="0" fontId="22" fillId="0" borderId="53" xfId="4495" applyFont="1" applyBorder="1" applyAlignment="1">
      <alignment horizontal="left" vertical="center" wrapText="1"/>
    </xf>
    <xf numFmtId="0" fontId="22" fillId="0" borderId="0" xfId="4495" applyFont="1" applyAlignment="1">
      <alignment horizontal="left" vertical="center" wrapText="1"/>
    </xf>
    <xf numFmtId="0" fontId="22" fillId="0" borderId="54" xfId="4495" applyFont="1" applyBorder="1" applyAlignment="1">
      <alignment horizontal="left" vertical="center" wrapText="1"/>
    </xf>
    <xf numFmtId="10" fontId="125" fillId="0" borderId="3" xfId="4496" applyNumberFormat="1" applyFont="1" applyBorder="1" applyAlignment="1">
      <alignment horizontal="center" vertical="top" wrapText="1"/>
    </xf>
    <xf numFmtId="10" fontId="125" fillId="0" borderId="4" xfId="4496" applyNumberFormat="1" applyFont="1" applyBorder="1" applyAlignment="1">
      <alignment horizontal="center" vertical="top" wrapText="1"/>
    </xf>
    <xf numFmtId="10" fontId="125" fillId="0" borderId="5" xfId="4496" applyNumberFormat="1" applyFont="1" applyBorder="1" applyAlignment="1">
      <alignment horizontal="center" vertical="top" wrapText="1"/>
    </xf>
    <xf numFmtId="0" fontId="125" fillId="0" borderId="55" xfId="4496" applyFont="1" applyBorder="1" applyAlignment="1">
      <alignment horizontal="center" vertical="top" wrapText="1"/>
    </xf>
    <xf numFmtId="0" fontId="125" fillId="0" borderId="6" xfId="4496" applyFont="1" applyBorder="1" applyAlignment="1">
      <alignment horizontal="center" vertical="top" wrapText="1"/>
    </xf>
    <xf numFmtId="168" fontId="22" fillId="0" borderId="0" xfId="1192" applyNumberFormat="1" applyAlignment="1">
      <alignment horizontal="right"/>
    </xf>
    <xf numFmtId="1" fontId="22" fillId="5" borderId="2" xfId="1192" applyNumberFormat="1" applyFill="1" applyBorder="1" applyAlignment="1" applyProtection="1">
      <alignment horizontal="center"/>
      <protection locked="0"/>
    </xf>
    <xf numFmtId="1" fontId="22" fillId="5" borderId="4" xfId="1192" applyNumberFormat="1" applyFill="1" applyBorder="1" applyAlignment="1" applyProtection="1">
      <alignment horizontal="center"/>
      <protection locked="0"/>
    </xf>
    <xf numFmtId="0" fontId="144" fillId="0" borderId="6" xfId="1192" applyFont="1" applyBorder="1" applyAlignment="1">
      <alignment horizontal="center"/>
    </xf>
    <xf numFmtId="1" fontId="125" fillId="0" borderId="55" xfId="4496" applyNumberFormat="1" applyFont="1" applyBorder="1" applyAlignment="1">
      <alignment horizontal="center" vertical="top" wrapText="1"/>
    </xf>
    <xf numFmtId="1" fontId="125" fillId="0" borderId="6" xfId="4496" applyNumberFormat="1" applyFont="1" applyBorder="1" applyAlignment="1">
      <alignment horizontal="center" vertical="top" wrapText="1"/>
    </xf>
    <xf numFmtId="168" fontId="125" fillId="43" borderId="55" xfId="4496" applyNumberFormat="1" applyFont="1" applyFill="1" applyBorder="1" applyAlignment="1" applyProtection="1">
      <alignment horizontal="center" vertical="top" wrapText="1"/>
      <protection locked="0"/>
    </xf>
    <xf numFmtId="168" fontId="125" fillId="43" borderId="6" xfId="4496" applyNumberFormat="1" applyFont="1" applyFill="1" applyBorder="1" applyAlignment="1" applyProtection="1">
      <alignment horizontal="center" vertical="top" wrapText="1"/>
      <protection locked="0"/>
    </xf>
    <xf numFmtId="0" fontId="29" fillId="0" borderId="0" xfId="4495" applyFont="1" applyAlignment="1">
      <alignment horizontal="center" vertical="top"/>
    </xf>
    <xf numFmtId="0" fontId="22" fillId="0" borderId="0" xfId="1192" applyAlignment="1">
      <alignment horizontal="right"/>
    </xf>
    <xf numFmtId="0" fontId="22" fillId="5" borderId="6" xfId="1192" applyFill="1" applyBorder="1" applyAlignment="1" applyProtection="1">
      <alignment horizontal="left"/>
      <protection locked="0"/>
    </xf>
    <xf numFmtId="168" fontId="22" fillId="43" borderId="6" xfId="4495" applyNumberFormat="1" applyFont="1" applyFill="1" applyBorder="1" applyAlignment="1" applyProtection="1">
      <alignment horizontal="right"/>
      <protection locked="0"/>
    </xf>
    <xf numFmtId="9" fontId="22" fillId="0" borderId="6" xfId="1192" applyNumberFormat="1" applyBorder="1" applyAlignment="1">
      <alignment horizontal="center"/>
    </xf>
    <xf numFmtId="9" fontId="22" fillId="0" borderId="6" xfId="1192" quotePrefix="1" applyNumberFormat="1" applyBorder="1" applyAlignment="1">
      <alignment horizontal="center"/>
    </xf>
    <xf numFmtId="9" fontId="22" fillId="0" borderId="0" xfId="1192" quotePrefix="1" applyNumberFormat="1" applyAlignment="1">
      <alignment horizontal="center"/>
    </xf>
    <xf numFmtId="9" fontId="22" fillId="5" borderId="4" xfId="1192" applyNumberFormat="1" applyFill="1" applyBorder="1" applyAlignment="1" applyProtection="1">
      <alignment horizontal="left"/>
      <protection locked="0"/>
    </xf>
    <xf numFmtId="0" fontId="30" fillId="5" borderId="6" xfId="4495" applyFont="1" applyFill="1" applyBorder="1" applyAlignment="1" applyProtection="1">
      <alignment horizontal="left"/>
      <protection locked="0"/>
    </xf>
    <xf numFmtId="0" fontId="22" fillId="0" borderId="0" xfId="4495" applyFont="1" applyAlignment="1">
      <alignment horizontal="left"/>
    </xf>
    <xf numFmtId="0" fontId="22" fillId="5" borderId="6" xfId="4495" applyFont="1" applyFill="1" applyBorder="1" applyAlignment="1" applyProtection="1">
      <alignment horizontal="left"/>
      <protection locked="0"/>
    </xf>
    <xf numFmtId="0" fontId="58" fillId="5" borderId="6" xfId="4495" applyFont="1" applyFill="1" applyBorder="1" applyAlignment="1" applyProtection="1">
      <alignment horizontal="left"/>
      <protection locked="0"/>
    </xf>
    <xf numFmtId="0" fontId="22" fillId="5" borderId="6" xfId="4495" applyFont="1" applyFill="1" applyBorder="1" applyAlignment="1" applyProtection="1">
      <alignment horizontal="center"/>
      <protection locked="0"/>
    </xf>
    <xf numFmtId="0" fontId="22" fillId="44" borderId="6" xfId="4495" applyFont="1" applyFill="1" applyBorder="1" applyAlignment="1">
      <alignment horizontal="left"/>
    </xf>
    <xf numFmtId="1" fontId="22" fillId="0" borderId="11" xfId="4495" applyNumberFormat="1" applyFont="1" applyBorder="1" applyAlignment="1">
      <alignment horizontal="center"/>
    </xf>
    <xf numFmtId="0" fontId="22" fillId="0" borderId="11" xfId="4495" applyFont="1" applyBorder="1" applyAlignment="1">
      <alignment horizontal="center"/>
    </xf>
    <xf numFmtId="0" fontId="22" fillId="0" borderId="53" xfId="4495" applyFont="1" applyBorder="1" applyAlignment="1">
      <alignment horizontal="left" vertical="top" wrapText="1"/>
    </xf>
    <xf numFmtId="0" fontId="22" fillId="0" borderId="0" xfId="4495" applyFont="1" applyAlignment="1">
      <alignment horizontal="left" vertical="top" wrapText="1"/>
    </xf>
    <xf numFmtId="0" fontId="22" fillId="0" borderId="54" xfId="4495" applyFont="1" applyBorder="1" applyAlignment="1">
      <alignment horizontal="left" vertical="top" wrapText="1"/>
    </xf>
    <xf numFmtId="0" fontId="22" fillId="0" borderId="57" xfId="4495" applyFont="1" applyBorder="1" applyAlignment="1">
      <alignment horizontal="left" vertical="top" wrapText="1"/>
    </xf>
    <xf numFmtId="0" fontId="22" fillId="0" borderId="58" xfId="4495" applyFont="1" applyBorder="1" applyAlignment="1">
      <alignment horizontal="left" vertical="top" wrapText="1"/>
    </xf>
    <xf numFmtId="0" fontId="22" fillId="0" borderId="59" xfId="4495" applyFont="1" applyBorder="1" applyAlignment="1">
      <alignment horizontal="left" vertical="top" wrapText="1"/>
    </xf>
    <xf numFmtId="0" fontId="123" fillId="5" borderId="6" xfId="4495" applyFill="1" applyBorder="1" applyAlignment="1" applyProtection="1">
      <alignment horizontal="center"/>
      <protection locked="0"/>
    </xf>
    <xf numFmtId="0" fontId="29" fillId="0" borderId="0" xfId="4495" applyFont="1" applyAlignment="1">
      <alignment horizontal="left" vertical="top"/>
    </xf>
    <xf numFmtId="0" fontId="123" fillId="0" borderId="0" xfId="4495" applyAlignment="1" applyProtection="1">
      <alignment horizontal="center"/>
      <protection locked="0"/>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168" fontId="22" fillId="0" borderId="6" xfId="4496" applyNumberFormat="1" applyFont="1" applyBorder="1" applyAlignment="1">
      <alignment horizontal="center"/>
    </xf>
    <xf numFmtId="9" fontId="22" fillId="0" borderId="4" xfId="543" applyNumberFormat="1" applyBorder="1" applyAlignment="1">
      <alignment horizontal="center"/>
    </xf>
    <xf numFmtId="0" fontId="22" fillId="0" borderId="4" xfId="4496" applyFont="1" applyBorder="1" applyAlignment="1">
      <alignment horizontal="center"/>
    </xf>
    <xf numFmtId="0" fontId="22" fillId="0" borderId="5" xfId="4496" applyFont="1" applyBorder="1" applyAlignment="1">
      <alignment horizontal="center"/>
    </xf>
    <xf numFmtId="168" fontId="22" fillId="0" borderId="6" xfId="4495" applyNumberFormat="1" applyFont="1" applyBorder="1" applyAlignment="1">
      <alignment horizontal="right"/>
    </xf>
    <xf numFmtId="168" fontId="121" fillId="0" borderId="6" xfId="4495" applyNumberFormat="1" applyFont="1" applyBorder="1" applyAlignment="1">
      <alignment horizontal="right"/>
    </xf>
    <xf numFmtId="6" fontId="22" fillId="0" borderId="3" xfId="1192" applyNumberFormat="1" applyBorder="1" applyAlignment="1">
      <alignment horizontal="right"/>
    </xf>
    <xf numFmtId="6" fontId="22" fillId="0" borderId="4" xfId="1192" applyNumberFormat="1" applyBorder="1" applyAlignment="1">
      <alignment horizontal="right"/>
    </xf>
    <xf numFmtId="6" fontId="22" fillId="0" borderId="5" xfId="1192" applyNumberFormat="1" applyBorder="1" applyAlignment="1">
      <alignment horizontal="right"/>
    </xf>
    <xf numFmtId="168" fontId="22" fillId="0" borderId="4" xfId="4495" applyNumberFormat="1" applyFont="1" applyBorder="1" applyAlignment="1">
      <alignment horizontal="right"/>
    </xf>
    <xf numFmtId="165" fontId="22" fillId="43" borderId="3" xfId="4495" applyNumberFormat="1" applyFont="1" applyFill="1" applyBorder="1" applyAlignment="1" applyProtection="1">
      <alignment horizontal="center"/>
      <protection locked="0"/>
    </xf>
    <xf numFmtId="165" fontId="22" fillId="43" borderId="4" xfId="4495" applyNumberFormat="1" applyFont="1" applyFill="1" applyBorder="1" applyAlignment="1" applyProtection="1">
      <alignment horizontal="center"/>
      <protection locked="0"/>
    </xf>
    <xf numFmtId="165" fontId="22" fillId="43" borderId="5" xfId="4495" applyNumberFormat="1" applyFont="1" applyFill="1" applyBorder="1" applyAlignment="1" applyProtection="1">
      <alignment horizontal="center"/>
      <protection locked="0"/>
    </xf>
    <xf numFmtId="165" fontId="22" fillId="0" borderId="6" xfId="1192" applyNumberFormat="1" applyBorder="1" applyAlignment="1">
      <alignment horizontal="right"/>
    </xf>
    <xf numFmtId="168" fontId="22" fillId="0" borderId="2" xfId="1192" applyNumberFormat="1" applyBorder="1" applyAlignment="1">
      <alignment horizontal="right"/>
    </xf>
    <xf numFmtId="165" fontId="22" fillId="0" borderId="0" xfId="1192" applyNumberFormat="1" applyAlignment="1">
      <alignment horizontal="right"/>
    </xf>
    <xf numFmtId="0" fontId="22" fillId="0" borderId="0" xfId="543" applyAlignment="1">
      <alignment horizontal="center"/>
    </xf>
    <xf numFmtId="0" fontId="22" fillId="0" borderId="50" xfId="4495" applyFont="1" applyBorder="1" applyAlignment="1">
      <alignment horizontal="left" vertical="top" wrapText="1"/>
    </xf>
    <xf numFmtId="0" fontId="22" fillId="0" borderId="51" xfId="4495" applyFont="1" applyBorder="1" applyAlignment="1">
      <alignment horizontal="left" vertical="top" wrapText="1"/>
    </xf>
    <xf numFmtId="0" fontId="22" fillId="0" borderId="52" xfId="4495" applyFont="1" applyBorder="1" applyAlignment="1">
      <alignment horizontal="left" vertical="top" wrapText="1"/>
    </xf>
    <xf numFmtId="0" fontId="29" fillId="0" borderId="0" xfId="4495" applyFont="1"/>
    <xf numFmtId="168" fontId="22" fillId="5" borderId="4" xfId="1192" applyNumberFormat="1" applyFill="1" applyBorder="1" applyAlignment="1" applyProtection="1">
      <alignment horizontal="center"/>
      <protection locked="0"/>
    </xf>
    <xf numFmtId="0" fontId="22" fillId="0" borderId="6" xfId="1192" applyBorder="1" applyAlignment="1">
      <alignment horizontal="left"/>
    </xf>
    <xf numFmtId="2" fontId="22" fillId="0" borderId="0" xfId="1192" applyNumberFormat="1" applyAlignment="1">
      <alignment horizontal="right"/>
    </xf>
    <xf numFmtId="0" fontId="22" fillId="43" borderId="53" xfId="4495" applyFont="1" applyFill="1" applyBorder="1" applyAlignment="1" applyProtection="1">
      <alignment vertical="top" wrapText="1"/>
      <protection locked="0"/>
    </xf>
    <xf numFmtId="0" fontId="22" fillId="43" borderId="0" xfId="4495" applyFont="1" applyFill="1" applyAlignment="1" applyProtection="1">
      <alignment vertical="top" wrapText="1"/>
      <protection locked="0"/>
    </xf>
    <xf numFmtId="0" fontId="22" fillId="43" borderId="54" xfId="4495" applyFont="1" applyFill="1" applyBorder="1" applyAlignment="1" applyProtection="1">
      <alignment vertical="top" wrapText="1"/>
      <protection locked="0"/>
    </xf>
    <xf numFmtId="0" fontId="22" fillId="43" borderId="55" xfId="4495" applyFont="1" applyFill="1" applyBorder="1" applyAlignment="1" applyProtection="1">
      <alignment vertical="top" wrapText="1"/>
      <protection locked="0"/>
    </xf>
    <xf numFmtId="0" fontId="22" fillId="43" borderId="6" xfId="4495" applyFont="1" applyFill="1" applyBorder="1" applyAlignment="1" applyProtection="1">
      <alignment vertical="top" wrapText="1"/>
      <protection locked="0"/>
    </xf>
    <xf numFmtId="0" fontId="22" fillId="43" borderId="56" xfId="4495" applyFont="1" applyFill="1" applyBorder="1" applyAlignment="1" applyProtection="1">
      <alignment vertical="top" wrapText="1"/>
      <protection locked="0"/>
    </xf>
    <xf numFmtId="0" fontId="22" fillId="43" borderId="0" xfId="4495" applyFont="1" applyFill="1" applyAlignment="1" applyProtection="1">
      <alignment horizontal="left" vertical="center" wrapText="1"/>
      <protection locked="0"/>
    </xf>
    <xf numFmtId="0" fontId="22" fillId="43" borderId="54" xfId="4495" applyFont="1" applyFill="1" applyBorder="1" applyAlignment="1" applyProtection="1">
      <alignment horizontal="left" vertical="center" wrapText="1"/>
      <protection locked="0"/>
    </xf>
    <xf numFmtId="0" fontId="22" fillId="43" borderId="6" xfId="4495" applyFont="1" applyFill="1" applyBorder="1" applyAlignment="1" applyProtection="1">
      <alignment horizontal="left" vertical="center" wrapText="1"/>
      <protection locked="0"/>
    </xf>
    <xf numFmtId="0" fontId="22" fillId="43" borderId="56" xfId="4495" applyFont="1" applyFill="1" applyBorder="1" applyAlignment="1" applyProtection="1">
      <alignment horizontal="left" vertical="center" wrapText="1"/>
      <protection locked="0"/>
    </xf>
    <xf numFmtId="0" fontId="132" fillId="0" borderId="0" xfId="4495" applyFont="1" applyAlignment="1">
      <alignment horizontal="left" vertical="top" wrapText="1"/>
    </xf>
    <xf numFmtId="0" fontId="123" fillId="5" borderId="55" xfId="4495" applyFill="1" applyBorder="1" applyAlignment="1" applyProtection="1">
      <alignment horizontal="center"/>
      <protection locked="0"/>
    </xf>
    <xf numFmtId="0" fontId="29" fillId="0" borderId="0" xfId="4495" applyFont="1" applyAlignment="1">
      <alignment horizontal="center"/>
    </xf>
    <xf numFmtId="0" fontId="29" fillId="0" borderId="54" xfId="4495" applyFont="1" applyBorder="1" applyAlignment="1">
      <alignment horizontal="center"/>
    </xf>
    <xf numFmtId="0" fontId="30" fillId="0" borderId="51" xfId="4495" applyFont="1" applyBorder="1" applyAlignment="1">
      <alignment horizontal="left" vertical="top" wrapText="1"/>
    </xf>
    <xf numFmtId="0" fontId="29" fillId="0" borderId="54" xfId="4495" applyFont="1" applyBorder="1" applyAlignment="1">
      <alignment horizontal="center" vertical="top"/>
    </xf>
    <xf numFmtId="0" fontId="123" fillId="5" borderId="62" xfId="4495" applyFill="1" applyBorder="1" applyAlignment="1" applyProtection="1">
      <alignment horizontal="center"/>
      <protection locked="0"/>
    </xf>
    <xf numFmtId="0" fontId="123" fillId="5" borderId="63" xfId="4495" applyFill="1" applyBorder="1" applyAlignment="1" applyProtection="1">
      <alignment horizontal="center"/>
      <protection locked="0"/>
    </xf>
    <xf numFmtId="0" fontId="123" fillId="5" borderId="50" xfId="4495" applyFill="1" applyBorder="1" applyAlignment="1">
      <alignment horizontal="center"/>
    </xf>
    <xf numFmtId="0" fontId="123" fillId="5" borderId="51" xfId="4495" applyFill="1" applyBorder="1" applyAlignment="1">
      <alignment horizontal="center"/>
    </xf>
    <xf numFmtId="0" fontId="58" fillId="0" borderId="51" xfId="4495" applyFont="1" applyBorder="1" applyAlignment="1">
      <alignment horizontal="left" wrapText="1"/>
    </xf>
    <xf numFmtId="0" fontId="58" fillId="0" borderId="0" xfId="4495" applyFont="1" applyAlignment="1">
      <alignment horizontal="left" wrapText="1"/>
    </xf>
    <xf numFmtId="0" fontId="125" fillId="0" borderId="50" xfId="4496" applyFont="1" applyBorder="1" applyAlignment="1">
      <alignment horizontal="left" wrapText="1"/>
    </xf>
    <xf numFmtId="0" fontId="125" fillId="0" borderId="51" xfId="4496" applyFont="1" applyBorder="1" applyAlignment="1">
      <alignment horizontal="left" wrapText="1"/>
    </xf>
    <xf numFmtId="0" fontId="125" fillId="0" borderId="52" xfId="4496" applyFont="1" applyBorder="1" applyAlignment="1">
      <alignment horizontal="left" wrapText="1"/>
    </xf>
    <xf numFmtId="0" fontId="125" fillId="0" borderId="57" xfId="4496" applyFont="1" applyBorder="1" applyAlignment="1">
      <alignment horizontal="left" wrapText="1"/>
    </xf>
    <xf numFmtId="0" fontId="125" fillId="0" borderId="58" xfId="4496" applyFont="1" applyBorder="1" applyAlignment="1">
      <alignment horizontal="left" wrapText="1"/>
    </xf>
    <xf numFmtId="0" fontId="125" fillId="0" borderId="59" xfId="4496" applyFont="1" applyBorder="1" applyAlignment="1">
      <alignment horizontal="left" wrapText="1"/>
    </xf>
    <xf numFmtId="0" fontId="22" fillId="0" borderId="0" xfId="4495" applyFont="1" applyAlignment="1">
      <alignment horizontal="left" vertical="center" wrapText="1" shrinkToFit="1"/>
    </xf>
    <xf numFmtId="0" fontId="22" fillId="5" borderId="6" xfId="4495" applyFont="1" applyFill="1" applyBorder="1" applyAlignment="1" applyProtection="1">
      <alignment horizontal="center" vertical="center" wrapText="1" shrinkToFit="1"/>
      <protection locked="0"/>
    </xf>
    <xf numFmtId="0" fontId="22" fillId="5" borderId="6" xfId="4495" applyFont="1" applyFill="1" applyBorder="1" applyAlignment="1" applyProtection="1">
      <alignment horizontal="left" wrapText="1" shrinkToFit="1"/>
      <protection locked="0"/>
    </xf>
    <xf numFmtId="0" fontId="22"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30" fillId="0" borderId="0" xfId="4495" applyFont="1" applyAlignment="1">
      <alignment horizontal="center"/>
    </xf>
    <xf numFmtId="0" fontId="22" fillId="0" borderId="0" xfId="4495" applyFont="1" applyAlignment="1">
      <alignment wrapText="1"/>
    </xf>
    <xf numFmtId="0" fontId="22" fillId="0" borderId="0" xfId="4495" applyFont="1" applyAlignment="1">
      <alignment horizontal="left" vertical="top" wrapText="1" shrinkToFit="1"/>
    </xf>
    <xf numFmtId="44" fontId="22" fillId="0" borderId="0" xfId="707" applyFont="1" applyFill="1" applyBorder="1" applyAlignment="1" applyProtection="1">
      <alignment horizontal="left" vertical="top" wrapText="1"/>
    </xf>
    <xf numFmtId="0" fontId="29" fillId="0" borderId="0" xfId="4495" applyFont="1" applyAlignment="1">
      <alignment horizontal="left" vertical="top" wrapText="1"/>
    </xf>
    <xf numFmtId="0" fontId="22" fillId="45" borderId="11" xfId="4495" applyFont="1" applyFill="1" applyBorder="1" applyAlignment="1">
      <alignment horizontal="center"/>
    </xf>
    <xf numFmtId="0" fontId="132" fillId="0" borderId="0" xfId="4495" applyFont="1" applyAlignment="1">
      <alignment horizontal="left" vertical="center" wrapText="1"/>
    </xf>
    <xf numFmtId="0" fontId="29" fillId="0" borderId="11" xfId="4495" applyFont="1" applyBorder="1" applyAlignment="1">
      <alignment horizontal="center"/>
    </xf>
    <xf numFmtId="0" fontId="30" fillId="0" borderId="58" xfId="4495" applyFont="1" applyBorder="1" applyAlignment="1">
      <alignment horizontal="left" vertical="top" wrapText="1"/>
    </xf>
    <xf numFmtId="0" fontId="29" fillId="0" borderId="4" xfId="4495" applyFont="1" applyBorder="1" applyAlignment="1">
      <alignment horizontal="left"/>
    </xf>
    <xf numFmtId="0" fontId="29" fillId="0" borderId="5" xfId="4495" applyFont="1" applyBorder="1" applyAlignment="1">
      <alignment horizontal="left"/>
    </xf>
    <xf numFmtId="1" fontId="29" fillId="0" borderId="4" xfId="4495" applyNumberFormat="1" applyFont="1" applyBorder="1" applyAlignment="1">
      <alignment horizontal="center" wrapText="1"/>
    </xf>
    <xf numFmtId="0" fontId="29" fillId="0" borderId="4" xfId="4495" applyFont="1" applyBorder="1" applyAlignment="1">
      <alignment horizontal="center" wrapText="1"/>
    </xf>
    <xf numFmtId="0" fontId="29" fillId="0" borderId="5" xfId="4495" applyFont="1" applyBorder="1" applyAlignment="1">
      <alignment horizontal="center" wrapText="1"/>
    </xf>
    <xf numFmtId="0" fontId="29" fillId="0" borderId="3" xfId="4495" applyFont="1" applyBorder="1" applyAlignment="1">
      <alignment horizontal="center" wrapText="1"/>
    </xf>
    <xf numFmtId="0" fontId="22" fillId="0" borderId="50" xfId="4496" applyFont="1" applyBorder="1" applyAlignment="1">
      <alignment horizontal="left" wrapText="1"/>
    </xf>
    <xf numFmtId="0" fontId="22" fillId="0" borderId="51" xfId="4496" applyFont="1" applyBorder="1" applyAlignment="1">
      <alignment horizontal="left" wrapText="1"/>
    </xf>
    <xf numFmtId="0" fontId="22" fillId="0" borderId="52" xfId="4496" applyFont="1" applyBorder="1" applyAlignment="1">
      <alignment horizontal="left" wrapText="1"/>
    </xf>
    <xf numFmtId="0" fontId="22" fillId="0" borderId="53" xfId="4496" applyFont="1" applyBorder="1" applyAlignment="1">
      <alignment horizontal="left" wrapText="1"/>
    </xf>
    <xf numFmtId="0" fontId="22" fillId="0" borderId="0" xfId="4496" applyFont="1" applyAlignment="1">
      <alignment horizontal="left" wrapText="1"/>
    </xf>
    <xf numFmtId="0" fontId="22" fillId="0" borderId="54" xfId="4496" applyFont="1" applyBorder="1" applyAlignment="1">
      <alignment horizontal="left" wrapText="1"/>
    </xf>
    <xf numFmtId="0" fontId="22" fillId="0" borderId="57" xfId="4496" applyFont="1" applyBorder="1" applyAlignment="1">
      <alignment horizontal="left" wrapText="1"/>
    </xf>
    <xf numFmtId="0" fontId="22" fillId="0" borderId="58" xfId="4496" applyFont="1" applyBorder="1" applyAlignment="1">
      <alignment horizontal="left" wrapText="1"/>
    </xf>
    <xf numFmtId="0" fontId="22" fillId="0" borderId="59" xfId="4496" applyFont="1" applyBorder="1" applyAlignment="1">
      <alignment horizontal="left" wrapText="1"/>
    </xf>
    <xf numFmtId="1" fontId="22" fillId="0" borderId="4" xfId="4496" applyNumberFormat="1" applyFont="1" applyBorder="1" applyAlignment="1">
      <alignment horizontal="center"/>
    </xf>
    <xf numFmtId="1" fontId="22" fillId="0" borderId="5" xfId="4496" applyNumberFormat="1" applyFont="1" applyBorder="1" applyAlignment="1">
      <alignment horizontal="center"/>
    </xf>
    <xf numFmtId="49" fontId="28" fillId="3" borderId="2" xfId="4495" applyNumberFormat="1" applyFont="1" applyFill="1" applyBorder="1" applyAlignment="1">
      <alignment horizontal="center" vertical="center" wrapText="1"/>
    </xf>
    <xf numFmtId="49" fontId="28" fillId="3" borderId="2" xfId="4495" applyNumberFormat="1" applyFont="1" applyFill="1" applyBorder="1" applyAlignment="1">
      <alignment horizontal="center" vertical="center"/>
    </xf>
    <xf numFmtId="49" fontId="28" fillId="3" borderId="0" xfId="4495" applyNumberFormat="1" applyFont="1" applyFill="1" applyAlignment="1">
      <alignment horizontal="center" vertical="center"/>
    </xf>
    <xf numFmtId="0" fontId="29" fillId="0" borderId="1" xfId="4495" applyFont="1" applyBorder="1" applyAlignment="1">
      <alignment horizontal="center" wrapText="1"/>
    </xf>
    <xf numFmtId="0" fontId="29" fillId="0" borderId="2" xfId="4495" applyFont="1" applyBorder="1" applyAlignment="1">
      <alignment horizontal="center" wrapText="1"/>
    </xf>
    <xf numFmtId="0" fontId="29" fillId="0" borderId="7" xfId="4495" applyFont="1" applyBorder="1" applyAlignment="1">
      <alignment horizontal="center" wrapText="1"/>
    </xf>
    <xf numFmtId="0" fontId="29" fillId="0" borderId="9" xfId="4495" applyFont="1" applyBorder="1" applyAlignment="1">
      <alignment horizontal="center" wrapText="1"/>
    </xf>
    <xf numFmtId="0" fontId="29" fillId="0" borderId="6" xfId="4495" applyFont="1" applyBorder="1" applyAlignment="1">
      <alignment horizontal="center" wrapText="1"/>
    </xf>
    <xf numFmtId="0" fontId="29" fillId="0" borderId="10" xfId="4495" applyFont="1" applyBorder="1" applyAlignment="1">
      <alignment horizontal="center" wrapText="1"/>
    </xf>
    <xf numFmtId="1" fontId="29" fillId="0" borderId="11" xfId="4495" applyNumberFormat="1" applyFont="1" applyBorder="1" applyAlignment="1">
      <alignment horizontal="center"/>
    </xf>
    <xf numFmtId="0" fontId="22" fillId="0" borderId="4" xfId="4495" applyFont="1" applyBorder="1" applyAlignment="1">
      <alignment horizontal="left"/>
    </xf>
    <xf numFmtId="0" fontId="22" fillId="0" borderId="5" xfId="4495" applyFont="1" applyBorder="1" applyAlignment="1">
      <alignment horizontal="left"/>
    </xf>
    <xf numFmtId="1" fontId="22" fillId="46" borderId="11" xfId="4495" applyNumberFormat="1" applyFont="1" applyFill="1" applyBorder="1" applyAlignment="1">
      <alignment horizontal="center"/>
    </xf>
    <xf numFmtId="0" fontId="22" fillId="5" borderId="11" xfId="4495" applyFont="1" applyFill="1" applyBorder="1" applyAlignment="1" applyProtection="1">
      <alignment horizontal="center"/>
      <protection locked="0"/>
    </xf>
    <xf numFmtId="0" fontId="29" fillId="0" borderId="3" xfId="4495" applyFont="1" applyBorder="1" applyAlignment="1">
      <alignment horizontal="center"/>
    </xf>
    <xf numFmtId="0" fontId="29" fillId="0" borderId="4" xfId="4495" applyFont="1" applyBorder="1" applyAlignment="1">
      <alignment horizontal="center"/>
    </xf>
    <xf numFmtId="0" fontId="29" fillId="0" borderId="5" xfId="4495" applyFont="1" applyBorder="1" applyAlignment="1">
      <alignment horizontal="center"/>
    </xf>
    <xf numFmtId="164" fontId="69" fillId="0" borderId="1" xfId="4495" applyNumberFormat="1" applyFont="1" applyBorder="1" applyAlignment="1">
      <alignment horizontal="right" vertical="center"/>
    </xf>
    <xf numFmtId="164" fontId="69" fillId="0" borderId="2" xfId="4495" applyNumberFormat="1" applyFont="1" applyBorder="1" applyAlignment="1">
      <alignment horizontal="right" vertical="center"/>
    </xf>
    <xf numFmtId="164" fontId="69" fillId="0" borderId="7" xfId="4495" applyNumberFormat="1" applyFont="1" applyBorder="1" applyAlignment="1">
      <alignment horizontal="right" vertical="center"/>
    </xf>
    <xf numFmtId="164" fontId="69" fillId="0" borderId="9" xfId="4495" applyNumberFormat="1" applyFont="1" applyBorder="1" applyAlignment="1">
      <alignment horizontal="right" vertical="center"/>
    </xf>
    <xf numFmtId="164" fontId="69" fillId="0" borderId="6" xfId="4495" applyNumberFormat="1" applyFont="1" applyBorder="1" applyAlignment="1">
      <alignment horizontal="right" vertical="center"/>
    </xf>
    <xf numFmtId="164" fontId="69" fillId="0" borderId="10" xfId="4495" applyNumberFormat="1" applyFont="1" applyBorder="1" applyAlignment="1">
      <alignment horizontal="right" vertical="center"/>
    </xf>
    <xf numFmtId="180" fontId="69" fillId="0" borderId="1" xfId="4495" applyNumberFormat="1" applyFont="1" applyBorder="1" applyAlignment="1">
      <alignment horizontal="center" vertical="center"/>
    </xf>
    <xf numFmtId="180" fontId="69" fillId="0" borderId="2" xfId="4495" applyNumberFormat="1" applyFont="1" applyBorder="1" applyAlignment="1">
      <alignment horizontal="center" vertical="center"/>
    </xf>
    <xf numFmtId="180" fontId="69" fillId="0" borderId="7" xfId="4495" applyNumberFormat="1" applyFont="1" applyBorder="1" applyAlignment="1">
      <alignment horizontal="center" vertical="center"/>
    </xf>
    <xf numFmtId="180" fontId="69" fillId="0" borderId="9" xfId="4495" applyNumberFormat="1" applyFont="1" applyBorder="1" applyAlignment="1">
      <alignment horizontal="center" vertical="center"/>
    </xf>
    <xf numFmtId="180" fontId="69" fillId="0" borderId="6" xfId="4495" applyNumberFormat="1" applyFont="1" applyBorder="1" applyAlignment="1">
      <alignment horizontal="center" vertical="center"/>
    </xf>
    <xf numFmtId="180" fontId="69" fillId="0" borderId="10" xfId="4495" applyNumberFormat="1" applyFont="1" applyBorder="1" applyAlignment="1">
      <alignment horizontal="center" vertical="center"/>
    </xf>
    <xf numFmtId="0" fontId="123" fillId="0" borderId="53" xfId="4495" applyBorder="1" applyAlignment="1">
      <alignment horizontal="center"/>
    </xf>
    <xf numFmtId="0" fontId="123" fillId="0" borderId="0" xfId="4495" applyAlignment="1">
      <alignment horizontal="center"/>
    </xf>
    <xf numFmtId="0" fontId="30" fillId="5" borderId="0" xfId="4495" applyFont="1" applyFill="1" applyAlignment="1">
      <alignment horizontal="left" vertical="top"/>
    </xf>
    <xf numFmtId="0" fontId="123" fillId="5" borderId="53" xfId="4495" applyFill="1" applyBorder="1" applyAlignment="1">
      <alignment horizontal="center"/>
    </xf>
    <xf numFmtId="0" fontId="123" fillId="5" borderId="0" xfId="4495" applyFill="1" applyAlignment="1">
      <alignment horizontal="center"/>
    </xf>
    <xf numFmtId="0" fontId="123" fillId="5" borderId="55" xfId="4495" applyFill="1" applyBorder="1" applyAlignment="1">
      <alignment horizontal="center"/>
    </xf>
    <xf numFmtId="0" fontId="123" fillId="5" borderId="6" xfId="4495" applyFill="1" applyBorder="1" applyAlignment="1">
      <alignment horizontal="center"/>
    </xf>
    <xf numFmtId="0" fontId="30" fillId="5" borderId="0" xfId="4495" applyFont="1" applyFill="1" applyAlignment="1">
      <alignment horizontal="left" vertical="top" wrapText="1"/>
    </xf>
    <xf numFmtId="0" fontId="30" fillId="5" borderId="58" xfId="4495" applyFont="1" applyFill="1" applyBorder="1" applyAlignment="1">
      <alignment horizontal="left" vertical="top" wrapText="1"/>
    </xf>
    <xf numFmtId="0" fontId="29" fillId="0" borderId="51" xfId="4495" applyFont="1" applyBorder="1" applyAlignment="1">
      <alignment horizontal="center" vertical="top"/>
    </xf>
    <xf numFmtId="0" fontId="29" fillId="0" borderId="52" xfId="4495" applyFont="1" applyBorder="1" applyAlignment="1">
      <alignment horizontal="center" vertical="top"/>
    </xf>
    <xf numFmtId="168" fontId="22" fillId="43" borderId="6" xfId="543" applyNumberFormat="1" applyFill="1" applyBorder="1" applyAlignment="1" applyProtection="1">
      <alignment horizontal="center"/>
      <protection locked="0"/>
    </xf>
    <xf numFmtId="0" fontId="22" fillId="0" borderId="6" xfId="1192" applyBorder="1" applyAlignment="1">
      <alignment horizontal="right"/>
    </xf>
    <xf numFmtId="10" fontId="30" fillId="0" borderId="2" xfId="4495" applyNumberFormat="1" applyFont="1" applyBorder="1" applyAlignment="1">
      <alignment horizontal="center"/>
    </xf>
    <xf numFmtId="4" fontId="30" fillId="0" borderId="0" xfId="4495" applyNumberFormat="1" applyFont="1" applyAlignment="1">
      <alignment horizontal="center"/>
    </xf>
    <xf numFmtId="9" fontId="30" fillId="5" borderId="6" xfId="4495" applyNumberFormat="1" applyFont="1" applyFill="1" applyBorder="1" applyAlignment="1">
      <alignment horizontal="left"/>
    </xf>
    <xf numFmtId="0" fontId="38" fillId="42" borderId="2" xfId="4495" applyFont="1" applyFill="1" applyBorder="1" applyAlignment="1">
      <alignment horizontal="center"/>
    </xf>
    <xf numFmtId="0" fontId="38" fillId="42" borderId="6" xfId="4495" applyFont="1" applyFill="1" applyBorder="1" applyAlignment="1">
      <alignment horizontal="center"/>
    </xf>
    <xf numFmtId="168" fontId="22" fillId="0" borderId="4" xfId="4496" applyNumberFormat="1" applyFont="1" applyBorder="1" applyAlignment="1">
      <alignment horizontal="center"/>
    </xf>
    <xf numFmtId="9" fontId="22" fillId="0" borderId="4" xfId="4496" applyNumberFormat="1" applyFont="1" applyBorder="1" applyAlignment="1">
      <alignment horizontal="center"/>
    </xf>
    <xf numFmtId="168" fontId="22" fillId="0" borderId="6" xfId="1192" applyNumberFormat="1" applyBorder="1" applyAlignment="1">
      <alignment horizontal="right"/>
    </xf>
    <xf numFmtId="168" fontId="22" fillId="43" borderId="6" xfId="1192" applyNumberFormat="1" applyFill="1" applyBorder="1" applyAlignment="1" applyProtection="1">
      <alignment horizontal="right"/>
      <protection locked="0"/>
    </xf>
    <xf numFmtId="0" fontId="30" fillId="5" borderId="58" xfId="4495" applyFont="1" applyFill="1" applyBorder="1" applyAlignment="1">
      <alignment horizontal="left"/>
    </xf>
    <xf numFmtId="0" fontId="58" fillId="0" borderId="51" xfId="4495" applyFont="1" applyBorder="1" applyAlignment="1">
      <alignment horizontal="left" vertical="top" wrapText="1"/>
    </xf>
    <xf numFmtId="0" fontId="58" fillId="0" borderId="0" xfId="4495" applyFont="1" applyAlignment="1">
      <alignment horizontal="left" vertical="top" wrapText="1"/>
    </xf>
    <xf numFmtId="9" fontId="30" fillId="5" borderId="58" xfId="4495" applyNumberFormat="1" applyFont="1" applyFill="1" applyBorder="1" applyAlignment="1">
      <alignment horizontal="left"/>
    </xf>
    <xf numFmtId="0" fontId="30" fillId="5" borderId="6" xfId="4495" applyFont="1" applyFill="1" applyBorder="1" applyAlignment="1">
      <alignment horizontal="left"/>
    </xf>
    <xf numFmtId="4" fontId="30" fillId="0" borderId="3" xfId="4495" applyNumberFormat="1" applyFont="1" applyBorder="1" applyAlignment="1">
      <alignment horizontal="center"/>
    </xf>
    <xf numFmtId="4" fontId="30" fillId="0" borderId="4" xfId="4495" applyNumberFormat="1" applyFont="1" applyBorder="1" applyAlignment="1">
      <alignment horizontal="center"/>
    </xf>
    <xf numFmtId="4" fontId="30" fillId="0" borderId="5" xfId="4495" applyNumberFormat="1" applyFont="1" applyBorder="1" applyAlignment="1">
      <alignment horizontal="center"/>
    </xf>
    <xf numFmtId="165" fontId="125" fillId="0" borderId="3" xfId="4496" applyNumberFormat="1" applyFont="1" applyBorder="1" applyAlignment="1">
      <alignment horizontal="center" vertical="top" wrapText="1"/>
    </xf>
    <xf numFmtId="165" fontId="125" fillId="0" borderId="5" xfId="4496" applyNumberFormat="1" applyFont="1" applyBorder="1" applyAlignment="1">
      <alignment horizontal="center" vertical="top" wrapText="1"/>
    </xf>
    <xf numFmtId="3" fontId="22" fillId="43" borderId="6" xfId="1192" applyNumberFormat="1" applyFill="1" applyBorder="1" applyAlignment="1" applyProtection="1">
      <alignment horizontal="right"/>
      <protection locked="0"/>
    </xf>
    <xf numFmtId="0" fontId="144" fillId="0" borderId="0" xfId="1192" applyFont="1" applyAlignment="1">
      <alignment horizontal="center"/>
    </xf>
    <xf numFmtId="4" fontId="30" fillId="0" borderId="6" xfId="4495" applyNumberFormat="1" applyFont="1" applyBorder="1" applyAlignment="1">
      <alignment horizontal="center"/>
    </xf>
    <xf numFmtId="0" fontId="29" fillId="0" borderId="0" xfId="4495" applyFont="1" applyAlignment="1">
      <alignment horizontal="left" wrapText="1"/>
    </xf>
    <xf numFmtId="164" fontId="22" fillId="0" borderId="50" xfId="4495" applyNumberFormat="1" applyFont="1" applyBorder="1" applyAlignment="1">
      <alignment horizontal="left" vertical="top" wrapText="1"/>
    </xf>
    <xf numFmtId="164" fontId="22" fillId="0" borderId="51" xfId="4495" applyNumberFormat="1" applyFont="1" applyBorder="1" applyAlignment="1">
      <alignment horizontal="left" vertical="top" wrapText="1"/>
    </xf>
    <xf numFmtId="164" fontId="22" fillId="0" borderId="52" xfId="4495" applyNumberFormat="1" applyFont="1" applyBorder="1" applyAlignment="1">
      <alignment horizontal="left" vertical="top" wrapText="1"/>
    </xf>
    <xf numFmtId="164" fontId="22" fillId="0" borderId="53" xfId="4495" applyNumberFormat="1" applyFont="1" applyBorder="1" applyAlignment="1">
      <alignment horizontal="left" vertical="top" wrapText="1"/>
    </xf>
    <xf numFmtId="164" fontId="22" fillId="0" borderId="0" xfId="4495" applyNumberFormat="1" applyFont="1" applyAlignment="1">
      <alignment horizontal="left" vertical="top" wrapText="1"/>
    </xf>
    <xf numFmtId="164" fontId="22" fillId="0" borderId="54" xfId="4495" applyNumberFormat="1" applyFont="1" applyBorder="1" applyAlignment="1">
      <alignment horizontal="left" vertical="top" wrapText="1"/>
    </xf>
    <xf numFmtId="164" fontId="22" fillId="0" borderId="57" xfId="4495" applyNumberFormat="1" applyFont="1" applyBorder="1" applyAlignment="1">
      <alignment horizontal="left" vertical="top" wrapText="1"/>
    </xf>
    <xf numFmtId="164" fontId="22" fillId="0" borderId="58" xfId="4495" applyNumberFormat="1" applyFont="1" applyBorder="1" applyAlignment="1">
      <alignment horizontal="left" vertical="top" wrapText="1"/>
    </xf>
    <xf numFmtId="164" fontId="22" fillId="0" borderId="59" xfId="4495" applyNumberFormat="1" applyFont="1" applyBorder="1" applyAlignment="1">
      <alignment horizontal="left" vertical="top" wrapText="1"/>
    </xf>
    <xf numFmtId="168" fontId="22" fillId="0" borderId="4" xfId="1192" applyNumberFormat="1" applyBorder="1" applyAlignment="1">
      <alignment horizontal="right"/>
    </xf>
    <xf numFmtId="0" fontId="121" fillId="0" borderId="4" xfId="1192" applyFont="1" applyBorder="1" applyAlignment="1">
      <alignment horizontal="left"/>
    </xf>
    <xf numFmtId="0" fontId="123" fillId="5" borderId="62" xfId="4495" applyFill="1" applyBorder="1" applyAlignment="1">
      <alignment horizontal="center"/>
    </xf>
    <xf numFmtId="0" fontId="123" fillId="5" borderId="63" xfId="4495" applyFill="1" applyBorder="1" applyAlignment="1">
      <alignment horizontal="center"/>
    </xf>
    <xf numFmtId="0" fontId="28" fillId="3" borderId="0" xfId="0" applyFont="1" applyFill="1" applyAlignment="1">
      <alignment horizontal="center" vertical="center" wrapText="1"/>
    </xf>
    <xf numFmtId="0" fontId="28" fillId="3" borderId="16" xfId="0" applyFont="1" applyFill="1" applyBorder="1" applyAlignment="1">
      <alignment horizontal="center" vertical="center" wrapText="1"/>
    </xf>
    <xf numFmtId="0" fontId="22" fillId="0" borderId="0" xfId="0" applyFont="1" applyAlignment="1">
      <alignment horizontal="left" vertical="top" wrapText="1"/>
    </xf>
    <xf numFmtId="0" fontId="108" fillId="0" borderId="0" xfId="0" applyFont="1" applyAlignment="1">
      <alignment horizontal="left" vertical="top" wrapText="1"/>
    </xf>
    <xf numFmtId="0" fontId="23" fillId="0" borderId="0" xfId="244" applyAlignment="1">
      <alignment horizontal="left" vertical="top"/>
    </xf>
    <xf numFmtId="0" fontId="51" fillId="0" borderId="0" xfId="0" applyFont="1" applyAlignment="1">
      <alignment horizontal="left" vertical="top" wrapText="1"/>
    </xf>
    <xf numFmtId="0" fontId="116" fillId="0" borderId="0" xfId="0" applyFont="1" applyAlignment="1">
      <alignment horizontal="left" wrapText="1"/>
    </xf>
    <xf numFmtId="0" fontId="22" fillId="0" borderId="0" xfId="0" applyFont="1" applyAlignment="1">
      <alignment horizontal="left" wrapText="1"/>
    </xf>
    <xf numFmtId="0" fontId="31" fillId="0" borderId="0" xfId="0" applyFont="1" applyAlignment="1">
      <alignment horizontal="left" wrapText="1"/>
    </xf>
    <xf numFmtId="0" fontId="23" fillId="0" borderId="0" xfId="244" applyAlignment="1" applyProtection="1">
      <alignment horizontal="left"/>
    </xf>
    <xf numFmtId="0" fontId="23" fillId="0" borderId="0" xfId="244"/>
    <xf numFmtId="0" fontId="0" fillId="0" borderId="0" xfId="0"/>
    <xf numFmtId="0" fontId="22" fillId="0" borderId="0" xfId="1192" applyAlignment="1">
      <alignment horizontal="left" vertical="top" wrapText="1"/>
    </xf>
    <xf numFmtId="0" fontId="29" fillId="0" borderId="0" xfId="0" applyFont="1" applyAlignment="1">
      <alignment horizontal="left" vertical="top" wrapText="1"/>
    </xf>
    <xf numFmtId="0" fontId="117" fillId="0" borderId="0" xfId="569" applyFont="1" applyAlignment="1">
      <alignment horizontal="center"/>
    </xf>
    <xf numFmtId="0" fontId="118" fillId="0" borderId="0" xfId="569" applyFont="1"/>
    <xf numFmtId="0" fontId="22" fillId="0" borderId="0" xfId="569" applyAlignment="1">
      <alignment wrapText="1"/>
    </xf>
    <xf numFmtId="0" fontId="29" fillId="0" borderId="0" xfId="569" applyFont="1" applyAlignment="1">
      <alignment wrapText="1"/>
    </xf>
    <xf numFmtId="0" fontId="37" fillId="0" borderId="0" xfId="569" applyFont="1" applyAlignment="1">
      <alignment horizontal="center"/>
    </xf>
    <xf numFmtId="0" fontId="22" fillId="0" borderId="0" xfId="569"/>
    <xf numFmtId="0" fontId="22" fillId="0" borderId="0" xfId="1192" applyAlignment="1">
      <alignment vertical="top" wrapText="1"/>
    </xf>
    <xf numFmtId="0" fontId="22" fillId="0" borderId="0" xfId="0" applyFont="1" applyAlignment="1">
      <alignment horizontal="left" vertical="top"/>
    </xf>
    <xf numFmtId="4" fontId="22" fillId="0" borderId="0" xfId="569" applyNumberFormat="1" applyAlignment="1">
      <alignment horizontal="left"/>
    </xf>
    <xf numFmtId="0" fontId="40" fillId="0" borderId="0" xfId="569" applyFont="1" applyAlignment="1">
      <alignment horizontal="left" vertical="top"/>
    </xf>
    <xf numFmtId="4" fontId="40" fillId="0" borderId="0" xfId="0" applyNumberFormat="1" applyFont="1" applyAlignment="1">
      <alignment horizontal="left"/>
    </xf>
    <xf numFmtId="4" fontId="22" fillId="0" borderId="0" xfId="0" applyNumberFormat="1" applyFont="1" applyAlignment="1">
      <alignment horizontal="left"/>
    </xf>
    <xf numFmtId="0" fontId="29" fillId="0" borderId="4" xfId="0" applyFont="1" applyBorder="1" applyAlignment="1">
      <alignment horizontal="left"/>
    </xf>
    <xf numFmtId="0" fontId="40" fillId="0" borderId="0" xfId="0" applyFont="1" applyAlignment="1">
      <alignment horizontal="left" vertical="top"/>
    </xf>
    <xf numFmtId="49" fontId="22" fillId="0" borderId="0" xfId="0" applyNumberFormat="1" applyFont="1" applyAlignment="1">
      <alignment horizontal="left" vertical="top" wrapText="1"/>
    </xf>
    <xf numFmtId="0" fontId="40" fillId="0" borderId="0" xfId="0" applyFont="1" applyAlignment="1">
      <alignment horizontal="left"/>
    </xf>
    <xf numFmtId="0" fontId="22" fillId="0" borderId="0" xfId="0" applyFont="1" applyAlignment="1">
      <alignment horizontal="left"/>
    </xf>
    <xf numFmtId="0" fontId="29" fillId="0" borderId="0" xfId="0" applyFont="1" applyAlignment="1">
      <alignment vertical="top" wrapText="1"/>
    </xf>
    <xf numFmtId="4" fontId="22" fillId="0" borderId="0" xfId="0" applyNumberFormat="1" applyFont="1" applyAlignment="1">
      <alignment horizontal="left" vertical="top" wrapText="1"/>
    </xf>
    <xf numFmtId="0" fontId="22" fillId="0" borderId="0" xfId="0" applyFont="1" applyAlignment="1">
      <alignment horizontal="left" vertical="center" wrapText="1"/>
    </xf>
    <xf numFmtId="0" fontId="22" fillId="0" borderId="0" xfId="569" applyAlignment="1">
      <alignment horizontal="left" wrapText="1"/>
    </xf>
    <xf numFmtId="0" fontId="22" fillId="0" borderId="0" xfId="0" applyFont="1" applyAlignment="1">
      <alignment vertical="top" wrapText="1"/>
    </xf>
    <xf numFmtId="0" fontId="23" fillId="0" borderId="0" xfId="244" applyFill="1" applyBorder="1" applyAlignment="1">
      <alignment horizontal="left" vertical="top" wrapText="1"/>
    </xf>
    <xf numFmtId="0" fontId="22" fillId="0" borderId="0" xfId="0" applyFont="1" applyAlignment="1">
      <alignment vertical="center" wrapText="1"/>
    </xf>
    <xf numFmtId="0" fontId="29" fillId="0" borderId="0" xfId="1192" applyFont="1" applyAlignment="1">
      <alignment horizontal="left" vertical="top" wrapText="1"/>
    </xf>
    <xf numFmtId="4" fontId="22" fillId="0" borderId="0" xfId="569" applyNumberFormat="1" applyAlignment="1">
      <alignment horizontal="left" vertical="top" wrapText="1"/>
    </xf>
    <xf numFmtId="0" fontId="22" fillId="0" borderId="0" xfId="569" applyAlignment="1">
      <alignment horizontal="left" vertical="top" wrapText="1"/>
    </xf>
    <xf numFmtId="0" fontId="29" fillId="0" borderId="4" xfId="569" applyFont="1" applyBorder="1" applyAlignment="1">
      <alignment horizontal="left"/>
    </xf>
    <xf numFmtId="0" fontId="22" fillId="0" borderId="0" xfId="569" applyAlignment="1">
      <alignment horizontal="left"/>
    </xf>
    <xf numFmtId="0" fontId="40" fillId="0" borderId="0" xfId="569" applyFont="1" applyAlignment="1">
      <alignment horizontal="left"/>
    </xf>
    <xf numFmtId="0" fontId="29" fillId="0" borderId="4" xfId="569" applyFont="1" applyBorder="1" applyAlignment="1">
      <alignment horizontal="left" vertical="top"/>
    </xf>
    <xf numFmtId="0" fontId="23" fillId="0" borderId="0" xfId="244" quotePrefix="1" applyAlignment="1" applyProtection="1">
      <alignment horizontal="left"/>
    </xf>
    <xf numFmtId="0" fontId="22" fillId="0" borderId="0" xfId="569" applyAlignment="1">
      <alignment horizontal="left" vertical="top"/>
    </xf>
    <xf numFmtId="0" fontId="22" fillId="0" borderId="0" xfId="0" quotePrefix="1" applyFont="1" applyAlignment="1">
      <alignment horizontal="left" vertical="top"/>
    </xf>
    <xf numFmtId="0" fontId="40" fillId="0" borderId="0" xfId="0" applyFont="1" applyAlignment="1">
      <alignment horizontal="left" vertical="top" wrapText="1"/>
    </xf>
    <xf numFmtId="0" fontId="22" fillId="0" borderId="0" xfId="0" quotePrefix="1" applyFont="1" applyAlignment="1">
      <alignment horizontal="left" vertical="top" wrapText="1"/>
    </xf>
    <xf numFmtId="0" fontId="22" fillId="0" borderId="0" xfId="1192" applyAlignment="1">
      <alignment horizontal="left"/>
    </xf>
    <xf numFmtId="0" fontId="29" fillId="0" borderId="16" xfId="569" applyFont="1" applyBorder="1" applyAlignment="1">
      <alignment horizontal="left"/>
    </xf>
    <xf numFmtId="4" fontId="40" fillId="0" borderId="0" xfId="569" applyNumberFormat="1" applyFont="1" applyAlignment="1">
      <alignment horizontal="left" vertical="top" wrapText="1"/>
    </xf>
    <xf numFmtId="0" fontId="22" fillId="0" borderId="0" xfId="1192" applyAlignment="1" applyProtection="1">
      <alignment horizontal="left" vertical="top" wrapText="1"/>
      <protection locked="0"/>
    </xf>
    <xf numFmtId="0" fontId="0" fillId="0" borderId="0" xfId="0" applyAlignment="1">
      <alignment horizontal="left" vertical="top" wrapText="1"/>
    </xf>
    <xf numFmtId="0" fontId="40" fillId="0" borderId="0" xfId="1192" applyFont="1" applyAlignment="1">
      <alignment horizontal="left" vertical="top" wrapText="1"/>
    </xf>
    <xf numFmtId="4" fontId="22" fillId="0" borderId="0" xfId="1192" applyNumberFormat="1" applyAlignment="1">
      <alignment horizontal="left" vertical="top" wrapText="1"/>
    </xf>
    <xf numFmtId="0" fontId="22" fillId="0" borderId="0" xfId="569" applyAlignment="1">
      <alignment vertical="top" wrapText="1"/>
    </xf>
    <xf numFmtId="4" fontId="40" fillId="0" borderId="0" xfId="0" applyNumberFormat="1" applyFont="1" applyAlignment="1">
      <alignment horizontal="left" vertical="top" wrapText="1"/>
    </xf>
    <xf numFmtId="0" fontId="29" fillId="0" borderId="4" xfId="0" applyFont="1" applyBorder="1" applyAlignment="1">
      <alignment horizontal="left" vertical="top"/>
    </xf>
    <xf numFmtId="0" fontId="40" fillId="0" borderId="0" xfId="569" applyFont="1" applyAlignment="1">
      <alignment horizontal="left" vertical="top" wrapText="1"/>
    </xf>
    <xf numFmtId="0" fontId="22" fillId="0" borderId="27" xfId="569" applyBorder="1" applyAlignment="1">
      <alignment horizontal="left"/>
    </xf>
    <xf numFmtId="0" fontId="29" fillId="0" borderId="0" xfId="569" applyFont="1" applyAlignment="1">
      <alignment horizontal="center"/>
    </xf>
    <xf numFmtId="0" fontId="23" fillId="0" borderId="0" xfId="244" applyNumberFormat="1" applyFill="1" applyAlignment="1" applyProtection="1">
      <alignment horizontal="left"/>
    </xf>
    <xf numFmtId="0" fontId="40" fillId="0" borderId="0" xfId="569" applyFont="1" applyAlignment="1">
      <alignment horizontal="left" wrapText="1"/>
    </xf>
    <xf numFmtId="0" fontId="40" fillId="0" borderId="0" xfId="569" applyFont="1" applyAlignment="1">
      <alignment horizontal="center" wrapText="1"/>
    </xf>
    <xf numFmtId="49" fontId="22" fillId="0" borderId="0" xfId="1192" applyNumberFormat="1" applyAlignment="1">
      <alignment horizontal="left" vertical="top" wrapText="1"/>
    </xf>
    <xf numFmtId="0" fontId="22" fillId="0" borderId="0" xfId="569" applyAlignment="1">
      <alignment horizontal="left" vertical="center" wrapText="1"/>
    </xf>
    <xf numFmtId="0" fontId="29" fillId="0" borderId="0" xfId="0" applyFont="1" applyAlignment="1">
      <alignment horizontal="left" vertical="top"/>
    </xf>
    <xf numFmtId="0" fontId="29" fillId="0" borderId="0" xfId="569" applyFont="1" applyAlignment="1">
      <alignment horizontal="left"/>
    </xf>
    <xf numFmtId="0" fontId="40" fillId="0" borderId="0" xfId="1192" applyFont="1" applyAlignment="1">
      <alignment horizontal="left"/>
    </xf>
    <xf numFmtId="0" fontId="23" fillId="0" borderId="0" xfId="244" applyAlignment="1" applyProtection="1">
      <alignment horizontal="left" vertical="top" wrapText="1"/>
    </xf>
    <xf numFmtId="0" fontId="40" fillId="0" borderId="0" xfId="569" applyFont="1" applyAlignment="1">
      <alignment horizontal="center"/>
    </xf>
    <xf numFmtId="0" fontId="0" fillId="5" borderId="6" xfId="0" applyFill="1" applyBorder="1" applyAlignment="1" applyProtection="1">
      <alignment horizontal="center"/>
      <protection locked="0"/>
    </xf>
    <xf numFmtId="0" fontId="31" fillId="0" borderId="0" xfId="543" applyFont="1" applyAlignment="1">
      <alignment horizontal="center"/>
    </xf>
    <xf numFmtId="0" fontId="0" fillId="0" borderId="0" xfId="0" applyAlignment="1">
      <alignment horizontal="center"/>
    </xf>
    <xf numFmtId="0" fontId="22" fillId="0" borderId="0" xfId="543" applyAlignment="1">
      <alignment wrapText="1"/>
    </xf>
    <xf numFmtId="168" fontId="22" fillId="5" borderId="3"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68" fontId="22" fillId="5" borderId="5" xfId="0" applyNumberFormat="1" applyFont="1" applyFill="1" applyBorder="1" applyAlignment="1" applyProtection="1">
      <alignment horizontal="right"/>
      <protection locked="0"/>
    </xf>
    <xf numFmtId="0" fontId="22" fillId="5" borderId="11" xfId="0" applyFont="1" applyFill="1" applyBorder="1" applyAlignment="1" applyProtection="1">
      <alignment horizontal="left" vertical="center" wrapText="1"/>
      <protection locked="0"/>
    </xf>
    <xf numFmtId="0" fontId="29"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1" fontId="31" fillId="5" borderId="3" xfId="0" applyNumberFormat="1" applyFont="1" applyFill="1" applyBorder="1" applyAlignment="1" applyProtection="1">
      <alignment horizontal="center"/>
      <protection locked="0"/>
    </xf>
    <xf numFmtId="1" fontId="31" fillId="5" borderId="4" xfId="0" applyNumberFormat="1" applyFont="1" applyFill="1" applyBorder="1" applyAlignment="1" applyProtection="1">
      <alignment horizontal="center"/>
      <protection locked="0"/>
    </xf>
    <xf numFmtId="1" fontId="3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31" fillId="5" borderId="3" xfId="0" applyFont="1" applyFill="1" applyBorder="1" applyAlignment="1" applyProtection="1">
      <alignment horizontal="center"/>
      <protection locked="0"/>
    </xf>
    <xf numFmtId="0" fontId="31" fillId="5" borderId="4" xfId="0" applyFont="1" applyFill="1" applyBorder="1" applyAlignment="1" applyProtection="1">
      <alignment horizontal="center"/>
      <protection locked="0"/>
    </xf>
    <xf numFmtId="0" fontId="31" fillId="5" borderId="5" xfId="0" applyFont="1" applyFill="1" applyBorder="1" applyAlignment="1" applyProtection="1">
      <alignment horizontal="center"/>
      <protection locked="0"/>
    </xf>
    <xf numFmtId="168" fontId="22" fillId="0" borderId="1" xfId="543" applyNumberFormat="1" applyBorder="1" applyAlignment="1">
      <alignment horizontal="center" vertical="center"/>
    </xf>
    <xf numFmtId="168" fontId="22" fillId="0" borderId="2" xfId="543" applyNumberFormat="1" applyBorder="1" applyAlignment="1">
      <alignment horizontal="center" vertical="center"/>
    </xf>
    <xf numFmtId="168" fontId="22" fillId="0" borderId="7" xfId="543" applyNumberFormat="1" applyBorder="1" applyAlignment="1">
      <alignment horizontal="center" vertical="center"/>
    </xf>
    <xf numFmtId="168" fontId="22" fillId="0" borderId="8" xfId="543" applyNumberFormat="1" applyBorder="1" applyAlignment="1">
      <alignment horizontal="center" vertical="center"/>
    </xf>
    <xf numFmtId="168" fontId="22" fillId="0" borderId="0" xfId="543" applyNumberFormat="1" applyAlignment="1">
      <alignment horizontal="center" vertical="center"/>
    </xf>
    <xf numFmtId="168" fontId="22" fillId="0" borderId="12" xfId="543" applyNumberFormat="1" applyBorder="1" applyAlignment="1">
      <alignment horizontal="center" vertical="center"/>
    </xf>
    <xf numFmtId="168" fontId="22" fillId="0" borderId="9" xfId="543" applyNumberFormat="1" applyBorder="1" applyAlignment="1">
      <alignment horizontal="center" vertical="center"/>
    </xf>
    <xf numFmtId="168" fontId="22" fillId="0" borderId="6" xfId="543" applyNumberFormat="1" applyBorder="1" applyAlignment="1">
      <alignment horizontal="center" vertical="center"/>
    </xf>
    <xf numFmtId="168" fontId="22"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8" fillId="5" borderId="3" xfId="0" applyFont="1" applyFill="1" applyBorder="1" applyAlignment="1" applyProtection="1">
      <alignment horizontal="right"/>
      <protection locked="0"/>
    </xf>
    <xf numFmtId="0" fontId="58" fillId="5" borderId="4" xfId="0" applyFont="1" applyFill="1" applyBorder="1" applyAlignment="1" applyProtection="1">
      <alignment horizontal="right"/>
      <protection locked="0"/>
    </xf>
    <xf numFmtId="0" fontId="58" fillId="5" borderId="5" xfId="0" applyFont="1" applyFill="1" applyBorder="1" applyAlignment="1" applyProtection="1">
      <alignment horizontal="right"/>
      <protection locked="0"/>
    </xf>
    <xf numFmtId="182" fontId="30"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2" fillId="5" borderId="4" xfId="0" applyFont="1" applyFill="1" applyBorder="1" applyAlignment="1" applyProtection="1">
      <alignment wrapText="1"/>
      <protection locked="0"/>
    </xf>
    <xf numFmtId="0" fontId="31" fillId="5" borderId="4" xfId="0" applyFont="1" applyFill="1" applyBorder="1" applyAlignment="1" applyProtection="1">
      <alignment wrapText="1"/>
      <protection locked="0"/>
    </xf>
    <xf numFmtId="168" fontId="22" fillId="10" borderId="3" xfId="543" applyNumberFormat="1" applyFill="1" applyBorder="1" applyAlignment="1">
      <alignment horizontal="center"/>
    </xf>
    <xf numFmtId="168" fontId="22" fillId="10" borderId="4" xfId="543" applyNumberFormat="1" applyFill="1" applyBorder="1" applyAlignment="1">
      <alignment horizontal="center"/>
    </xf>
    <xf numFmtId="168" fontId="22" fillId="10" borderId="5" xfId="543" applyNumberFormat="1" applyFill="1" applyBorder="1" applyAlignment="1">
      <alignment horizontal="center"/>
    </xf>
    <xf numFmtId="0" fontId="22" fillId="2" borderId="3" xfId="543" applyFill="1" applyBorder="1" applyAlignment="1">
      <alignment horizontal="center"/>
    </xf>
    <xf numFmtId="0" fontId="22" fillId="2" borderId="4" xfId="543" applyFill="1" applyBorder="1" applyAlignment="1">
      <alignment horizontal="center"/>
    </xf>
    <xf numFmtId="0" fontId="22" fillId="2" borderId="5" xfId="543" applyFill="1" applyBorder="1" applyAlignment="1">
      <alignment horizontal="center"/>
    </xf>
    <xf numFmtId="0" fontId="30" fillId="0" borderId="0" xfId="0" applyFont="1" applyAlignment="1">
      <alignment horizontal="center"/>
    </xf>
    <xf numFmtId="168" fontId="31" fillId="0" borderId="4" xfId="0" applyNumberFormat="1" applyFont="1" applyBorder="1" applyAlignment="1">
      <alignment horizontal="center"/>
    </xf>
    <xf numFmtId="168" fontId="31" fillId="5" borderId="3" xfId="0" applyNumberFormat="1" applyFont="1" applyFill="1" applyBorder="1" applyAlignment="1" applyProtection="1">
      <alignment horizontal="center"/>
      <protection locked="0"/>
    </xf>
    <xf numFmtId="168" fontId="31" fillId="5" borderId="4" xfId="0" applyNumberFormat="1" applyFont="1" applyFill="1" applyBorder="1" applyAlignment="1" applyProtection="1">
      <alignment horizontal="center"/>
      <protection locked="0"/>
    </xf>
    <xf numFmtId="168" fontId="31" fillId="5" borderId="5" xfId="0" applyNumberFormat="1" applyFont="1" applyFill="1" applyBorder="1" applyAlignment="1" applyProtection="1">
      <alignment horizontal="center"/>
      <protection locked="0"/>
    </xf>
    <xf numFmtId="168" fontId="31" fillId="0" borderId="3" xfId="0" applyNumberFormat="1" applyFont="1" applyBorder="1" applyAlignment="1">
      <alignment horizontal="center"/>
    </xf>
    <xf numFmtId="168" fontId="31" fillId="0" borderId="5" xfId="0" applyNumberFormat="1" applyFont="1" applyBorder="1" applyAlignment="1">
      <alignment horizontal="center"/>
    </xf>
    <xf numFmtId="9" fontId="31" fillId="5" borderId="3" xfId="0" applyNumberFormat="1" applyFont="1" applyFill="1" applyBorder="1" applyAlignment="1" applyProtection="1">
      <alignment horizontal="center"/>
      <protection locked="0"/>
    </xf>
    <xf numFmtId="9" fontId="31" fillId="5" borderId="4" xfId="0" applyNumberFormat="1" applyFont="1" applyFill="1" applyBorder="1" applyAlignment="1" applyProtection="1">
      <alignment horizontal="center"/>
      <protection locked="0"/>
    </xf>
    <xf numFmtId="9" fontId="31"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1" xfId="0" applyFont="1" applyBorder="1" applyAlignment="1">
      <alignment horizontal="center" vertical="top" wrapText="1"/>
    </xf>
    <xf numFmtId="0" fontId="31" fillId="0" borderId="2" xfId="0" applyFont="1" applyBorder="1" applyAlignment="1">
      <alignment horizontal="center" vertical="top" wrapText="1"/>
    </xf>
    <xf numFmtId="0" fontId="31" fillId="0" borderId="7" xfId="0" applyFont="1" applyBorder="1" applyAlignment="1">
      <alignment horizontal="center" vertical="top" wrapText="1"/>
    </xf>
    <xf numFmtId="0" fontId="31" fillId="0" borderId="8" xfId="0" applyFont="1" applyBorder="1" applyAlignment="1">
      <alignment horizontal="center" vertical="top" wrapText="1"/>
    </xf>
    <xf numFmtId="0" fontId="31" fillId="0" borderId="0" xfId="0" applyFont="1" applyAlignment="1">
      <alignment horizontal="center" vertical="top" wrapText="1"/>
    </xf>
    <xf numFmtId="0" fontId="31" fillId="0" borderId="12" xfId="0" applyFont="1" applyBorder="1" applyAlignment="1">
      <alignment horizontal="center" vertical="top" wrapText="1"/>
    </xf>
    <xf numFmtId="0" fontId="31" fillId="0" borderId="9" xfId="0" applyFont="1" applyBorder="1" applyAlignment="1">
      <alignment horizontal="center" vertical="top" wrapText="1"/>
    </xf>
    <xf numFmtId="0" fontId="31" fillId="0" borderId="6" xfId="0" applyFont="1" applyBorder="1" applyAlignment="1">
      <alignment horizontal="center" vertical="top" wrapText="1"/>
    </xf>
    <xf numFmtId="0" fontId="31" fillId="0" borderId="10" xfId="0" applyFont="1" applyBorder="1" applyAlignment="1">
      <alignment horizontal="center" vertical="top" wrapText="1"/>
    </xf>
    <xf numFmtId="165" fontId="31" fillId="0" borderId="1" xfId="0" applyNumberFormat="1" applyFont="1" applyBorder="1" applyAlignment="1">
      <alignment horizontal="right"/>
    </xf>
    <xf numFmtId="165" fontId="31" fillId="0" borderId="2" xfId="0" applyNumberFormat="1" applyFont="1" applyBorder="1" applyAlignment="1">
      <alignment horizontal="right"/>
    </xf>
    <xf numFmtId="165" fontId="31" fillId="0" borderId="7" xfId="0" applyNumberFormat="1" applyFont="1" applyBorder="1" applyAlignment="1">
      <alignment horizontal="right"/>
    </xf>
    <xf numFmtId="0" fontId="22" fillId="5" borderId="11" xfId="0" applyFont="1" applyFill="1" applyBorder="1" applyAlignment="1" applyProtection="1">
      <alignment vertical="center" wrapText="1"/>
      <protection locked="0"/>
    </xf>
    <xf numFmtId="175" fontId="22" fillId="43" borderId="3" xfId="0" applyNumberFormat="1" applyFont="1" applyFill="1" applyBorder="1" applyAlignment="1" applyProtection="1">
      <alignment horizontal="center" vertical="center"/>
      <protection locked="0"/>
    </xf>
    <xf numFmtId="175" fontId="22" fillId="43" borderId="4" xfId="0" applyNumberFormat="1" applyFont="1" applyFill="1" applyBorder="1" applyAlignment="1" applyProtection="1">
      <alignment horizontal="center" vertical="center"/>
      <protection locked="0"/>
    </xf>
    <xf numFmtId="175" fontId="22" fillId="43" borderId="5" xfId="0" applyNumberFormat="1" applyFont="1" applyFill="1" applyBorder="1" applyAlignment="1" applyProtection="1">
      <alignment horizontal="center" vertical="center"/>
      <protection locked="0"/>
    </xf>
    <xf numFmtId="180" fontId="30" fillId="43" borderId="3" xfId="0" applyNumberFormat="1" applyFont="1" applyFill="1" applyBorder="1" applyAlignment="1" applyProtection="1">
      <alignment horizontal="center" vertical="center"/>
      <protection locked="0"/>
    </xf>
    <xf numFmtId="180" fontId="30" fillId="43" borderId="4" xfId="0" applyNumberFormat="1" applyFont="1" applyFill="1" applyBorder="1" applyAlignment="1" applyProtection="1">
      <alignment horizontal="center" vertical="center"/>
      <protection locked="0"/>
    </xf>
    <xf numFmtId="180" fontId="30"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6" fontId="31" fillId="5" borderId="4"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31" fillId="5" borderId="3" xfId="0" applyNumberFormat="1" applyFont="1" applyFill="1" applyBorder="1" applyAlignment="1" applyProtection="1">
      <alignment horizontal="right" vertical="top"/>
      <protection locked="0"/>
    </xf>
    <xf numFmtId="1" fontId="31" fillId="5" borderId="4" xfId="0" applyNumberFormat="1" applyFont="1" applyFill="1" applyBorder="1" applyAlignment="1" applyProtection="1">
      <alignment horizontal="right" vertical="top"/>
      <protection locked="0"/>
    </xf>
    <xf numFmtId="1" fontId="31"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9"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43" borderId="3" xfId="0" applyNumberFormat="1" applyFont="1" applyFill="1" applyBorder="1" applyAlignment="1" applyProtection="1">
      <alignment horizontal="center" vertical="center"/>
      <protection locked="0"/>
    </xf>
    <xf numFmtId="168" fontId="22" fillId="43" borderId="4" xfId="0" applyNumberFormat="1" applyFont="1" applyFill="1" applyBorder="1" applyAlignment="1" applyProtection="1">
      <alignment horizontal="center" vertical="center"/>
      <protection locked="0"/>
    </xf>
    <xf numFmtId="168" fontId="22" fillId="43" borderId="5" xfId="0" applyNumberFormat="1" applyFont="1" applyFill="1" applyBorder="1" applyAlignment="1" applyProtection="1">
      <alignment horizontal="center" vertical="center"/>
      <protection locked="0"/>
    </xf>
    <xf numFmtId="0" fontId="31" fillId="5" borderId="9" xfId="0" applyFont="1" applyFill="1" applyBorder="1" applyAlignment="1" applyProtection="1">
      <alignment horizontal="center"/>
      <protection locked="0"/>
    </xf>
    <xf numFmtId="0" fontId="31" fillId="5" borderId="6" xfId="0" applyFont="1" applyFill="1" applyBorder="1" applyAlignment="1" applyProtection="1">
      <alignment horizontal="center"/>
      <protection locked="0"/>
    </xf>
    <xf numFmtId="0" fontId="29" fillId="0" borderId="9" xfId="0" applyFont="1" applyBorder="1" applyAlignment="1">
      <alignment horizontal="center"/>
    </xf>
    <xf numFmtId="0" fontId="29" fillId="0" borderId="6" xfId="0" applyFont="1" applyBorder="1" applyAlignment="1">
      <alignment horizontal="center"/>
    </xf>
    <xf numFmtId="168" fontId="0" fillId="5" borderId="11" xfId="0" applyNumberFormat="1" applyFill="1" applyBorder="1" applyAlignment="1" applyProtection="1">
      <alignment horizontal="right"/>
      <protection locked="0"/>
    </xf>
    <xf numFmtId="0" fontId="2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5" fillId="0" borderId="0" xfId="0" applyFont="1" applyAlignment="1">
      <alignment horizontal="center"/>
    </xf>
    <xf numFmtId="0" fontId="22" fillId="0" borderId="0" xfId="0" applyFont="1" applyAlignment="1">
      <alignment horizontal="center"/>
    </xf>
    <xf numFmtId="0" fontId="37" fillId="0" borderId="0" xfId="0" applyFont="1" applyAlignment="1">
      <alignment horizontal="center"/>
    </xf>
    <xf numFmtId="0" fontId="22" fillId="0" borderId="0" xfId="0" applyFont="1" applyAlignment="1">
      <alignment wrapText="1"/>
    </xf>
    <xf numFmtId="0" fontId="22" fillId="0" borderId="0" xfId="0" applyFont="1" applyAlignment="1">
      <alignment horizontal="center" vertical="top"/>
    </xf>
    <xf numFmtId="0" fontId="31" fillId="0" borderId="0" xfId="0" applyFont="1" applyAlignment="1">
      <alignment horizontal="left" vertical="top" wrapText="1"/>
    </xf>
    <xf numFmtId="0" fontId="31" fillId="5" borderId="6" xfId="0" applyFont="1" applyFill="1" applyBorder="1" applyAlignment="1" applyProtection="1">
      <alignment horizontal="left"/>
      <protection locked="0"/>
    </xf>
    <xf numFmtId="168" fontId="31" fillId="0" borderId="6" xfId="0" applyNumberFormat="1" applyFont="1" applyBorder="1" applyAlignment="1">
      <alignment horizontal="center"/>
    </xf>
    <xf numFmtId="0" fontId="22" fillId="5" borderId="6" xfId="0" applyFont="1" applyFill="1" applyBorder="1" applyAlignment="1" applyProtection="1">
      <alignment horizontal="left" wrapText="1"/>
      <protection locked="0"/>
    </xf>
    <xf numFmtId="0" fontId="31" fillId="5" borderId="6" xfId="0" applyFont="1" applyFill="1" applyBorder="1" applyAlignment="1" applyProtection="1">
      <alignment horizontal="left" wrapText="1"/>
      <protection locked="0"/>
    </xf>
    <xf numFmtId="0" fontId="28"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166" fontId="31" fillId="5" borderId="6" xfId="0" applyNumberFormat="1" applyFont="1" applyFill="1" applyBorder="1" applyAlignment="1" applyProtection="1">
      <alignment horizontal="left"/>
      <protection locked="0"/>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31" fillId="5" borderId="4" xfId="0" applyFont="1" applyFill="1" applyBorder="1" applyAlignment="1" applyProtection="1">
      <alignment horizontal="left"/>
      <protection locked="0"/>
    </xf>
    <xf numFmtId="175" fontId="22" fillId="43" borderId="3" xfId="0" applyNumberFormat="1" applyFont="1" applyFill="1" applyBorder="1" applyAlignment="1" applyProtection="1">
      <alignment horizontal="center"/>
      <protection locked="0"/>
    </xf>
    <xf numFmtId="175" fontId="22" fillId="43" borderId="4" xfId="0" applyNumberFormat="1" applyFont="1" applyFill="1" applyBorder="1" applyAlignment="1" applyProtection="1">
      <alignment horizontal="center"/>
      <protection locked="0"/>
    </xf>
    <xf numFmtId="175" fontId="22" fillId="43"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0" fontId="59" fillId="0" borderId="1"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0" xfId="0" applyFont="1" applyAlignment="1">
      <alignment horizontal="center" vertical="center" wrapText="1"/>
    </xf>
    <xf numFmtId="0" fontId="59" fillId="0" borderId="12"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11" xfId="0" applyBorder="1" applyAlignment="1">
      <alignment horizontal="center"/>
    </xf>
    <xf numFmtId="0" fontId="29" fillId="0" borderId="3" xfId="0" applyFont="1" applyBorder="1" applyAlignment="1">
      <alignment horizontal="right"/>
    </xf>
    <xf numFmtId="0" fontId="29" fillId="0" borderId="4" xfId="0" applyFont="1" applyBorder="1" applyAlignment="1">
      <alignment horizontal="right"/>
    </xf>
    <xf numFmtId="0" fontId="29"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31" fillId="2" borderId="11" xfId="0" applyFont="1" applyFill="1" applyBorder="1" applyAlignment="1">
      <alignment horizontal="center"/>
    </xf>
    <xf numFmtId="0" fontId="22" fillId="0" borderId="11" xfId="543" applyBorder="1" applyAlignment="1">
      <alignment horizontal="center"/>
    </xf>
    <xf numFmtId="0" fontId="31"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31" fillId="45" borderId="3" xfId="0" applyFont="1" applyFill="1" applyBorder="1" applyAlignment="1">
      <alignment horizontal="center"/>
    </xf>
    <xf numFmtId="0" fontId="31" fillId="45" borderId="4" xfId="0" applyFont="1" applyFill="1" applyBorder="1" applyAlignment="1">
      <alignment horizontal="center"/>
    </xf>
    <xf numFmtId="0" fontId="31" fillId="45" borderId="5" xfId="0" applyFont="1" applyFill="1" applyBorder="1" applyAlignment="1">
      <alignment horizontal="center"/>
    </xf>
    <xf numFmtId="0" fontId="22" fillId="0" borderId="11" xfId="0" applyFont="1" applyBorder="1" applyAlignment="1">
      <alignment horizontal="center"/>
    </xf>
    <xf numFmtId="0" fontId="31" fillId="0" borderId="3" xfId="0" applyFont="1" applyBorder="1" applyAlignment="1">
      <alignment horizontal="center"/>
    </xf>
    <xf numFmtId="0" fontId="31" fillId="0" borderId="5" xfId="0" applyFont="1" applyBorder="1" applyAlignment="1">
      <alignment horizontal="center"/>
    </xf>
    <xf numFmtId="0" fontId="31" fillId="0" borderId="4"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45" fillId="0" borderId="5" xfId="0" applyFont="1" applyBorder="1" applyAlignment="1">
      <alignment horizontal="center"/>
    </xf>
    <xf numFmtId="0" fontId="22" fillId="0" borderId="4" xfId="0" applyFont="1" applyBorder="1" applyAlignment="1">
      <alignment horizontal="center"/>
    </xf>
    <xf numFmtId="0" fontId="31" fillId="0" borderId="11" xfId="0" applyFont="1" applyBorder="1" applyAlignment="1">
      <alignment horizontal="center" vertical="top" wrapText="1"/>
    </xf>
    <xf numFmtId="0" fontId="29" fillId="0" borderId="0" xfId="0" applyFont="1" applyAlignment="1">
      <alignment horizontal="center" vertical="center"/>
    </xf>
    <xf numFmtId="1" fontId="31" fillId="5" borderId="11" xfId="0" applyNumberFormat="1" applyFont="1" applyFill="1" applyBorder="1" applyAlignment="1" applyProtection="1">
      <alignment horizontal="center"/>
      <protection locked="0"/>
    </xf>
    <xf numFmtId="0" fontId="29" fillId="0" borderId="11" xfId="0" applyFont="1" applyBorder="1" applyAlignment="1">
      <alignment horizontal="center"/>
    </xf>
    <xf numFmtId="0" fontId="42" fillId="0" borderId="4" xfId="543" applyFont="1" applyBorder="1" applyAlignment="1">
      <alignment horizontal="right" vertical="top" wrapText="1"/>
    </xf>
    <xf numFmtId="0" fontId="42" fillId="0" borderId="5" xfId="543" applyFont="1" applyBorder="1" applyAlignment="1">
      <alignment horizontal="right" vertical="top" wrapText="1"/>
    </xf>
    <xf numFmtId="0" fontId="29" fillId="0" borderId="8" xfId="543" applyFont="1" applyBorder="1" applyAlignment="1">
      <alignment horizontal="left" vertical="center" wrapText="1"/>
    </xf>
    <xf numFmtId="0" fontId="29" fillId="0" borderId="0" xfId="543" applyFont="1" applyAlignment="1">
      <alignment horizontal="left" vertical="center" wrapText="1"/>
    </xf>
    <xf numFmtId="0" fontId="29" fillId="0" borderId="12" xfId="543" applyFont="1" applyBorder="1" applyAlignment="1">
      <alignment horizontal="left" vertical="center" wrapText="1"/>
    </xf>
    <xf numFmtId="0" fontId="22" fillId="0" borderId="8" xfId="543" applyBorder="1" applyAlignment="1">
      <alignment horizontal="left" vertical="top" wrapText="1"/>
    </xf>
    <xf numFmtId="0" fontId="22" fillId="0" borderId="0" xfId="543" applyAlignment="1">
      <alignment horizontal="left" vertical="top" wrapText="1"/>
    </xf>
    <xf numFmtId="0" fontId="22" fillId="0" borderId="12" xfId="543" applyBorder="1" applyAlignment="1">
      <alignment horizontal="left" vertical="top" wrapText="1"/>
    </xf>
    <xf numFmtId="0" fontId="30" fillId="0" borderId="3" xfId="543" applyFont="1" applyBorder="1" applyAlignment="1">
      <alignment horizontal="center"/>
    </xf>
    <xf numFmtId="0" fontId="30" fillId="0" borderId="5" xfId="543" applyFont="1" applyBorder="1" applyAlignment="1">
      <alignment horizontal="center"/>
    </xf>
    <xf numFmtId="1" fontId="30" fillId="0" borderId="3" xfId="543" applyNumberFormat="1" applyFont="1" applyBorder="1" applyAlignment="1">
      <alignment horizontal="center"/>
    </xf>
    <xf numFmtId="1" fontId="30" fillId="0" borderId="5" xfId="543" applyNumberFormat="1" applyFont="1" applyBorder="1" applyAlignment="1">
      <alignment horizontal="center"/>
    </xf>
    <xf numFmtId="0" fontId="41" fillId="0" borderId="3" xfId="543" applyFont="1" applyBorder="1" applyAlignment="1">
      <alignment horizontal="center"/>
    </xf>
    <xf numFmtId="0" fontId="41" fillId="0" borderId="5" xfId="543" applyFont="1" applyBorder="1" applyAlignment="1">
      <alignment horizontal="center"/>
    </xf>
    <xf numFmtId="0" fontId="41" fillId="5" borderId="3" xfId="543" applyFont="1" applyFill="1" applyBorder="1" applyAlignment="1" applyProtection="1">
      <alignment horizontal="center"/>
      <protection locked="0"/>
    </xf>
    <xf numFmtId="0" fontId="41" fillId="5" borderId="5" xfId="543" applyFont="1" applyFill="1" applyBorder="1" applyAlignment="1" applyProtection="1">
      <alignment horizontal="center"/>
      <protection locked="0"/>
    </xf>
    <xf numFmtId="0" fontId="43" fillId="0" borderId="3" xfId="543" applyFont="1" applyBorder="1" applyAlignment="1">
      <alignment horizontal="center"/>
    </xf>
    <xf numFmtId="0" fontId="43" fillId="0" borderId="4" xfId="543" applyFont="1" applyBorder="1" applyAlignment="1">
      <alignment horizontal="center"/>
    </xf>
    <xf numFmtId="0" fontId="43" fillId="0" borderId="5" xfId="543" applyFont="1" applyBorder="1" applyAlignment="1">
      <alignment horizontal="center"/>
    </xf>
    <xf numFmtId="168" fontId="22" fillId="0" borderId="11" xfId="543" applyNumberFormat="1" applyBorder="1" applyAlignment="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29" fillId="0" borderId="1" xfId="543" applyFont="1" applyBorder="1" applyAlignment="1">
      <alignment horizontal="left" vertical="center" wrapText="1"/>
    </xf>
    <xf numFmtId="0" fontId="29" fillId="0" borderId="2" xfId="543" applyFont="1" applyBorder="1" applyAlignment="1">
      <alignment horizontal="left" vertical="center" wrapText="1"/>
    </xf>
    <xf numFmtId="0" fontId="29" fillId="0" borderId="7" xfId="543" applyFont="1" applyBorder="1" applyAlignment="1">
      <alignment horizontal="left" vertical="center" wrapText="1"/>
    </xf>
    <xf numFmtId="0" fontId="22" fillId="0" borderId="9" xfId="543" applyBorder="1" applyAlignment="1">
      <alignment horizontal="left" vertical="top" wrapText="1"/>
    </xf>
    <xf numFmtId="0" fontId="22" fillId="0" borderId="6" xfId="543" applyBorder="1" applyAlignment="1">
      <alignment horizontal="left" vertical="top" wrapText="1"/>
    </xf>
    <xf numFmtId="0" fontId="22" fillId="0" borderId="10" xfId="543" applyBorder="1" applyAlignment="1">
      <alignment horizontal="left" vertical="top" wrapText="1"/>
    </xf>
    <xf numFmtId="0" fontId="49" fillId="0" borderId="8" xfId="543" applyFont="1" applyBorder="1" applyAlignment="1">
      <alignment horizontal="center" vertical="center" wrapText="1"/>
    </xf>
    <xf numFmtId="0" fontId="49" fillId="0" borderId="0" xfId="543" applyFont="1" applyAlignment="1">
      <alignment horizontal="center" vertical="center" wrapText="1"/>
    </xf>
    <xf numFmtId="0" fontId="49" fillId="0" borderId="12" xfId="543" applyFont="1" applyBorder="1" applyAlignment="1">
      <alignment horizontal="center" vertical="center" wrapText="1"/>
    </xf>
    <xf numFmtId="168" fontId="29" fillId="0" borderId="3" xfId="543" applyNumberFormat="1" applyFont="1" applyBorder="1" applyAlignment="1">
      <alignment horizontal="center" vertical="center"/>
    </xf>
    <xf numFmtId="168" fontId="29" fillId="0" borderId="4" xfId="543" applyNumberFormat="1" applyFont="1" applyBorder="1" applyAlignment="1">
      <alignment horizontal="center" vertical="center"/>
    </xf>
    <xf numFmtId="168" fontId="29" fillId="0" borderId="5" xfId="543" applyNumberFormat="1" applyFont="1" applyBorder="1" applyAlignment="1">
      <alignment horizontal="center" vertical="center"/>
    </xf>
    <xf numFmtId="0" fontId="22" fillId="0" borderId="3" xfId="543" applyBorder="1" applyAlignment="1">
      <alignment horizontal="center"/>
    </xf>
    <xf numFmtId="0" fontId="22" fillId="0" borderId="4" xfId="543" applyBorder="1" applyAlignment="1">
      <alignment horizontal="center"/>
    </xf>
    <xf numFmtId="0" fontId="22" fillId="0" borderId="5" xfId="543" applyBorder="1" applyAlignment="1">
      <alignment horizontal="center"/>
    </xf>
    <xf numFmtId="1" fontId="22" fillId="0" borderId="3" xfId="543" applyNumberFormat="1" applyBorder="1" applyAlignment="1">
      <alignment horizontal="center"/>
    </xf>
    <xf numFmtId="1" fontId="22" fillId="0" borderId="4" xfId="543" applyNumberFormat="1" applyBorder="1" applyAlignment="1">
      <alignment horizontal="center"/>
    </xf>
    <xf numFmtId="1" fontId="22" fillId="0" borderId="5" xfId="543" applyNumberFormat="1" applyBorder="1" applyAlignment="1">
      <alignment horizontal="center"/>
    </xf>
    <xf numFmtId="0" fontId="41" fillId="5" borderId="9" xfId="543" applyFont="1" applyFill="1" applyBorder="1" applyAlignment="1" applyProtection="1">
      <alignment horizontal="center"/>
      <protection locked="0"/>
    </xf>
    <xf numFmtId="0" fontId="41" fillId="5" borderId="10" xfId="543" applyFont="1" applyFill="1" applyBorder="1" applyAlignment="1" applyProtection="1">
      <alignment horizontal="center"/>
      <protection locked="0"/>
    </xf>
    <xf numFmtId="0" fontId="29" fillId="0" borderId="1" xfId="0" applyFont="1" applyBorder="1" applyAlignment="1">
      <alignment horizontal="center" wrapText="1"/>
    </xf>
    <xf numFmtId="0" fontId="29" fillId="0" borderId="2" xfId="0" applyFont="1" applyBorder="1" applyAlignment="1">
      <alignment horizontal="center" wrapText="1"/>
    </xf>
    <xf numFmtId="0" fontId="29" fillId="0" borderId="8" xfId="0" applyFont="1" applyBorder="1" applyAlignment="1">
      <alignment horizontal="center" wrapText="1"/>
    </xf>
    <xf numFmtId="0" fontId="29" fillId="0" borderId="0" xfId="0" applyFont="1" applyAlignment="1">
      <alignment horizontal="center" wrapText="1"/>
    </xf>
    <xf numFmtId="0" fontId="29" fillId="0" borderId="9" xfId="0" applyFont="1" applyBorder="1" applyAlignment="1">
      <alignment horizontal="center" wrapText="1"/>
    </xf>
    <xf numFmtId="0" fontId="29" fillId="0" borderId="6" xfId="0" applyFont="1" applyBorder="1" applyAlignment="1">
      <alignment horizontal="center" wrapText="1"/>
    </xf>
    <xf numFmtId="168" fontId="2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10" borderId="3" xfId="543" applyFont="1" applyFill="1" applyBorder="1" applyAlignment="1">
      <alignment horizontal="center"/>
    </xf>
    <xf numFmtId="0" fontId="29" fillId="10" borderId="4" xfId="543" applyFont="1" applyFill="1" applyBorder="1" applyAlignment="1">
      <alignment horizontal="center"/>
    </xf>
    <xf numFmtId="0" fontId="29" fillId="10" borderId="5" xfId="543" applyFont="1" applyFill="1" applyBorder="1" applyAlignment="1">
      <alignment horizontal="center"/>
    </xf>
    <xf numFmtId="0" fontId="41" fillId="5" borderId="3" xfId="543" applyFont="1" applyFill="1" applyBorder="1" applyAlignment="1" applyProtection="1">
      <alignment horizontal="center" vertical="top"/>
      <protection locked="0"/>
    </xf>
    <xf numFmtId="0" fontId="41" fillId="5" borderId="5" xfId="543" applyFont="1" applyFill="1" applyBorder="1" applyAlignment="1" applyProtection="1">
      <alignment horizontal="center" vertical="top"/>
      <protection locked="0"/>
    </xf>
    <xf numFmtId="0" fontId="22" fillId="0" borderId="8" xfId="0" applyFont="1" applyBorder="1" applyAlignment="1">
      <alignment horizontal="left" wrapText="1"/>
    </xf>
    <xf numFmtId="0" fontId="22" fillId="0" borderId="12" xfId="0" applyFont="1" applyBorder="1" applyAlignment="1">
      <alignment horizontal="left" wrapText="1"/>
    </xf>
    <xf numFmtId="0" fontId="22" fillId="0" borderId="9" xfId="0" applyFont="1" applyBorder="1" applyAlignment="1">
      <alignment horizontal="left" wrapText="1"/>
    </xf>
    <xf numFmtId="0" fontId="22" fillId="0" borderId="6" xfId="0" applyFont="1" applyBorder="1" applyAlignment="1">
      <alignment horizontal="left" wrapText="1"/>
    </xf>
    <xf numFmtId="0" fontId="22" fillId="0" borderId="10" xfId="0" applyFont="1" applyBorder="1" applyAlignment="1">
      <alignment horizontal="left" wrapText="1"/>
    </xf>
    <xf numFmtId="0" fontId="29" fillId="0" borderId="1" xfId="543" applyFont="1" applyBorder="1" applyAlignment="1">
      <alignment horizontal="left" vertical="top" wrapText="1"/>
    </xf>
    <xf numFmtId="0" fontId="29" fillId="0" borderId="2" xfId="543" applyFont="1" applyBorder="1" applyAlignment="1">
      <alignment horizontal="left" vertical="top" wrapText="1"/>
    </xf>
    <xf numFmtId="0" fontId="29" fillId="0" borderId="7" xfId="543" applyFont="1" applyBorder="1" applyAlignment="1">
      <alignment horizontal="left" vertical="top" wrapText="1"/>
    </xf>
    <xf numFmtId="0" fontId="29" fillId="0" borderId="8" xfId="543" applyFont="1" applyBorder="1" applyAlignment="1">
      <alignment horizontal="left" vertical="top" wrapText="1"/>
    </xf>
    <xf numFmtId="0" fontId="29" fillId="0" borderId="0" xfId="543" applyFont="1" applyAlignment="1">
      <alignment horizontal="left" vertical="top" wrapText="1"/>
    </xf>
    <xf numFmtId="0" fontId="29"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41" fillId="5" borderId="3" xfId="0" applyNumberFormat="1" applyFont="1" applyFill="1" applyBorder="1" applyAlignment="1" applyProtection="1">
      <alignment horizontal="left"/>
      <protection locked="0"/>
    </xf>
    <xf numFmtId="164" fontId="41" fillId="5" borderId="4" xfId="0" applyNumberFormat="1" applyFont="1" applyFill="1" applyBorder="1" applyAlignment="1" applyProtection="1">
      <alignment horizontal="left"/>
      <protection locked="0"/>
    </xf>
    <xf numFmtId="164" fontId="41" fillId="5" borderId="5" xfId="0" applyNumberFormat="1" applyFont="1" applyFill="1" applyBorder="1" applyAlignment="1" applyProtection="1">
      <alignment horizontal="left"/>
      <protection locked="0"/>
    </xf>
    <xf numFmtId="0" fontId="22" fillId="0" borderId="8" xfId="543" applyBorder="1" applyAlignment="1">
      <alignment horizontal="left" vertical="center" wrapText="1"/>
    </xf>
    <xf numFmtId="0" fontId="22" fillId="0" borderId="0" xfId="543" applyAlignment="1">
      <alignment horizontal="left" vertical="center" wrapText="1"/>
    </xf>
    <xf numFmtId="0" fontId="22" fillId="0" borderId="12" xfId="543" applyBorder="1" applyAlignment="1">
      <alignment horizontal="left" vertical="center" wrapText="1"/>
    </xf>
    <xf numFmtId="0" fontId="0" fillId="0" borderId="9" xfId="0" applyBorder="1" applyAlignment="1">
      <alignment horizontal="left"/>
    </xf>
    <xf numFmtId="0" fontId="42" fillId="0" borderId="1" xfId="543" applyFont="1" applyBorder="1" applyAlignment="1">
      <alignment horizontal="right"/>
    </xf>
    <xf numFmtId="0" fontId="42" fillId="0" borderId="2" xfId="543" applyFont="1" applyBorder="1" applyAlignment="1">
      <alignment horizontal="right"/>
    </xf>
    <xf numFmtId="0" fontId="42" fillId="0" borderId="7" xfId="543" applyFont="1" applyBorder="1" applyAlignment="1">
      <alignment horizontal="right"/>
    </xf>
    <xf numFmtId="0" fontId="22" fillId="43" borderId="11" xfId="0" applyFont="1" applyFill="1" applyBorder="1" applyAlignment="1" applyProtection="1">
      <alignment horizontal="center"/>
      <protection locked="0"/>
    </xf>
    <xf numFmtId="0" fontId="30" fillId="5" borderId="3" xfId="543" applyFont="1"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9" fillId="0" borderId="12" xfId="0" applyFont="1" applyBorder="1" applyAlignment="1">
      <alignment horizontal="center" wrapText="1"/>
    </xf>
    <xf numFmtId="0" fontId="29"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9" xfId="543" applyBorder="1" applyAlignment="1">
      <alignment horizontal="left" vertical="center" wrapText="1"/>
    </xf>
    <xf numFmtId="0" fontId="22" fillId="0" borderId="6" xfId="543" applyBorder="1" applyAlignment="1">
      <alignment horizontal="left" vertical="center" wrapText="1"/>
    </xf>
    <xf numFmtId="0" fontId="22" fillId="0" borderId="10" xfId="543" applyBorder="1" applyAlignment="1">
      <alignment horizontal="left" vertical="center" wrapText="1"/>
    </xf>
    <xf numFmtId="0" fontId="22" fillId="5" borderId="3" xfId="543" applyFill="1" applyBorder="1" applyAlignment="1" applyProtection="1">
      <alignment horizontal="left" vertical="top" wrapText="1"/>
      <protection locked="0"/>
    </xf>
    <xf numFmtId="0" fontId="31" fillId="5" borderId="4" xfId="543" applyFont="1" applyFill="1" applyBorder="1" applyAlignment="1" applyProtection="1">
      <alignment horizontal="left" vertical="top" wrapText="1"/>
      <protection locked="0"/>
    </xf>
    <xf numFmtId="0" fontId="31" fillId="5" borderId="5" xfId="543" applyFont="1"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9" fillId="0" borderId="3" xfId="543" applyFont="1" applyBorder="1" applyAlignment="1">
      <alignment horizontal="right"/>
    </xf>
    <xf numFmtId="0" fontId="29" fillId="0" borderId="4" xfId="543" applyFont="1" applyBorder="1" applyAlignment="1">
      <alignment horizontal="right"/>
    </xf>
    <xf numFmtId="0" fontId="29" fillId="0" borderId="5" xfId="543" applyFont="1" applyBorder="1" applyAlignment="1">
      <alignment horizontal="right"/>
    </xf>
    <xf numFmtId="0" fontId="22" fillId="0" borderId="1" xfId="0" applyFont="1" applyBorder="1" applyAlignment="1">
      <alignment horizontal="center" vertical="top" wrapText="1"/>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2" fillId="0" borderId="3" xfId="0" applyFont="1" applyBorder="1"/>
    <xf numFmtId="0" fontId="22" fillId="0" borderId="4" xfId="0" applyFont="1" applyBorder="1"/>
    <xf numFmtId="0" fontId="22" fillId="0" borderId="5" xfId="0" applyFont="1" applyBorder="1"/>
    <xf numFmtId="168" fontId="22" fillId="5" borderId="3" xfId="0" applyNumberFormat="1" applyFont="1" applyFill="1" applyBorder="1" applyAlignment="1" applyProtection="1">
      <alignment horizontal="left"/>
      <protection locked="0"/>
    </xf>
    <xf numFmtId="168" fontId="22" fillId="5" borderId="4" xfId="0" applyNumberFormat="1" applyFont="1" applyFill="1" applyBorder="1" applyAlignment="1" applyProtection="1">
      <alignment horizontal="left"/>
      <protection locked="0"/>
    </xf>
    <xf numFmtId="168" fontId="22" fillId="5" borderId="5" xfId="0" applyNumberFormat="1" applyFont="1" applyFill="1" applyBorder="1" applyAlignment="1" applyProtection="1">
      <alignment horizontal="left"/>
      <protection locked="0"/>
    </xf>
    <xf numFmtId="1" fontId="22" fillId="0" borderId="3" xfId="0" applyNumberFormat="1" applyFont="1" applyBorder="1" applyAlignment="1">
      <alignment horizontal="center"/>
    </xf>
    <xf numFmtId="1" fontId="31" fillId="0" borderId="4" xfId="0" applyNumberFormat="1" applyFont="1" applyBorder="1" applyAlignment="1">
      <alignment horizontal="center"/>
    </xf>
    <xf numFmtId="1" fontId="31" fillId="0" borderId="5" xfId="0" applyNumberFormat="1" applyFont="1" applyBorder="1" applyAlignment="1">
      <alignment horizontal="center"/>
    </xf>
    <xf numFmtId="0" fontId="31" fillId="5" borderId="6" xfId="271" applyFill="1" applyBorder="1" applyProtection="1">
      <protection locked="0"/>
    </xf>
    <xf numFmtId="9" fontId="22" fillId="5" borderId="3" xfId="0" applyNumberFormat="1" applyFont="1" applyFill="1" applyBorder="1" applyAlignment="1" applyProtection="1">
      <alignment horizontal="right"/>
      <protection locked="0"/>
    </xf>
    <xf numFmtId="2" fontId="22"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9" fillId="5" borderId="3" xfId="0" applyFont="1" applyFill="1" applyBorder="1" applyAlignment="1" applyProtection="1">
      <alignment horizontal="right"/>
      <protection locked="0"/>
    </xf>
    <xf numFmtId="0" fontId="29" fillId="5" borderId="4" xfId="0" applyFont="1" applyFill="1" applyBorder="1" applyAlignment="1" applyProtection="1">
      <alignment horizontal="right"/>
      <protection locked="0"/>
    </xf>
    <xf numFmtId="0" fontId="29"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Protection="1">
      <protection locked="0"/>
    </xf>
    <xf numFmtId="0" fontId="31"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29" fillId="0" borderId="7" xfId="0" applyFont="1" applyBorder="1" applyAlignment="1">
      <alignment horizontal="center" wrapText="1"/>
    </xf>
    <xf numFmtId="165" fontId="29" fillId="0" borderId="3" xfId="271" applyNumberFormat="1" applyFont="1" applyBorder="1" applyAlignment="1">
      <alignment horizontal="center"/>
    </xf>
    <xf numFmtId="165" fontId="29" fillId="0" borderId="4" xfId="271" applyNumberFormat="1" applyFont="1" applyBorder="1" applyAlignment="1">
      <alignment horizontal="center"/>
    </xf>
    <xf numFmtId="165" fontId="29" fillId="0" borderId="5" xfId="271"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0" fontId="41" fillId="5" borderId="3" xfId="543" applyFont="1" applyFill="1" applyBorder="1" applyAlignment="1">
      <alignment horizontal="center"/>
    </xf>
    <xf numFmtId="0" fontId="41" fillId="5" borderId="4" xfId="543" applyFont="1" applyFill="1" applyBorder="1" applyAlignment="1">
      <alignment horizontal="center"/>
    </xf>
    <xf numFmtId="0" fontId="41" fillId="5" borderId="5" xfId="543" applyFont="1" applyFill="1" applyBorder="1" applyAlignment="1">
      <alignment horizontal="center"/>
    </xf>
    <xf numFmtId="49" fontId="22" fillId="5" borderId="3" xfId="543" applyNumberFormat="1" applyFill="1" applyBorder="1" applyAlignment="1">
      <alignment horizontal="center"/>
    </xf>
    <xf numFmtId="49" fontId="22" fillId="5" borderId="5" xfId="543" applyNumberFormat="1" applyFill="1" applyBorder="1" applyAlignment="1">
      <alignment horizontal="center"/>
    </xf>
    <xf numFmtId="171" fontId="22" fillId="0" borderId="0" xfId="543" applyNumberFormat="1" applyAlignment="1">
      <alignment horizontal="center"/>
    </xf>
    <xf numFmtId="0" fontId="29" fillId="0" borderId="1"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9" xfId="0" applyFont="1" applyBorder="1" applyAlignment="1">
      <alignment horizontal="right"/>
    </xf>
    <xf numFmtId="0" fontId="29" fillId="0" borderId="6" xfId="0" applyFont="1" applyBorder="1" applyAlignment="1">
      <alignment horizontal="right"/>
    </xf>
    <xf numFmtId="0" fontId="29" fillId="0" borderId="10" xfId="0" applyFont="1" applyBorder="1" applyAlignment="1">
      <alignment horizontal="right"/>
    </xf>
    <xf numFmtId="0" fontId="22"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0" fontId="0" fillId="0" borderId="6" xfId="0" applyBorder="1" applyAlignment="1">
      <alignment horizontal="center"/>
    </xf>
    <xf numFmtId="0" fontId="0" fillId="0" borderId="10" xfId="0" applyBorder="1" applyAlignment="1">
      <alignment horizontal="center"/>
    </xf>
    <xf numFmtId="0" fontId="29" fillId="0" borderId="11" xfId="0" applyFont="1" applyBorder="1" applyAlignment="1">
      <alignment horizontal="center" vertical="center"/>
    </xf>
    <xf numFmtId="172" fontId="29" fillId="0" borderId="11" xfId="0" applyNumberFormat="1" applyFont="1" applyBorder="1" applyAlignment="1">
      <alignment horizontal="center" vertical="center"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0" xfId="0" applyFont="1" applyAlignment="1">
      <alignment horizontal="center" vertical="center" wrapText="1"/>
    </xf>
    <xf numFmtId="0" fontId="38" fillId="0" borderId="12"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22" fillId="5" borderId="10" xfId="0" applyNumberFormat="1" applyFont="1" applyFill="1" applyBorder="1" applyAlignment="1" applyProtection="1">
      <alignment horizontal="right"/>
      <protection locked="0"/>
    </xf>
    <xf numFmtId="168" fontId="22" fillId="5" borderId="13" xfId="0" applyNumberFormat="1" applyFont="1" applyFill="1" applyBorder="1" applyAlignment="1" applyProtection="1">
      <alignment horizontal="right"/>
      <protection locked="0"/>
    </xf>
    <xf numFmtId="0" fontId="29" fillId="0" borderId="1" xfId="0" applyFont="1" applyBorder="1" applyAlignment="1">
      <alignment horizontal="center"/>
    </xf>
    <xf numFmtId="0" fontId="29" fillId="0" borderId="2" xfId="0" applyFont="1" applyBorder="1" applyAlignment="1">
      <alignment horizontal="center"/>
    </xf>
    <xf numFmtId="0" fontId="29" fillId="0" borderId="7" xfId="0" applyFont="1" applyBorder="1" applyAlignment="1">
      <alignment horizontal="center"/>
    </xf>
    <xf numFmtId="171" fontId="22" fillId="0" borderId="0" xfId="543" applyNumberFormat="1" applyAlignment="1">
      <alignment horizontal="right"/>
    </xf>
    <xf numFmtId="168" fontId="0" fillId="0" borderId="11" xfId="0" applyNumberFormat="1" applyBorder="1"/>
    <xf numFmtId="0" fontId="31" fillId="5" borderId="3" xfId="0" applyFont="1" applyFill="1" applyBorder="1" applyProtection="1">
      <protection locked="0"/>
    </xf>
    <xf numFmtId="0" fontId="31" fillId="0" borderId="4" xfId="0" applyFont="1" applyBorder="1" applyProtection="1">
      <protection locked="0"/>
    </xf>
    <xf numFmtId="0" fontId="31"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9" fillId="0" borderId="2" xfId="0" applyFont="1" applyBorder="1" applyAlignment="1">
      <alignment horizontal="right"/>
    </xf>
    <xf numFmtId="0" fontId="29" fillId="0" borderId="7" xfId="0" applyFont="1" applyBorder="1" applyAlignment="1">
      <alignment horizontal="right"/>
    </xf>
    <xf numFmtId="9" fontId="22" fillId="0" borderId="0" xfId="543" applyNumberFormat="1" applyAlignment="1">
      <alignment horizontal="center" vertical="center"/>
    </xf>
    <xf numFmtId="0" fontId="31" fillId="0" borderId="11" xfId="0" applyFont="1" applyBorder="1" applyAlignment="1">
      <alignment horizontal="center"/>
    </xf>
    <xf numFmtId="168" fontId="158" fillId="0" borderId="0" xfId="0" applyNumberFormat="1" applyFont="1" applyAlignment="1">
      <alignment horizontal="center" vertical="center" wrapText="1"/>
    </xf>
    <xf numFmtId="0" fontId="2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 borderId="3" xfId="0" quotePrefix="1" applyFill="1" applyBorder="1" applyAlignment="1" applyProtection="1">
      <alignment horizontal="right"/>
      <protection locked="0"/>
    </xf>
    <xf numFmtId="0" fontId="29" fillId="5" borderId="11" xfId="0" applyFont="1" applyFill="1" applyBorder="1" applyAlignment="1" applyProtection="1">
      <alignment horizontal="center"/>
      <protection locked="0"/>
    </xf>
    <xf numFmtId="0" fontId="2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2" fontId="0" fillId="0" borderId="6" xfId="0" applyNumberFormat="1" applyBorder="1" applyAlignment="1">
      <alignment horizontal="center"/>
    </xf>
    <xf numFmtId="0" fontId="22" fillId="0" borderId="3" xfId="0" applyFont="1" applyBorder="1" applyAlignment="1">
      <alignment horizontal="left"/>
    </xf>
    <xf numFmtId="0" fontId="0" fillId="0" borderId="5" xfId="0" applyBorder="1" applyAlignment="1">
      <alignment horizontal="left"/>
    </xf>
    <xf numFmtId="3" fontId="31" fillId="5" borderId="11" xfId="0" applyNumberFormat="1" applyFont="1" applyFill="1" applyBorder="1" applyAlignment="1" applyProtection="1">
      <alignment horizontal="center"/>
      <protection locked="0"/>
    </xf>
    <xf numFmtId="168" fontId="31" fillId="0" borderId="11" xfId="0" applyNumberFormat="1" applyFont="1" applyBorder="1" applyAlignment="1">
      <alignment horizontal="center"/>
    </xf>
    <xf numFmtId="0" fontId="22" fillId="0" borderId="4" xfId="0" applyFont="1" applyBorder="1" applyAlignment="1">
      <alignment horizontal="left"/>
    </xf>
    <xf numFmtId="0" fontId="22" fillId="0" borderId="5" xfId="0" applyFont="1" applyBorder="1" applyAlignment="1">
      <alignment horizontal="left"/>
    </xf>
    <xf numFmtId="168" fontId="22" fillId="5" borderId="3" xfId="0" applyNumberFormat="1" applyFont="1" applyFill="1" applyBorder="1" applyAlignment="1" applyProtection="1">
      <alignment horizontal="left" vertical="top"/>
      <protection locked="0"/>
    </xf>
    <xf numFmtId="168" fontId="31" fillId="5" borderId="4" xfId="0" applyNumberFormat="1" applyFont="1" applyFill="1" applyBorder="1" applyAlignment="1" applyProtection="1">
      <alignment horizontal="left" vertical="top"/>
      <protection locked="0"/>
    </xf>
    <xf numFmtId="168" fontId="31" fillId="5" borderId="5" xfId="0" applyNumberFormat="1" applyFont="1" applyFill="1" applyBorder="1" applyAlignment="1" applyProtection="1">
      <alignment horizontal="left" vertical="top"/>
      <protection locked="0"/>
    </xf>
    <xf numFmtId="0" fontId="31" fillId="5" borderId="11" xfId="0" applyFont="1" applyFill="1" applyBorder="1" applyAlignment="1" applyProtection="1">
      <alignment horizontal="center"/>
      <protection locked="0"/>
    </xf>
    <xf numFmtId="168" fontId="58" fillId="0" borderId="2" xfId="0" applyNumberFormat="1" applyFont="1" applyBorder="1" applyAlignment="1">
      <alignment horizontal="left" vertical="top" wrapText="1"/>
    </xf>
    <xf numFmtId="168" fontId="58" fillId="0" borderId="0" xfId="0" applyNumberFormat="1" applyFont="1" applyAlignment="1">
      <alignment horizontal="left" vertical="top" wrapText="1"/>
    </xf>
    <xf numFmtId="3" fontId="31" fillId="0" borderId="11" xfId="0" applyNumberFormat="1" applyFont="1" applyBorder="1" applyAlignment="1">
      <alignment horizontal="center"/>
    </xf>
    <xf numFmtId="168" fontId="31" fillId="0" borderId="3" xfId="0" applyNumberFormat="1" applyFont="1" applyBorder="1" applyAlignment="1">
      <alignment horizontal="left" vertical="top"/>
    </xf>
    <xf numFmtId="168" fontId="31" fillId="0" borderId="4" xfId="0" applyNumberFormat="1" applyFont="1" applyBorder="1" applyAlignment="1">
      <alignment horizontal="left" vertical="top"/>
    </xf>
    <xf numFmtId="168" fontId="31" fillId="0" borderId="5" xfId="0" applyNumberFormat="1" applyFont="1" applyBorder="1" applyAlignment="1">
      <alignment horizontal="left" vertical="top"/>
    </xf>
    <xf numFmtId="10" fontId="31" fillId="0" borderId="11" xfId="0" applyNumberFormat="1"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2" fillId="0" borderId="3" xfId="271" applyFont="1" applyBorder="1" applyAlignment="1">
      <alignment horizontal="left"/>
    </xf>
    <xf numFmtId="0" fontId="22" fillId="0" borderId="4" xfId="271" applyFont="1" applyBorder="1" applyAlignment="1">
      <alignment horizontal="left"/>
    </xf>
    <xf numFmtId="0" fontId="22" fillId="0" borderId="5" xfId="271" applyFont="1" applyBorder="1" applyAlignment="1">
      <alignment horizontal="left"/>
    </xf>
    <xf numFmtId="180" fontId="0" fillId="0" borderId="6" xfId="0" applyNumberFormat="1" applyBorder="1" applyAlignment="1">
      <alignment horizontal="center"/>
    </xf>
    <xf numFmtId="10" fontId="31" fillId="5" borderId="4" xfId="0" applyNumberFormat="1" applyFont="1" applyFill="1" applyBorder="1" applyAlignment="1" applyProtection="1">
      <alignment horizontal="right"/>
      <protection locked="0"/>
    </xf>
    <xf numFmtId="0" fontId="22" fillId="5" borderId="6" xfId="569" applyFill="1" applyBorder="1" applyAlignment="1" applyProtection="1">
      <alignment horizontal="left"/>
      <protection locked="0"/>
    </xf>
    <xf numFmtId="0" fontId="22" fillId="5" borderId="4" xfId="569"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166" fontId="31" fillId="5" borderId="6" xfId="271" applyNumberFormat="1" applyFill="1" applyBorder="1" applyAlignment="1" applyProtection="1">
      <alignment horizontal="left"/>
      <protection locked="0"/>
    </xf>
    <xf numFmtId="166" fontId="31" fillId="5" borderId="4" xfId="271" applyNumberForma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2" fillId="5" borderId="6" xfId="244" applyFont="1" applyFill="1" applyBorder="1" applyAlignment="1" applyProtection="1">
      <alignment horizontal="left"/>
      <protection locked="0"/>
    </xf>
    <xf numFmtId="0" fontId="22" fillId="5" borderId="0" xfId="244"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22" fillId="0" borderId="0" xfId="271" applyFont="1" applyAlignment="1">
      <alignment horizontal="left" vertical="top" wrapText="1"/>
    </xf>
    <xf numFmtId="0" fontId="22"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31"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2" fillId="0" borderId="0" xfId="0" applyFont="1" applyAlignment="1" applyProtection="1">
      <alignment horizontal="left"/>
      <protection locked="0"/>
    </xf>
    <xf numFmtId="9" fontId="30" fillId="0" borderId="3" xfId="4494" applyFont="1" applyBorder="1" applyAlignment="1" applyProtection="1">
      <alignment horizontal="center"/>
    </xf>
    <xf numFmtId="9" fontId="3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30" fillId="43" borderId="6" xfId="0" applyFont="1" applyFill="1" applyBorder="1" applyAlignment="1" applyProtection="1">
      <alignment horizontal="left"/>
      <protection locked="0"/>
    </xf>
    <xf numFmtId="0" fontId="155" fillId="0" borderId="0" xfId="0" applyFont="1" applyAlignment="1" applyProtection="1">
      <alignment horizontal="left" vertical="top" wrapText="1"/>
      <protection locked="0"/>
    </xf>
    <xf numFmtId="0" fontId="22" fillId="0" borderId="6" xfId="0" applyFont="1" applyBorder="1" applyAlignment="1" applyProtection="1">
      <alignment horizontal="left"/>
      <protection locked="0"/>
    </xf>
    <xf numFmtId="0" fontId="23" fillId="0" borderId="0" xfId="244" applyFill="1" applyAlignment="1" applyProtection="1">
      <alignment horizontal="left"/>
      <protection locked="0"/>
    </xf>
    <xf numFmtId="168" fontId="22"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31" fillId="0" borderId="6" xfId="0" applyFont="1" applyBorder="1" applyAlignment="1">
      <alignment horizontal="left"/>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31"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43" borderId="6" xfId="0" applyFont="1" applyFill="1" applyBorder="1" applyAlignment="1" applyProtection="1">
      <alignment vertical="center"/>
      <protection locked="0"/>
    </xf>
    <xf numFmtId="0" fontId="31" fillId="43" borderId="6" xfId="0" applyFont="1" applyFill="1" applyBorder="1" applyAlignment="1" applyProtection="1">
      <alignment horizontal="left"/>
      <protection locked="0"/>
    </xf>
    <xf numFmtId="0" fontId="22" fillId="0" borderId="6" xfId="0" applyFont="1" applyBorder="1" applyAlignment="1">
      <alignment horizontal="left"/>
    </xf>
    <xf numFmtId="0" fontId="22" fillId="5" borderId="0" xfId="0" applyFont="1" applyFill="1" applyAlignment="1" applyProtection="1">
      <alignment horizontal="left" vertical="top" wrapText="1"/>
      <protection locked="0"/>
    </xf>
    <xf numFmtId="0" fontId="31" fillId="5" borderId="0" xfId="0" applyFont="1" applyFill="1" applyAlignment="1" applyProtection="1">
      <alignment horizontal="left" vertical="top" wrapText="1"/>
      <protection locked="0"/>
    </xf>
    <xf numFmtId="0" fontId="31"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 fontId="31"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14" fontId="31" fillId="5" borderId="4" xfId="0" applyNumberFormat="1" applyFont="1" applyFill="1" applyBorder="1" applyAlignment="1" applyProtection="1">
      <alignment horizontal="right"/>
      <protection locked="0"/>
    </xf>
    <xf numFmtId="168" fontId="31" fillId="5" borderId="6" xfId="0" applyNumberFormat="1" applyFont="1" applyFill="1" applyBorder="1" applyAlignment="1" applyProtection="1">
      <alignment horizontal="right"/>
      <protection locked="0"/>
    </xf>
    <xf numFmtId="178" fontId="3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3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22" fillId="5" borderId="4"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0" borderId="3" xfId="0" applyNumberFormat="1" applyFont="1" applyBorder="1" applyAlignment="1">
      <alignment horizontal="left" vertical="top"/>
    </xf>
    <xf numFmtId="14" fontId="0" fillId="5" borderId="4" xfId="0" applyNumberFormat="1" applyFill="1" applyBorder="1" applyAlignment="1" applyProtection="1">
      <alignment horizontal="center"/>
      <protection locked="0"/>
    </xf>
    <xf numFmtId="0" fontId="22" fillId="43" borderId="4" xfId="0" applyFont="1" applyFill="1" applyBorder="1" applyAlignment="1" applyProtection="1">
      <alignment horizontal="left" wrapText="1"/>
      <protection locked="0"/>
    </xf>
    <xf numFmtId="0" fontId="31" fillId="5" borderId="4" xfId="0" applyFont="1" applyFill="1" applyBorder="1" applyAlignment="1" applyProtection="1">
      <alignment horizontal="right"/>
      <protection locked="0"/>
    </xf>
    <xf numFmtId="168" fontId="31" fillId="5" borderId="4" xfId="0" applyNumberFormat="1" applyFont="1" applyFill="1" applyBorder="1" applyAlignment="1" applyProtection="1">
      <alignment horizontal="right"/>
      <protection locked="0"/>
    </xf>
    <xf numFmtId="165" fontId="31" fillId="5" borderId="3" xfId="0" applyNumberFormat="1" applyFont="1" applyFill="1" applyBorder="1" applyAlignment="1" applyProtection="1">
      <alignment horizontal="center"/>
      <protection locked="0"/>
    </xf>
    <xf numFmtId="165" fontId="31" fillId="5" borderId="4" xfId="0" applyNumberFormat="1" applyFont="1" applyFill="1" applyBorder="1" applyAlignment="1" applyProtection="1">
      <alignment horizontal="center"/>
      <protection locked="0"/>
    </xf>
    <xf numFmtId="165" fontId="31"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41" fillId="5" borderId="6" xfId="0" applyFont="1" applyFill="1" applyBorder="1" applyAlignment="1" applyProtection="1">
      <alignment horizontal="left"/>
      <protection locked="0"/>
    </xf>
    <xf numFmtId="0" fontId="2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9" fillId="0" borderId="10" xfId="0" applyFont="1" applyBorder="1" applyAlignment="1">
      <alignment horizontal="center"/>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30" fillId="5" borderId="0" xfId="569" applyFont="1" applyFill="1" applyAlignment="1" applyProtection="1">
      <alignment horizontal="left" vertical="top" wrapText="1"/>
      <protection locked="0"/>
    </xf>
    <xf numFmtId="0" fontId="22" fillId="0" borderId="6" xfId="569" applyBorder="1" applyAlignment="1" applyProtection="1">
      <alignment horizontal="left" vertical="top" wrapText="1"/>
      <protection locked="0"/>
    </xf>
    <xf numFmtId="0" fontId="22" fillId="5" borderId="6" xfId="569" applyFill="1" applyBorder="1" applyAlignment="1" applyProtection="1">
      <alignment horizontal="left" wrapText="1"/>
      <protection locked="0"/>
    </xf>
    <xf numFmtId="0" fontId="63" fillId="2" borderId="3" xfId="0" applyFont="1" applyFill="1" applyBorder="1" applyAlignment="1">
      <alignment horizontal="center" vertical="top"/>
    </xf>
    <xf numFmtId="0" fontId="63" fillId="2" borderId="4" xfId="0" applyFont="1" applyFill="1" applyBorder="1" applyAlignment="1">
      <alignment horizontal="center" vertical="top"/>
    </xf>
    <xf numFmtId="0" fontId="63" fillId="2" borderId="5" xfId="0" applyFont="1" applyFill="1" applyBorder="1" applyAlignment="1">
      <alignment horizontal="center" vertical="top"/>
    </xf>
    <xf numFmtId="0" fontId="31" fillId="0" borderId="6" xfId="0" applyFont="1" applyBorder="1" applyAlignment="1">
      <alignment vertical="top" wrapText="1"/>
    </xf>
    <xf numFmtId="177" fontId="31" fillId="5" borderId="6" xfId="0" applyNumberFormat="1" applyFont="1" applyFill="1" applyBorder="1" applyAlignment="1" applyProtection="1">
      <alignment horizontal="left" vertical="top" wrapText="1"/>
      <protection locked="0"/>
    </xf>
    <xf numFmtId="0" fontId="31" fillId="0" borderId="2" xfId="0" applyFont="1" applyBorder="1" applyAlignment="1">
      <alignment vertical="top" wrapText="1"/>
    </xf>
    <xf numFmtId="0" fontId="58" fillId="0" borderId="0" xfId="0" applyFont="1" applyAlignment="1">
      <alignment vertical="top" wrapText="1"/>
    </xf>
    <xf numFmtId="0" fontId="31" fillId="0" borderId="2" xfId="0" applyFont="1" applyBorder="1" applyAlignment="1">
      <alignment horizontal="left" vertical="top" wrapText="1"/>
    </xf>
    <xf numFmtId="0" fontId="59" fillId="0" borderId="0" xfId="0" applyFont="1" applyAlignment="1">
      <alignment vertical="top" wrapText="1"/>
    </xf>
    <xf numFmtId="0" fontId="31" fillId="0" borderId="0" xfId="0" applyFont="1" applyAlignment="1">
      <alignment vertical="top" wrapText="1"/>
    </xf>
    <xf numFmtId="0" fontId="31" fillId="0" borderId="6" xfId="0" applyFont="1" applyBorder="1" applyAlignment="1">
      <alignment horizontal="right" vertical="top" wrapText="1"/>
    </xf>
    <xf numFmtId="0" fontId="59" fillId="0" borderId="0" xfId="569" applyFont="1" applyAlignment="1">
      <alignment vertical="top" wrapText="1"/>
    </xf>
    <xf numFmtId="0" fontId="22" fillId="0" borderId="0" xfId="569" applyAlignment="1">
      <alignment horizontal="right" vertical="top" wrapText="1"/>
    </xf>
    <xf numFmtId="0" fontId="28" fillId="3" borderId="3" xfId="0" applyFont="1" applyFill="1" applyBorder="1" applyAlignment="1">
      <alignment horizontal="left" vertical="top"/>
    </xf>
    <xf numFmtId="0" fontId="28" fillId="3" borderId="4" xfId="0" applyFont="1" applyFill="1" applyBorder="1" applyAlignment="1">
      <alignment horizontal="left" vertical="top"/>
    </xf>
    <xf numFmtId="0" fontId="28" fillId="3" borderId="5" xfId="0" applyFont="1" applyFill="1" applyBorder="1" applyAlignment="1">
      <alignment horizontal="left" vertical="top"/>
    </xf>
    <xf numFmtId="0" fontId="6" fillId="45" borderId="3" xfId="8736" applyFill="1" applyBorder="1" applyAlignment="1">
      <alignment horizontal="center"/>
    </xf>
    <xf numFmtId="0" fontId="6" fillId="45" borderId="4" xfId="8736" applyFill="1" applyBorder="1" applyAlignment="1">
      <alignment horizontal="center"/>
    </xf>
    <xf numFmtId="0" fontId="6" fillId="45" borderId="5" xfId="8736" applyFill="1" applyBorder="1" applyAlignment="1">
      <alignment horizontal="center"/>
    </xf>
    <xf numFmtId="0" fontId="171" fillId="44" borderId="80" xfId="8736" applyFont="1" applyFill="1" applyBorder="1" applyAlignment="1">
      <alignment horizontal="left"/>
    </xf>
    <xf numFmtId="0" fontId="171" fillId="44" borderId="79" xfId="8736" applyFont="1" applyFill="1" applyBorder="1" applyAlignment="1">
      <alignment horizontal="left"/>
    </xf>
    <xf numFmtId="0" fontId="171" fillId="44" borderId="78" xfId="8736" applyFont="1" applyFill="1" applyBorder="1" applyAlignment="1">
      <alignment horizontal="left"/>
    </xf>
    <xf numFmtId="0" fontId="172" fillId="45" borderId="11" xfId="8736" applyFont="1" applyFill="1" applyBorder="1" applyAlignment="1">
      <alignment horizontal="right"/>
    </xf>
    <xf numFmtId="1" fontId="171" fillId="48" borderId="11" xfId="8736" applyNumberFormat="1" applyFont="1" applyFill="1" applyBorder="1" applyAlignment="1" applyProtection="1">
      <alignment horizontal="center"/>
      <protection locked="0"/>
    </xf>
    <xf numFmtId="0" fontId="183" fillId="51" borderId="65" xfId="8736" applyFont="1" applyFill="1" applyBorder="1" applyAlignment="1">
      <alignment horizontal="center"/>
    </xf>
    <xf numFmtId="0" fontId="183" fillId="51" borderId="29" xfId="8736" applyFont="1" applyFill="1" applyBorder="1" applyAlignment="1">
      <alignment horizontal="center"/>
    </xf>
    <xf numFmtId="0" fontId="183" fillId="51" borderId="31" xfId="8736" applyFont="1" applyFill="1" applyBorder="1" applyAlignment="1">
      <alignment horizontal="center"/>
    </xf>
    <xf numFmtId="0" fontId="168" fillId="48" borderId="66" xfId="8736" applyFont="1" applyFill="1" applyBorder="1" applyAlignment="1">
      <alignment horizontal="center"/>
    </xf>
    <xf numFmtId="0" fontId="168" fillId="48" borderId="0" xfId="8736" applyFont="1" applyFill="1" applyAlignment="1">
      <alignment horizontal="center"/>
    </xf>
    <xf numFmtId="0" fontId="168" fillId="48" borderId="41" xfId="8736" applyFont="1" applyFill="1" applyBorder="1" applyAlignment="1">
      <alignment horizontal="center"/>
    </xf>
    <xf numFmtId="0" fontId="168" fillId="45" borderId="3" xfId="8736" applyFont="1" applyFill="1" applyBorder="1" applyAlignment="1">
      <alignment horizontal="center"/>
    </xf>
    <xf numFmtId="0" fontId="168" fillId="45" borderId="4" xfId="8736" applyFont="1" applyFill="1" applyBorder="1" applyAlignment="1">
      <alignment horizontal="center"/>
    </xf>
    <xf numFmtId="0" fontId="168" fillId="45" borderId="5" xfId="8736" applyFont="1" applyFill="1" applyBorder="1" applyAlignment="1">
      <alignment horizontal="center"/>
    </xf>
    <xf numFmtId="0" fontId="178" fillId="45" borderId="11" xfId="8736" applyFont="1" applyFill="1" applyBorder="1" applyAlignment="1">
      <alignment horizontal="right"/>
    </xf>
    <xf numFmtId="14" fontId="171" fillId="48" borderId="11" xfId="8736" applyNumberFormat="1"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6" fillId="44" borderId="80" xfId="8736" applyFill="1" applyBorder="1" applyAlignment="1">
      <alignment horizontal="center"/>
    </xf>
    <xf numFmtId="0" fontId="6" fillId="44" borderId="79" xfId="8736" applyFill="1" applyBorder="1" applyAlignment="1">
      <alignment horizontal="center"/>
    </xf>
    <xf numFmtId="0" fontId="6" fillId="44" borderId="78" xfId="8736" applyFill="1" applyBorder="1" applyAlignment="1">
      <alignment horizontal="center"/>
    </xf>
    <xf numFmtId="0" fontId="105" fillId="45" borderId="80" xfId="8736" applyFont="1" applyFill="1" applyBorder="1" applyAlignment="1">
      <alignment horizontal="center"/>
    </xf>
    <xf numFmtId="0" fontId="105" fillId="45" borderId="79" xfId="8736" applyFont="1" applyFill="1" applyBorder="1" applyAlignment="1">
      <alignment horizontal="center"/>
    </xf>
    <xf numFmtId="0" fontId="105" fillId="45" borderId="78" xfId="8736" applyFont="1" applyFill="1" applyBorder="1" applyAlignment="1">
      <alignment horizontal="center"/>
    </xf>
    <xf numFmtId="0" fontId="171" fillId="48" borderId="80" xfId="8736" applyFont="1" applyFill="1" applyBorder="1" applyAlignment="1" applyProtection="1">
      <alignment horizontal="center"/>
      <protection locked="0"/>
    </xf>
    <xf numFmtId="0" fontId="171" fillId="48" borderId="79" xfId="8736" applyFont="1" applyFill="1" applyBorder="1" applyAlignment="1" applyProtection="1">
      <alignment horizontal="center"/>
      <protection locked="0"/>
    </xf>
    <xf numFmtId="0" fontId="171" fillId="48" borderId="78" xfId="8736" applyFont="1" applyFill="1" applyBorder="1" applyAlignment="1" applyProtection="1">
      <alignment horizontal="center"/>
      <protection locked="0"/>
    </xf>
    <xf numFmtId="0" fontId="175" fillId="45" borderId="11" xfId="8736" applyFont="1" applyFill="1" applyBorder="1" applyAlignment="1">
      <alignment horizontal="right"/>
    </xf>
    <xf numFmtId="1" fontId="6" fillId="44" borderId="11" xfId="8736" applyNumberFormat="1" applyFill="1" applyBorder="1" applyAlignment="1">
      <alignment horizontal="center"/>
    </xf>
    <xf numFmtId="0" fontId="6" fillId="44" borderId="11" xfId="8736" applyFill="1" applyBorder="1" applyAlignment="1">
      <alignment horizontal="center"/>
    </xf>
    <xf numFmtId="0" fontId="172" fillId="45" borderId="11" xfId="8736" applyFont="1" applyFill="1" applyBorder="1" applyAlignment="1">
      <alignment horizontal="right" wrapText="1"/>
    </xf>
    <xf numFmtId="14" fontId="171" fillId="48" borderId="11" xfId="8736" applyNumberFormat="1" applyFont="1" applyFill="1" applyBorder="1" applyAlignment="1" applyProtection="1">
      <alignment horizontal="center" vertical="center"/>
      <protection locked="0"/>
    </xf>
    <xf numFmtId="0" fontId="171" fillId="48" borderId="11" xfId="8736" applyFont="1" applyFill="1" applyBorder="1" applyAlignment="1" applyProtection="1">
      <alignment horizontal="center" vertical="center"/>
      <protection locked="0"/>
    </xf>
    <xf numFmtId="168" fontId="176" fillId="44" borderId="11" xfId="8737" applyNumberFormat="1" applyFont="1" applyFill="1" applyBorder="1" applyAlignment="1" applyProtection="1">
      <alignment horizontal="left"/>
    </xf>
    <xf numFmtId="0" fontId="105" fillId="45" borderId="80" xfId="8736" applyFont="1" applyFill="1" applyBorder="1" applyAlignment="1">
      <alignment horizontal="right"/>
    </xf>
    <xf numFmtId="0" fontId="105" fillId="45" borderId="79" xfId="8736" applyFont="1" applyFill="1" applyBorder="1" applyAlignment="1">
      <alignment horizontal="right"/>
    </xf>
    <xf numFmtId="0" fontId="105" fillId="45" borderId="103" xfId="8736" applyFont="1" applyFill="1" applyBorder="1" applyAlignment="1">
      <alignment horizontal="right"/>
    </xf>
    <xf numFmtId="0" fontId="6" fillId="44" borderId="84" xfId="8736" applyFill="1" applyBorder="1" applyAlignment="1">
      <alignment horizontal="center"/>
    </xf>
    <xf numFmtId="0" fontId="6" fillId="44" borderId="102" xfId="8736" applyFill="1" applyBorder="1" applyAlignment="1">
      <alignment horizontal="center"/>
    </xf>
    <xf numFmtId="0" fontId="168" fillId="45" borderId="93" xfId="8736" applyFont="1" applyFill="1" applyBorder="1" applyAlignment="1">
      <alignment horizontal="center"/>
    </xf>
    <xf numFmtId="0" fontId="168" fillId="45" borderId="92" xfId="8736" applyFont="1" applyFill="1" applyBorder="1" applyAlignment="1">
      <alignment horizontal="center"/>
    </xf>
    <xf numFmtId="0" fontId="168" fillId="45" borderId="91" xfId="8736" applyFont="1" applyFill="1" applyBorder="1" applyAlignment="1">
      <alignment horizontal="center"/>
    </xf>
    <xf numFmtId="0" fontId="175" fillId="45" borderId="97" xfId="8736" applyFont="1" applyFill="1" applyBorder="1" applyAlignment="1">
      <alignment horizontal="center"/>
    </xf>
    <xf numFmtId="0" fontId="175" fillId="45" borderId="2" xfId="8736" applyFont="1" applyFill="1" applyBorder="1" applyAlignment="1">
      <alignment horizontal="center"/>
    </xf>
    <xf numFmtId="0" fontId="175" fillId="45" borderId="7" xfId="8736" applyFont="1" applyFill="1" applyBorder="1" applyAlignment="1">
      <alignment horizontal="center"/>
    </xf>
    <xf numFmtId="0" fontId="175" fillId="45" borderId="3" xfId="8736" applyFont="1" applyFill="1" applyBorder="1" applyAlignment="1">
      <alignment horizontal="center"/>
    </xf>
    <xf numFmtId="0" fontId="175" fillId="45" borderId="4" xfId="8736" applyFont="1" applyFill="1" applyBorder="1" applyAlignment="1">
      <alignment horizontal="center"/>
    </xf>
    <xf numFmtId="0" fontId="175" fillId="45" borderId="5" xfId="8736" applyFont="1" applyFill="1" applyBorder="1" applyAlignment="1">
      <alignment horizontal="center"/>
    </xf>
    <xf numFmtId="0" fontId="175" fillId="45" borderId="81" xfId="8736" applyFont="1" applyFill="1" applyBorder="1" applyAlignment="1">
      <alignment horizontal="center"/>
    </xf>
    <xf numFmtId="9" fontId="174" fillId="48" borderId="90" xfId="8736" applyNumberFormat="1" applyFont="1" applyFill="1" applyBorder="1" applyAlignment="1" applyProtection="1">
      <alignment horizontal="center"/>
      <protection locked="0"/>
    </xf>
    <xf numFmtId="9" fontId="174" fillId="48" borderId="4" xfId="8736" applyNumberFormat="1" applyFont="1" applyFill="1" applyBorder="1" applyAlignment="1" applyProtection="1">
      <alignment horizontal="center"/>
      <protection locked="0"/>
    </xf>
    <xf numFmtId="9" fontId="174" fillId="48" borderId="5" xfId="8736" applyNumberFormat="1" applyFont="1" applyFill="1" applyBorder="1" applyAlignment="1" applyProtection="1">
      <alignment horizontal="center"/>
      <protection locked="0"/>
    </xf>
    <xf numFmtId="0" fontId="174" fillId="44" borderId="3" xfId="8736" applyFont="1" applyFill="1" applyBorder="1" applyAlignment="1">
      <alignment horizontal="center"/>
    </xf>
    <xf numFmtId="0" fontId="174" fillId="44" borderId="4" xfId="8736" applyFont="1" applyFill="1" applyBorder="1" applyAlignment="1">
      <alignment horizontal="center"/>
    </xf>
    <xf numFmtId="0" fontId="174" fillId="44" borderId="5" xfId="8736" applyFont="1" applyFill="1" applyBorder="1" applyAlignment="1">
      <alignment horizontal="center"/>
    </xf>
    <xf numFmtId="10" fontId="175" fillId="44" borderId="3" xfId="8736" applyNumberFormat="1" applyFont="1" applyFill="1" applyBorder="1" applyAlignment="1">
      <alignment horizontal="center"/>
    </xf>
    <xf numFmtId="10" fontId="175" fillId="44" borderId="4" xfId="8736" applyNumberFormat="1" applyFont="1" applyFill="1" applyBorder="1" applyAlignment="1">
      <alignment horizontal="center"/>
    </xf>
    <xf numFmtId="10" fontId="175" fillId="44" borderId="81" xfId="8736" applyNumberFormat="1" applyFont="1" applyFill="1" applyBorder="1" applyAlignment="1">
      <alignment horizontal="center"/>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5" xfId="8736" applyFont="1" applyFill="1" applyBorder="1" applyAlignment="1" applyProtection="1">
      <alignment horizontal="center"/>
      <protection locked="0"/>
    </xf>
    <xf numFmtId="0" fontId="175" fillId="44" borderId="87"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0" fontId="174" fillId="44" borderId="94"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10" fontId="175" fillId="44" borderId="94" xfId="8736" applyNumberFormat="1" applyFont="1" applyFill="1" applyBorder="1" applyAlignment="1">
      <alignment horizontal="center"/>
    </xf>
    <xf numFmtId="10" fontId="175" fillId="44" borderId="86" xfId="8736" applyNumberFormat="1" applyFont="1" applyFill="1" applyBorder="1" applyAlignment="1">
      <alignment horizontal="center"/>
    </xf>
    <xf numFmtId="10" fontId="175" fillId="44" borderId="85" xfId="8736" applyNumberFormat="1" applyFont="1" applyFill="1" applyBorder="1" applyAlignment="1">
      <alignment horizontal="center"/>
    </xf>
    <xf numFmtId="0" fontId="175" fillId="44" borderId="101" xfId="8736" applyFont="1" applyFill="1" applyBorder="1" applyAlignment="1">
      <alignment horizontal="center"/>
    </xf>
    <xf numFmtId="0" fontId="175" fillId="44" borderId="42" xfId="8736" applyFont="1" applyFill="1" applyBorder="1" applyAlignment="1">
      <alignment horizontal="center"/>
    </xf>
    <xf numFmtId="0" fontId="175" fillId="44" borderId="96" xfId="8736"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7" fillId="45" borderId="98" xfId="8736" applyFont="1" applyFill="1" applyBorder="1" applyAlignment="1">
      <alignment horizontal="center" vertical="center" wrapText="1"/>
    </xf>
    <xf numFmtId="0" fontId="167" fillId="45" borderId="13" xfId="8736" applyFont="1" applyFill="1" applyBorder="1" applyAlignment="1">
      <alignment horizontal="center" vertical="center"/>
    </xf>
    <xf numFmtId="0" fontId="167" fillId="45" borderId="72" xfId="8736" applyFont="1" applyFill="1" applyBorder="1" applyAlignment="1">
      <alignment horizontal="center" vertical="center"/>
    </xf>
    <xf numFmtId="0" fontId="167" fillId="45" borderId="11" xfId="8736" applyFont="1" applyFill="1" applyBorder="1" applyAlignment="1">
      <alignment horizontal="center" vertical="center"/>
    </xf>
    <xf numFmtId="0" fontId="175" fillId="45" borderId="13" xfId="8736" applyFont="1" applyFill="1" applyBorder="1" applyAlignment="1">
      <alignment horizontal="center" vertical="center" wrapText="1"/>
    </xf>
    <xf numFmtId="0" fontId="175" fillId="45" borderId="13" xfId="8736" applyFont="1" applyFill="1" applyBorder="1" applyAlignment="1">
      <alignment horizontal="center" vertical="center"/>
    </xf>
    <xf numFmtId="0" fontId="175" fillId="45" borderId="11" xfId="8736" applyFont="1" applyFill="1" applyBorder="1" applyAlignment="1">
      <alignment horizontal="center" vertical="center"/>
    </xf>
    <xf numFmtId="0" fontId="175" fillId="45" borderId="9" xfId="8736" applyFont="1" applyFill="1" applyBorder="1" applyAlignment="1">
      <alignment horizontal="center" vertical="center"/>
    </xf>
    <xf numFmtId="0" fontId="175" fillId="45" borderId="3" xfId="8736" applyFont="1" applyFill="1" applyBorder="1" applyAlignment="1">
      <alignment horizontal="center" vertic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7" fillId="45" borderId="65" xfId="8736" applyFont="1" applyFill="1" applyBorder="1" applyAlignment="1">
      <alignment horizontal="center" vertical="center" wrapText="1"/>
    </xf>
    <xf numFmtId="0" fontId="167" fillId="45" borderId="29" xfId="8736" applyFont="1" applyFill="1" applyBorder="1" applyAlignment="1">
      <alignment horizontal="center" vertical="center" wrapText="1"/>
    </xf>
    <xf numFmtId="0" fontId="167" fillId="45" borderId="31" xfId="8736" applyFont="1" applyFill="1" applyBorder="1" applyAlignment="1">
      <alignment horizontal="center" vertical="center" wrapText="1"/>
    </xf>
    <xf numFmtId="0" fontId="167" fillId="45" borderId="73" xfId="8736" applyFont="1" applyFill="1" applyBorder="1" applyAlignment="1">
      <alignment horizontal="center" vertical="center" wrapText="1"/>
    </xf>
    <xf numFmtId="0" fontId="167" fillId="45" borderId="42" xfId="8736" applyFont="1" applyFill="1" applyBorder="1" applyAlignment="1">
      <alignment horizontal="center" vertical="center" wrapText="1"/>
    </xf>
    <xf numFmtId="0" fontId="167" fillId="45" borderId="44" xfId="8736" applyFont="1" applyFill="1" applyBorder="1" applyAlignment="1">
      <alignment horizontal="center" vertical="center" wrapText="1"/>
    </xf>
    <xf numFmtId="9" fontId="175" fillId="48" borderId="13" xfId="8736" applyNumberFormat="1" applyFont="1" applyFill="1" applyBorder="1" applyAlignment="1" applyProtection="1">
      <alignment horizontal="center"/>
      <protection locked="0"/>
    </xf>
    <xf numFmtId="0" fontId="175" fillId="44" borderId="73" xfId="8736" applyFont="1" applyFill="1" applyBorder="1" applyAlignment="1">
      <alignment horizontal="center"/>
    </xf>
    <xf numFmtId="0" fontId="167" fillId="44" borderId="9" xfId="8736" applyFont="1" applyFill="1" applyBorder="1" applyAlignment="1">
      <alignment horizontal="center"/>
    </xf>
    <xf numFmtId="0" fontId="167" fillId="44" borderId="6" xfId="8736" applyFont="1" applyFill="1" applyBorder="1" applyAlignment="1">
      <alignment horizontal="center"/>
    </xf>
    <xf numFmtId="0" fontId="167" fillId="44" borderId="82" xfId="8736" applyFont="1" applyFill="1" applyBorder="1" applyAlignment="1">
      <alignment horizontal="center"/>
    </xf>
    <xf numFmtId="9" fontId="175" fillId="48" borderId="9" xfId="8736" applyNumberFormat="1" applyFont="1" applyFill="1" applyBorder="1" applyAlignment="1" applyProtection="1">
      <alignment horizontal="center"/>
      <protection locked="0"/>
    </xf>
    <xf numFmtId="9" fontId="175" fillId="48" borderId="6" xfId="8736" applyNumberFormat="1" applyFont="1" applyFill="1" applyBorder="1" applyAlignment="1" applyProtection="1">
      <alignment horizontal="center"/>
      <protection locked="0"/>
    </xf>
    <xf numFmtId="9" fontId="175" fillId="48" borderId="10" xfId="8736" applyNumberFormat="1" applyFont="1" applyFill="1" applyBorder="1" applyAlignment="1" applyProtection="1">
      <alignment horizontal="center"/>
      <protection locked="0"/>
    </xf>
    <xf numFmtId="9" fontId="167" fillId="48" borderId="9" xfId="8736" applyNumberFormat="1" applyFont="1" applyFill="1" applyBorder="1" applyAlignment="1" applyProtection="1">
      <alignment horizontal="center"/>
      <protection locked="0"/>
    </xf>
    <xf numFmtId="9" fontId="167" fillId="48" borderId="6" xfId="8736" applyNumberFormat="1" applyFont="1" applyFill="1" applyBorder="1" applyAlignment="1" applyProtection="1">
      <alignment horizontal="center"/>
      <protection locked="0"/>
    </xf>
    <xf numFmtId="9" fontId="167" fillId="48" borderId="10" xfId="8736" applyNumberFormat="1" applyFont="1" applyFill="1" applyBorder="1" applyAlignment="1" applyProtection="1">
      <alignment horizontal="center"/>
      <protection locked="0"/>
    </xf>
    <xf numFmtId="0" fontId="167" fillId="44" borderId="10" xfId="8736" applyFont="1" applyFill="1" applyBorder="1" applyAlignment="1">
      <alignment horizontal="center"/>
    </xf>
    <xf numFmtId="1" fontId="179" fillId="48" borderId="3" xfId="8736" applyNumberFormat="1" applyFont="1" applyFill="1" applyBorder="1" applyAlignment="1" applyProtection="1">
      <alignment horizontal="center"/>
      <protection locked="0"/>
    </xf>
    <xf numFmtId="1" fontId="179" fillId="48" borderId="4" xfId="8736" applyNumberFormat="1" applyFont="1" applyFill="1" applyBorder="1" applyAlignment="1" applyProtection="1">
      <alignment horizontal="center"/>
      <protection locked="0"/>
    </xf>
    <xf numFmtId="1" fontId="179" fillId="48" borderId="5" xfId="8736" applyNumberFormat="1" applyFont="1" applyFill="1" applyBorder="1" applyAlignment="1" applyProtection="1">
      <alignment horizontal="center"/>
      <protection locked="0"/>
    </xf>
    <xf numFmtId="1" fontId="167" fillId="44" borderId="3" xfId="8736" applyNumberFormat="1" applyFont="1" applyFill="1" applyBorder="1" applyAlignment="1">
      <alignment horizontal="center"/>
    </xf>
    <xf numFmtId="1" fontId="167" fillId="44" borderId="4" xfId="8736" applyNumberFormat="1" applyFont="1" applyFill="1" applyBorder="1" applyAlignment="1">
      <alignment horizontal="center"/>
    </xf>
    <xf numFmtId="1" fontId="167" fillId="44" borderId="5" xfId="8736" applyNumberFormat="1" applyFont="1" applyFill="1" applyBorder="1" applyAlignment="1">
      <alignment horizontal="center"/>
    </xf>
    <xf numFmtId="9" fontId="167" fillId="44" borderId="3" xfId="8738" applyFont="1" applyFill="1" applyBorder="1" applyAlignment="1">
      <alignment horizontal="center"/>
    </xf>
    <xf numFmtId="9" fontId="167" fillId="44" borderId="4" xfId="8738" applyFont="1" applyFill="1" applyBorder="1" applyAlignment="1">
      <alignment horizontal="center"/>
    </xf>
    <xf numFmtId="9" fontId="167" fillId="44" borderId="81" xfId="8738" applyFont="1" applyFill="1" applyBorder="1" applyAlignment="1">
      <alignment horizontal="center"/>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0" fontId="179" fillId="48" borderId="11" xfId="8736" applyFont="1" applyFill="1" applyBorder="1" applyAlignment="1" applyProtection="1">
      <alignment horizontal="center"/>
      <protection locked="0"/>
    </xf>
    <xf numFmtId="1" fontId="179" fillId="48" borderId="11" xfId="8736" applyNumberFormat="1" applyFont="1" applyFill="1" applyBorder="1" applyAlignment="1" applyProtection="1">
      <alignment horizontal="center"/>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4" fillId="48" borderId="69" xfId="8736" applyFont="1" applyFill="1" applyBorder="1" applyAlignment="1" applyProtection="1">
      <alignment horizontal="right"/>
      <protection locked="0"/>
    </xf>
    <xf numFmtId="0" fontId="174" fillId="48" borderId="70" xfId="8736" applyFont="1" applyFill="1" applyBorder="1" applyAlignment="1" applyProtection="1">
      <alignment horizontal="right"/>
      <protection locked="0"/>
    </xf>
    <xf numFmtId="0" fontId="179" fillId="48" borderId="70" xfId="8736" applyFont="1" applyFill="1" applyBorder="1" applyAlignment="1" applyProtection="1">
      <alignment horizontal="center"/>
      <protection locked="0"/>
    </xf>
    <xf numFmtId="1" fontId="179" fillId="48" borderId="70" xfId="8736" applyNumberFormat="1" applyFont="1" applyFill="1" applyBorder="1" applyAlignment="1" applyProtection="1">
      <alignment horizontal="center"/>
      <protection locked="0"/>
    </xf>
    <xf numFmtId="9" fontId="167" fillId="44" borderId="94" xfId="8738" applyFont="1" applyFill="1" applyBorder="1" applyAlignment="1">
      <alignment horizontal="center"/>
    </xf>
    <xf numFmtId="9" fontId="167" fillId="44" borderId="86" xfId="8738" applyFont="1" applyFill="1" applyBorder="1" applyAlignment="1">
      <alignment horizontal="center"/>
    </xf>
    <xf numFmtId="9" fontId="167" fillId="44" borderId="85" xfId="8738" applyFont="1" applyFill="1" applyBorder="1" applyAlignment="1">
      <alignment horizontal="center"/>
    </xf>
    <xf numFmtId="1" fontId="179" fillId="48" borderId="94" xfId="8736" applyNumberFormat="1" applyFont="1" applyFill="1" applyBorder="1" applyAlignment="1" applyProtection="1">
      <alignment horizontal="center"/>
      <protection locked="0"/>
    </xf>
    <xf numFmtId="1" fontId="179" fillId="48" borderId="86" xfId="8736" applyNumberFormat="1" applyFont="1" applyFill="1" applyBorder="1" applyAlignment="1" applyProtection="1">
      <alignment horizontal="center"/>
      <protection locked="0"/>
    </xf>
    <xf numFmtId="1" fontId="179" fillId="48" borderId="95" xfId="8736" applyNumberFormat="1" applyFont="1" applyFill="1" applyBorder="1" applyAlignment="1" applyProtection="1">
      <alignment horizontal="center"/>
      <protection locked="0"/>
    </xf>
    <xf numFmtId="0" fontId="168" fillId="45" borderId="67" xfId="8736" applyFont="1" applyFill="1" applyBorder="1" applyAlignment="1">
      <alignment horizontal="center"/>
    </xf>
    <xf numFmtId="0" fontId="168" fillId="45" borderId="68" xfId="8736" applyFont="1" applyFill="1" applyBorder="1" applyAlignment="1">
      <alignment horizontal="center"/>
    </xf>
    <xf numFmtId="0" fontId="168" fillId="45" borderId="71" xfId="8736" applyFont="1" applyFill="1" applyBorder="1" applyAlignment="1">
      <alignment horizontal="center"/>
    </xf>
    <xf numFmtId="0" fontId="175" fillId="45" borderId="72" xfId="8736" applyFont="1" applyFill="1" applyBorder="1" applyAlignment="1">
      <alignment horizontal="center"/>
    </xf>
    <xf numFmtId="0" fontId="175" fillId="45" borderId="11" xfId="8736" applyFont="1" applyFill="1" applyBorder="1" applyAlignment="1">
      <alignment horizontal="center"/>
    </xf>
    <xf numFmtId="0" fontId="167" fillId="45" borderId="11" xfId="8736" applyFont="1" applyFill="1" applyBorder="1" applyAlignment="1">
      <alignment horizontal="center" vertical="center" wrapText="1"/>
    </xf>
    <xf numFmtId="0" fontId="167" fillId="45" borderId="76" xfId="8736" applyFont="1" applyFill="1" applyBorder="1" applyAlignment="1">
      <alignment horizontal="center" vertical="center" wrapText="1"/>
    </xf>
    <xf numFmtId="0" fontId="174" fillId="48" borderId="11" xfId="8736"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 fontId="174" fillId="48" borderId="11" xfId="8736"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0" fontId="168" fillId="45" borderId="65" xfId="8736" applyFont="1" applyFill="1" applyBorder="1" applyAlignment="1">
      <alignment horizontal="center"/>
    </xf>
    <xf numFmtId="0" fontId="168" fillId="45" borderId="29" xfId="8736" applyFont="1" applyFill="1" applyBorder="1" applyAlignment="1">
      <alignment horizontal="center"/>
    </xf>
    <xf numFmtId="0" fontId="168" fillId="45" borderId="31" xfId="8736" applyFont="1" applyFill="1" applyBorder="1" applyAlignment="1">
      <alignment horizontal="center"/>
    </xf>
    <xf numFmtId="0" fontId="174" fillId="44" borderId="72" xfId="8736" applyFont="1" applyFill="1" applyBorder="1" applyAlignment="1" applyProtection="1">
      <alignment horizontal="right"/>
      <protection locked="0"/>
    </xf>
    <xf numFmtId="0" fontId="174" fillId="44" borderId="11" xfId="8736" applyFont="1" applyFill="1" applyBorder="1" applyAlignment="1" applyProtection="1">
      <alignment horizontal="right"/>
      <protection locked="0"/>
    </xf>
    <xf numFmtId="0" fontId="174" fillId="44" borderId="76" xfId="8736" applyFont="1" applyFill="1" applyBorder="1" applyAlignment="1" applyProtection="1">
      <alignment horizontal="right"/>
      <protection locked="0"/>
    </xf>
    <xf numFmtId="0" fontId="174" fillId="48" borderId="5" xfId="8736" applyFont="1" applyFill="1" applyBorder="1" applyAlignment="1" applyProtection="1">
      <alignment horizontal="left"/>
      <protection locked="0"/>
    </xf>
    <xf numFmtId="0" fontId="174" fillId="48" borderId="11" xfId="8736" applyFont="1" applyFill="1" applyBorder="1" applyAlignment="1" applyProtection="1">
      <alignment horizontal="left"/>
      <protection locked="0"/>
    </xf>
    <xf numFmtId="0" fontId="174" fillId="48" borderId="76" xfId="8736" applyFont="1" applyFill="1" applyBorder="1" applyAlignment="1" applyProtection="1">
      <alignment horizontal="left"/>
      <protection locked="0"/>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168" fontId="175" fillId="45" borderId="70" xfId="8737" applyNumberFormat="1" applyFont="1" applyFill="1" applyBorder="1" applyAlignment="1">
      <alignment horizontal="center"/>
    </xf>
    <xf numFmtId="1" fontId="175" fillId="45" borderId="70" xfId="8737" applyNumberFormat="1" applyFont="1" applyFill="1" applyBorder="1" applyAlignment="1">
      <alignment horizontal="center"/>
    </xf>
    <xf numFmtId="0" fontId="175" fillId="45" borderId="70" xfId="8737" applyNumberFormat="1" applyFont="1" applyFill="1" applyBorder="1" applyAlignment="1">
      <alignment horizontal="center"/>
    </xf>
    <xf numFmtId="0" fontId="175" fillId="45" borderId="77" xfId="8737" applyNumberFormat="1" applyFont="1" applyFill="1" applyBorder="1" applyAlignment="1">
      <alignment horizontal="center"/>
    </xf>
    <xf numFmtId="0" fontId="171" fillId="48" borderId="74" xfId="8736" applyFont="1" applyFill="1" applyBorder="1" applyAlignment="1" applyProtection="1">
      <alignment horizontal="left"/>
      <protection locked="0"/>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8" fillId="45" borderId="72" xfId="8736" applyFont="1" applyFill="1" applyBorder="1" applyAlignment="1">
      <alignment horizontal="center"/>
    </xf>
    <xf numFmtId="0" fontId="168" fillId="45" borderId="11" xfId="8736" applyFont="1" applyFill="1" applyBorder="1" applyAlignment="1">
      <alignment horizontal="center"/>
    </xf>
    <xf numFmtId="0" fontId="168" fillId="45" borderId="81" xfId="8736" applyFont="1" applyFill="1" applyBorder="1" applyAlignment="1">
      <alignment horizontal="center"/>
    </xf>
    <xf numFmtId="0" fontId="105" fillId="45" borderId="69" xfId="8736" applyFont="1" applyFill="1" applyBorder="1" applyAlignment="1">
      <alignment horizontal="center"/>
    </xf>
    <xf numFmtId="0" fontId="105" fillId="45" borderId="70" xfId="8736" applyFont="1" applyFill="1" applyBorder="1" applyAlignment="1">
      <alignment horizontal="center"/>
    </xf>
    <xf numFmtId="0" fontId="174" fillId="44" borderId="69" xfId="8736" applyFont="1" applyFill="1" applyBorder="1" applyAlignment="1" applyProtection="1">
      <alignment horizontal="right"/>
      <protection locked="0"/>
    </xf>
    <xf numFmtId="0" fontId="174" fillId="44" borderId="70" xfId="8736" applyFont="1" applyFill="1" applyBorder="1" applyAlignment="1" applyProtection="1">
      <alignment horizontal="right"/>
      <protection locked="0"/>
    </xf>
    <xf numFmtId="0" fontId="174" fillId="44" borderId="77" xfId="8736" applyFont="1" applyFill="1" applyBorder="1" applyAlignment="1" applyProtection="1">
      <alignment horizontal="right"/>
      <protection locked="0"/>
    </xf>
    <xf numFmtId="0" fontId="174" fillId="48" borderId="95" xfId="8736" applyFont="1" applyFill="1" applyBorder="1" applyAlignment="1" applyProtection="1">
      <alignment horizontal="left"/>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6" fillId="48" borderId="11" xfId="700" applyNumberFormat="1" applyFont="1" applyFill="1" applyBorder="1" applyAlignment="1" applyProtection="1">
      <alignment horizontal="left"/>
      <protection locked="0"/>
    </xf>
    <xf numFmtId="168" fontId="176" fillId="48" borderId="76" xfId="700" applyNumberFormat="1" applyFont="1" applyFill="1" applyBorder="1" applyAlignment="1" applyProtection="1">
      <alignment horizontal="left"/>
      <protection locked="0"/>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68" fillId="45" borderId="69" xfId="8736" applyFont="1" applyFill="1" applyBorder="1" applyAlignment="1">
      <alignment horizontal="center"/>
    </xf>
    <xf numFmtId="0" fontId="168" fillId="45" borderId="70" xfId="8736" applyFont="1" applyFill="1" applyBorder="1" applyAlignment="1">
      <alignment horizontal="center"/>
    </xf>
    <xf numFmtId="0" fontId="105" fillId="45" borderId="67" xfId="8736" applyFont="1" applyFill="1" applyBorder="1" applyAlignment="1">
      <alignment horizontal="center"/>
    </xf>
    <xf numFmtId="0" fontId="105" fillId="45" borderId="68" xfId="8736" applyFont="1" applyFill="1" applyBorder="1" applyAlignment="1">
      <alignment horizontal="center"/>
    </xf>
    <xf numFmtId="0" fontId="168" fillId="45" borderId="98" xfId="8736" applyFont="1" applyFill="1" applyBorder="1" applyAlignment="1">
      <alignment horizontal="center"/>
    </xf>
    <xf numFmtId="0" fontId="168" fillId="45" borderId="13" xfId="8736" applyFont="1" applyFill="1" applyBorder="1" applyAlignment="1">
      <alignment horizontal="center"/>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74" fillId="48" borderId="72" xfId="8736" applyFont="1" applyFill="1" applyBorder="1" applyAlignment="1" applyProtection="1">
      <alignment horizontal="center"/>
      <protection locked="0"/>
    </xf>
    <xf numFmtId="0" fontId="168" fillId="45" borderId="89" xfId="8736" applyFont="1" applyFill="1" applyBorder="1" applyAlignment="1">
      <alignment horizontal="right"/>
    </xf>
    <xf numFmtId="0" fontId="168" fillId="45" borderId="43" xfId="8736" applyFont="1" applyFill="1" applyBorder="1" applyAlignment="1">
      <alignment horizontal="right"/>
    </xf>
    <xf numFmtId="168" fontId="168" fillId="45" borderId="43" xfId="8736" applyNumberFormat="1" applyFont="1" applyFill="1" applyBorder="1" applyAlignment="1">
      <alignment horizontal="left"/>
    </xf>
    <xf numFmtId="168" fontId="168" fillId="45" borderId="88" xfId="8736" applyNumberFormat="1" applyFont="1" applyFill="1" applyBorder="1" applyAlignment="1">
      <alignment horizontal="left"/>
    </xf>
    <xf numFmtId="0" fontId="2" fillId="48" borderId="9" xfId="8736" applyFont="1" applyFill="1" applyBorder="1" applyAlignment="1" applyProtection="1">
      <alignment horizontal="center"/>
      <protection locked="0"/>
    </xf>
    <xf numFmtId="0" fontId="6" fillId="48" borderId="6" xfId="8736" applyFill="1" applyBorder="1" applyAlignment="1" applyProtection="1">
      <alignment horizontal="center"/>
      <protection locked="0"/>
    </xf>
    <xf numFmtId="0" fontId="6" fillId="48" borderId="82" xfId="8736" applyFill="1" applyBorder="1" applyAlignment="1" applyProtection="1">
      <alignment horizontal="center"/>
      <protection locked="0"/>
    </xf>
    <xf numFmtId="0" fontId="105" fillId="45" borderId="67" xfId="8736" applyFont="1" applyFill="1" applyBorder="1" applyAlignment="1">
      <alignment horizontal="center" wrapText="1"/>
    </xf>
    <xf numFmtId="0" fontId="105" fillId="45" borderId="68" xfId="8736" applyFont="1" applyFill="1" applyBorder="1" applyAlignment="1">
      <alignment horizontal="center" wrapText="1"/>
    </xf>
    <xf numFmtId="0" fontId="105" fillId="45" borderId="71" xfId="8736" applyFont="1" applyFill="1" applyBorder="1" applyAlignment="1">
      <alignment horizontal="center" wrapText="1"/>
    </xf>
    <xf numFmtId="0" fontId="105" fillId="45" borderId="67" xfId="8736" applyFont="1" applyFill="1" applyBorder="1" applyAlignment="1">
      <alignment horizontal="left" wrapText="1"/>
    </xf>
    <xf numFmtId="0" fontId="105" fillId="45" borderId="68" xfId="8736" applyFont="1" applyFill="1" applyBorder="1" applyAlignment="1">
      <alignment horizontal="left" wrapText="1"/>
    </xf>
    <xf numFmtId="0" fontId="105" fillId="45" borderId="72" xfId="8736" applyFont="1" applyFill="1" applyBorder="1" applyAlignment="1">
      <alignment horizontal="left" wrapText="1"/>
    </xf>
    <xf numFmtId="0" fontId="105" fillId="45" borderId="11" xfId="8736" applyFont="1" applyFill="1" applyBorder="1" applyAlignment="1">
      <alignment horizontal="left" wrapText="1"/>
    </xf>
    <xf numFmtId="0" fontId="171" fillId="48" borderId="68" xfId="8736" applyFont="1" applyFill="1" applyBorder="1" applyAlignment="1" applyProtection="1">
      <alignment horizontal="left" wrapText="1"/>
      <protection locked="0"/>
    </xf>
    <xf numFmtId="0" fontId="171" fillId="48" borderId="71" xfId="8736" applyFont="1" applyFill="1" applyBorder="1" applyAlignment="1" applyProtection="1">
      <alignment horizontal="left" wrapText="1"/>
      <protection locked="0"/>
    </xf>
    <xf numFmtId="0" fontId="171" fillId="48" borderId="11" xfId="8736" applyFont="1" applyFill="1" applyBorder="1" applyAlignment="1" applyProtection="1">
      <alignment horizontal="left" wrapText="1"/>
      <protection locked="0"/>
    </xf>
    <xf numFmtId="0" fontId="171" fillId="48" borderId="76" xfId="8736" applyFont="1" applyFill="1" applyBorder="1" applyAlignment="1" applyProtection="1">
      <alignment horizontal="left" wrapText="1"/>
      <protection locked="0"/>
    </xf>
    <xf numFmtId="0" fontId="175" fillId="45" borderId="11" xfId="8736" applyFont="1" applyFill="1" applyBorder="1" applyAlignment="1">
      <alignment horizontal="center" wrapText="1"/>
    </xf>
    <xf numFmtId="0" fontId="167" fillId="45" borderId="11" xfId="8736" applyFont="1" applyFill="1" applyBorder="1" applyAlignment="1">
      <alignment horizontal="center"/>
    </xf>
    <xf numFmtId="0" fontId="167" fillId="45" borderId="76" xfId="8736" applyFont="1" applyFill="1" applyBorder="1" applyAlignment="1">
      <alignment horizontal="center"/>
    </xf>
    <xf numFmtId="0" fontId="6" fillId="48" borderId="70" xfId="8736" applyFill="1" applyBorder="1" applyAlignment="1" applyProtection="1">
      <alignment horizontal="center"/>
      <protection locked="0"/>
    </xf>
    <xf numFmtId="0" fontId="6" fillId="48" borderId="77" xfId="8736" applyFill="1" applyBorder="1" applyAlignment="1" applyProtection="1">
      <alignment horizontal="center"/>
      <protection locked="0"/>
    </xf>
    <xf numFmtId="0" fontId="6" fillId="48" borderId="11" xfId="8736" applyFill="1" applyBorder="1" applyAlignment="1" applyProtection="1">
      <alignment horizontal="center"/>
      <protection locked="0"/>
    </xf>
    <xf numFmtId="0" fontId="6" fillId="48" borderId="76" xfId="8736" applyFill="1" applyBorder="1" applyAlignment="1" applyProtection="1">
      <alignment horizontal="center"/>
      <protection locked="0"/>
    </xf>
    <xf numFmtId="0" fontId="6" fillId="48" borderId="9" xfId="8736" applyFill="1" applyBorder="1" applyAlignment="1" applyProtection="1">
      <alignment horizontal="center"/>
      <protection locked="0"/>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81" xfId="8736" applyFont="1" applyFill="1" applyBorder="1" applyAlignment="1" applyProtection="1">
      <alignment horizontal="center"/>
      <protection locked="0"/>
    </xf>
    <xf numFmtId="0" fontId="105" fillId="45" borderId="71" xfId="8736" applyFont="1" applyFill="1" applyBorder="1" applyAlignment="1">
      <alignment horizontal="center"/>
    </xf>
    <xf numFmtId="0" fontId="105" fillId="45" borderId="67" xfId="8736" applyFont="1" applyFill="1" applyBorder="1" applyAlignment="1" applyProtection="1">
      <alignment horizontal="left" vertical="center" wrapText="1"/>
      <protection locked="0"/>
    </xf>
    <xf numFmtId="0" fontId="105" fillId="45" borderId="68" xfId="8736" applyFont="1" applyFill="1" applyBorder="1" applyAlignment="1" applyProtection="1">
      <alignment horizontal="left" vertical="center" wrapText="1"/>
      <protection locked="0"/>
    </xf>
    <xf numFmtId="0" fontId="105" fillId="45" borderId="72" xfId="8736" applyFont="1" applyFill="1" applyBorder="1" applyAlignment="1" applyProtection="1">
      <alignment horizontal="left" vertical="center" wrapText="1"/>
      <protection locked="0"/>
    </xf>
    <xf numFmtId="0" fontId="105" fillId="45" borderId="11" xfId="8736" applyFont="1" applyFill="1" applyBorder="1" applyAlignment="1" applyProtection="1">
      <alignment horizontal="left" vertical="center" wrapText="1"/>
      <protection locked="0"/>
    </xf>
    <xf numFmtId="0" fontId="171" fillId="48" borderId="68" xfId="8736" applyFont="1" applyFill="1" applyBorder="1" applyAlignment="1" applyProtection="1">
      <alignment horizontal="left" vertical="center" wrapText="1"/>
      <protection locked="0"/>
    </xf>
    <xf numFmtId="0" fontId="171" fillId="48" borderId="71" xfId="8736" applyFont="1" applyFill="1" applyBorder="1" applyAlignment="1" applyProtection="1">
      <alignment horizontal="left" vertical="center" wrapText="1"/>
      <protection locked="0"/>
    </xf>
    <xf numFmtId="0" fontId="171" fillId="48" borderId="11" xfId="8736" applyFont="1" applyFill="1" applyBorder="1" applyAlignment="1" applyProtection="1">
      <alignment horizontal="left" vertical="center" wrapText="1"/>
      <protection locked="0"/>
    </xf>
    <xf numFmtId="0" fontId="171" fillId="48" borderId="76" xfId="8736" applyFont="1" applyFill="1" applyBorder="1" applyAlignment="1" applyProtection="1">
      <alignment horizontal="left" vertical="center" wrapText="1"/>
      <protection locked="0"/>
    </xf>
    <xf numFmtId="0" fontId="174" fillId="48" borderId="72"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left" vertical="top" wrapText="1"/>
      <protection locked="0"/>
    </xf>
    <xf numFmtId="0" fontId="174" fillId="48" borderId="69" xfId="8736" applyFont="1" applyFill="1" applyBorder="1" applyAlignment="1" applyProtection="1">
      <alignment horizontal="left" vertical="top" wrapText="1"/>
      <protection locked="0"/>
    </xf>
    <xf numFmtId="0" fontId="174" fillId="48" borderId="70"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center" vertical="center" wrapText="1"/>
      <protection locked="0"/>
    </xf>
    <xf numFmtId="0" fontId="171" fillId="48" borderId="76" xfId="8736" applyFont="1" applyFill="1" applyBorder="1" applyAlignment="1" applyProtection="1">
      <alignment horizontal="center" vertical="center" wrapText="1"/>
      <protection locked="0"/>
    </xf>
    <xf numFmtId="0" fontId="171" fillId="48" borderId="70" xfId="8736" applyFont="1" applyFill="1" applyBorder="1" applyAlignment="1" applyProtection="1">
      <alignment horizontal="center" vertical="center" wrapText="1"/>
      <protection locked="0"/>
    </xf>
    <xf numFmtId="0" fontId="171" fillId="48" borderId="77" xfId="8736" applyFont="1" applyFill="1" applyBorder="1" applyAlignment="1" applyProtection="1">
      <alignment horizontal="center" vertical="center" wrapText="1"/>
      <protection locked="0"/>
    </xf>
    <xf numFmtId="0" fontId="178" fillId="45" borderId="72" xfId="8736" applyFont="1" applyFill="1" applyBorder="1" applyAlignment="1">
      <alignment horizontal="left"/>
    </xf>
    <xf numFmtId="0" fontId="178" fillId="45" borderId="11" xfId="8736" applyFont="1" applyFill="1" applyBorder="1" applyAlignment="1">
      <alignment horizontal="left"/>
    </xf>
    <xf numFmtId="0" fontId="178" fillId="45" borderId="69" xfId="8736" applyFont="1" applyFill="1" applyBorder="1" applyAlignment="1">
      <alignment horizontal="left"/>
    </xf>
    <xf numFmtId="0" fontId="178" fillId="45" borderId="70" xfId="8736" applyFont="1" applyFill="1" applyBorder="1" applyAlignment="1">
      <alignment horizontal="left"/>
    </xf>
    <xf numFmtId="0" fontId="6" fillId="51" borderId="70" xfId="8736" applyFill="1" applyBorder="1" applyAlignment="1" applyProtection="1">
      <alignment horizontal="center"/>
      <protection locked="0"/>
    </xf>
    <xf numFmtId="0" fontId="6" fillId="51" borderId="77" xfId="8736" applyFill="1" applyBorder="1" applyAlignment="1" applyProtection="1">
      <alignment horizontal="center"/>
      <protection locked="0"/>
    </xf>
    <xf numFmtId="0" fontId="105" fillId="45" borderId="71" xfId="8736" applyFont="1" applyFill="1" applyBorder="1" applyAlignment="1">
      <alignment horizontal="left" wrapText="1"/>
    </xf>
    <xf numFmtId="0" fontId="105" fillId="45" borderId="76" xfId="8736" applyFont="1" applyFill="1" applyBorder="1" applyAlignment="1">
      <alignment horizontal="left" wrapText="1"/>
    </xf>
    <xf numFmtId="0" fontId="105" fillId="45" borderId="65" xfId="8736" applyFont="1" applyFill="1" applyBorder="1" applyAlignment="1">
      <alignment horizontal="center"/>
    </xf>
    <xf numFmtId="0" fontId="105" fillId="45" borderId="29" xfId="8736" applyFont="1" applyFill="1" applyBorder="1" applyAlignment="1">
      <alignment horizontal="center"/>
    </xf>
    <xf numFmtId="0" fontId="105" fillId="45" borderId="31" xfId="8736" applyFont="1" applyFill="1" applyBorder="1" applyAlignment="1">
      <alignment horizontal="center"/>
    </xf>
    <xf numFmtId="0" fontId="167" fillId="48" borderId="90" xfId="8736" applyFont="1" applyFill="1" applyBorder="1" applyAlignment="1">
      <alignment horizontal="left"/>
    </xf>
    <xf numFmtId="0" fontId="167" fillId="48" borderId="4" xfId="8736" applyFont="1" applyFill="1" applyBorder="1" applyAlignment="1">
      <alignment horizontal="left"/>
    </xf>
    <xf numFmtId="0" fontId="167" fillId="48" borderId="5" xfId="8736" applyFont="1" applyFill="1" applyBorder="1" applyAlignment="1">
      <alignment horizontal="left"/>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79" fillId="48" borderId="11" xfId="8736" applyFont="1" applyFill="1" applyBorder="1" applyAlignment="1" applyProtection="1">
      <alignment horizontal="left"/>
      <protection locked="0"/>
    </xf>
    <xf numFmtId="0" fontId="179" fillId="48" borderId="76" xfId="8736" applyFont="1" applyFill="1" applyBorder="1" applyAlignment="1" applyProtection="1">
      <alignment horizontal="left"/>
      <protection locked="0"/>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05" fillId="45" borderId="72" xfId="8736" applyFont="1" applyFill="1" applyBorder="1" applyAlignment="1">
      <alignment horizontal="center"/>
    </xf>
    <xf numFmtId="0" fontId="105" fillId="45" borderId="11" xfId="8736" applyFont="1" applyFill="1" applyBorder="1" applyAlignment="1">
      <alignment horizontal="center"/>
    </xf>
    <xf numFmtId="0" fontId="167" fillId="45" borderId="11" xfId="8736" applyFont="1" applyFill="1" applyBorder="1" applyAlignment="1">
      <alignment horizontal="center" wrapText="1"/>
    </xf>
    <xf numFmtId="0" fontId="167" fillId="45" borderId="76" xfId="8736" applyFont="1" applyFill="1" applyBorder="1" applyAlignment="1">
      <alignment horizontal="center" wrapText="1"/>
    </xf>
    <xf numFmtId="0" fontId="181" fillId="45" borderId="11" xfId="8736" applyFont="1" applyFill="1" applyBorder="1" applyAlignment="1">
      <alignment horizontal="left"/>
    </xf>
    <xf numFmtId="0" fontId="181" fillId="45" borderId="76" xfId="8736" applyFont="1" applyFill="1" applyBorder="1" applyAlignment="1">
      <alignment horizontal="left"/>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76" fillId="48" borderId="11" xfId="8736"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14" fontId="176" fillId="48" borderId="11" xfId="8736" applyNumberFormat="1" applyFont="1" applyFill="1" applyBorder="1" applyAlignment="1" applyProtection="1">
      <alignment horizontal="center"/>
      <protection locked="0"/>
    </xf>
    <xf numFmtId="0" fontId="105" fillId="45" borderId="76" xfId="8736" applyFont="1" applyFill="1" applyBorder="1" applyAlignment="1">
      <alignment horizontal="center"/>
    </xf>
    <xf numFmtId="168" fontId="176" fillId="48" borderId="11" xfId="8737" applyNumberFormat="1" applyFont="1" applyFill="1" applyBorder="1" applyAlignment="1" applyProtection="1">
      <alignment horizontal="center"/>
      <protection locked="0"/>
    </xf>
    <xf numFmtId="168" fontId="176" fillId="48" borderId="76" xfId="8737" applyNumberFormat="1" applyFont="1" applyFill="1" applyBorder="1" applyAlignment="1" applyProtection="1">
      <alignment horizontal="center"/>
      <protection locked="0"/>
    </xf>
    <xf numFmtId="0" fontId="177" fillId="48" borderId="11"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7" fillId="48" borderId="70" xfId="8736" applyFont="1" applyFill="1" applyBorder="1" applyAlignment="1" applyProtection="1">
      <alignment horizontal="left"/>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68" fontId="176" fillId="48" borderId="70" xfId="8737" applyNumberFormat="1" applyFont="1" applyFill="1" applyBorder="1" applyAlignment="1" applyProtection="1">
      <alignment horizontal="center"/>
      <protection locked="0"/>
    </xf>
    <xf numFmtId="168" fontId="176" fillId="48" borderId="77" xfId="8737" applyNumberFormat="1" applyFont="1" applyFill="1" applyBorder="1" applyAlignment="1" applyProtection="1">
      <alignment horizontal="center"/>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68" fillId="45" borderId="71" xfId="8736" applyFont="1" applyFill="1" applyBorder="1" applyAlignment="1">
      <alignment horizontal="left"/>
    </xf>
    <xf numFmtId="14" fontId="174" fillId="48" borderId="76" xfId="8736" applyNumberFormat="1" applyFont="1" applyFill="1" applyBorder="1" applyAlignment="1" applyProtection="1">
      <alignment horizontal="center"/>
      <protection locked="0"/>
    </xf>
    <xf numFmtId="0" fontId="174" fillId="48" borderId="69" xfId="8736" applyFont="1" applyFill="1" applyBorder="1" applyAlignment="1" applyProtection="1">
      <alignment horizontal="center"/>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4" fontId="174" fillId="48" borderId="77" xfId="8736" applyNumberFormat="1" applyFont="1" applyFill="1" applyBorder="1" applyAlignment="1" applyProtection="1">
      <alignment horizontal="center"/>
      <protection locked="0"/>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6" fillId="44" borderId="11" xfId="700" applyNumberFormat="1" applyFont="1" applyFill="1" applyBorder="1" applyAlignment="1">
      <alignment horizontal="left"/>
    </xf>
    <xf numFmtId="0" fontId="105" fillId="45" borderId="65" xfId="8736" applyFont="1" applyFill="1" applyBorder="1" applyAlignment="1">
      <alignment horizontal="left" wrapText="1"/>
    </xf>
    <xf numFmtId="0" fontId="105" fillId="45" borderId="29" xfId="8736" applyFont="1" applyFill="1" applyBorder="1" applyAlignment="1">
      <alignment horizontal="left" wrapText="1"/>
    </xf>
    <xf numFmtId="0" fontId="105" fillId="45" borderId="31" xfId="8736" applyFont="1" applyFill="1" applyBorder="1" applyAlignment="1">
      <alignment horizontal="left" wrapText="1"/>
    </xf>
    <xf numFmtId="0" fontId="105" fillId="45" borderId="73" xfId="8736" applyFont="1" applyFill="1" applyBorder="1" applyAlignment="1">
      <alignment horizontal="left" wrapText="1"/>
    </xf>
    <xf numFmtId="0" fontId="105" fillId="45" borderId="42" xfId="8736" applyFont="1" applyFill="1" applyBorder="1" applyAlignment="1">
      <alignment horizontal="left" wrapText="1"/>
    </xf>
    <xf numFmtId="0" fontId="105" fillId="45" borderId="44" xfId="8736" applyFont="1" applyFill="1" applyBorder="1" applyAlignment="1">
      <alignment horizontal="left" wrapText="1"/>
    </xf>
    <xf numFmtId="168" fontId="174" fillId="48" borderId="11" xfId="700" applyNumberFormat="1" applyFont="1" applyFill="1" applyBorder="1" applyAlignment="1" applyProtection="1">
      <alignment horizontal="left"/>
      <protection locked="0"/>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6" fillId="48" borderId="11" xfId="700" applyFont="1" applyFill="1" applyBorder="1" applyAlignment="1" applyProtection="1">
      <alignment horizontal="center"/>
      <protection locked="0"/>
    </xf>
    <xf numFmtId="0" fontId="105" fillId="47" borderId="0" xfId="8736" applyFont="1" applyFill="1" applyAlignment="1">
      <alignment horizontal="center"/>
    </xf>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4" fillId="44" borderId="11" xfId="700" applyNumberFormat="1" applyFont="1" applyFill="1" applyBorder="1" applyAlignment="1" applyProtection="1">
      <alignment horizontal="left"/>
      <protection locked="0"/>
    </xf>
    <xf numFmtId="0" fontId="6" fillId="48" borderId="3" xfId="8736" applyFill="1" applyBorder="1" applyAlignment="1">
      <alignment horizontal="center"/>
    </xf>
    <xf numFmtId="0" fontId="6" fillId="48" borderId="4" xfId="8736" applyFill="1" applyBorder="1" applyAlignment="1">
      <alignment horizontal="center"/>
    </xf>
    <xf numFmtId="0" fontId="6" fillId="48" borderId="81" xfId="8736" applyFill="1" applyBorder="1" applyAlignment="1">
      <alignment horizontal="center"/>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6" fillId="48" borderId="13" xfId="700" applyFont="1" applyFill="1" applyBorder="1" applyAlignment="1" applyProtection="1">
      <alignment horizontal="center"/>
      <protection locked="0"/>
    </xf>
    <xf numFmtId="0" fontId="174" fillId="48" borderId="9" xfId="8736" applyFont="1" applyFill="1" applyBorder="1" applyAlignment="1">
      <alignment horizontal="center"/>
    </xf>
    <xf numFmtId="0" fontId="174" fillId="48" borderId="6" xfId="8736" applyFont="1" applyFill="1" applyBorder="1" applyAlignment="1">
      <alignment horizontal="center"/>
    </xf>
    <xf numFmtId="0" fontId="174" fillId="48" borderId="82" xfId="8736" applyFont="1" applyFill="1" applyBorder="1" applyAlignment="1">
      <alignment horizontal="center"/>
    </xf>
    <xf numFmtId="0" fontId="176" fillId="48" borderId="11" xfId="8736" applyFont="1" applyFill="1" applyBorder="1" applyAlignment="1" applyProtection="1">
      <alignment horizontal="left"/>
      <protection locked="0"/>
    </xf>
    <xf numFmtId="0" fontId="6" fillId="48" borderId="1" xfId="8736" applyFill="1" applyBorder="1" applyAlignment="1">
      <alignment horizontal="center"/>
    </xf>
    <xf numFmtId="0" fontId="6" fillId="48" borderId="2" xfId="8736" applyFill="1" applyBorder="1" applyAlignment="1">
      <alignment horizontal="center"/>
    </xf>
    <xf numFmtId="0" fontId="6" fillId="48" borderId="112" xfId="8736" applyFill="1" applyBorder="1" applyAlignment="1">
      <alignment horizontal="center"/>
    </xf>
    <xf numFmtId="0" fontId="176" fillId="48" borderId="72" xfId="8736"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6" fillId="48" borderId="11" xfId="700" applyFont="1" applyFill="1" applyBorder="1" applyAlignment="1" applyProtection="1">
      <alignment horizontal="center"/>
      <protection hidden="1"/>
    </xf>
    <xf numFmtId="0" fontId="176" fillId="45" borderId="67" xfId="8736" applyFont="1" applyFill="1" applyBorder="1" applyAlignment="1">
      <alignment horizontal="right"/>
    </xf>
    <xf numFmtId="0" fontId="176" fillId="45" borderId="68" xfId="8736"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6" applyFont="1" applyFill="1" applyBorder="1" applyAlignment="1">
      <alignment horizontal="left" wrapText="1"/>
    </xf>
    <xf numFmtId="0" fontId="173" fillId="48" borderId="0" xfId="8736" applyFont="1" applyFill="1" applyAlignment="1">
      <alignment horizontal="left" wrapText="1"/>
    </xf>
    <xf numFmtId="0" fontId="173" fillId="48" borderId="41" xfId="8736" applyFont="1" applyFill="1" applyBorder="1" applyAlignment="1">
      <alignment horizontal="left" wrapText="1"/>
    </xf>
    <xf numFmtId="0" fontId="173" fillId="48" borderId="73" xfId="8736" applyFont="1" applyFill="1" applyBorder="1" applyAlignment="1">
      <alignment horizontal="left" wrapText="1"/>
    </xf>
    <xf numFmtId="0" fontId="173" fillId="48" borderId="42" xfId="8736" applyFont="1" applyFill="1" applyBorder="1" applyAlignment="1">
      <alignment horizontal="left" wrapText="1"/>
    </xf>
    <xf numFmtId="0" fontId="173" fillId="48" borderId="44" xfId="8736" applyFont="1" applyFill="1" applyBorder="1" applyAlignment="1">
      <alignment horizontal="left" wrapText="1"/>
    </xf>
    <xf numFmtId="0" fontId="175" fillId="45" borderId="69" xfId="8736" applyFont="1" applyFill="1" applyBorder="1" applyAlignment="1">
      <alignment horizontal="right"/>
    </xf>
    <xf numFmtId="0" fontId="175" fillId="45" borderId="70" xfId="8736"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6"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center"/>
      <protection locked="0"/>
    </xf>
    <xf numFmtId="0" fontId="174" fillId="48" borderId="86" xfId="8736" applyFont="1" applyFill="1" applyBorder="1" applyAlignment="1" applyProtection="1">
      <alignment horizontal="center"/>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left"/>
      <protection locked="0"/>
    </xf>
    <xf numFmtId="0" fontId="174" fillId="48" borderId="86" xfId="8736" applyFont="1" applyFill="1" applyBorder="1" applyAlignment="1" applyProtection="1">
      <alignment horizontal="left"/>
      <protection locked="0"/>
    </xf>
    <xf numFmtId="0" fontId="174" fillId="48" borderId="85" xfId="8736" applyFont="1" applyFill="1" applyBorder="1" applyAlignment="1" applyProtection="1">
      <alignment horizontal="left"/>
      <protection locked="0"/>
    </xf>
    <xf numFmtId="0" fontId="105" fillId="48" borderId="80" xfId="8736" applyFont="1" applyFill="1" applyBorder="1" applyAlignment="1">
      <alignment horizontal="left"/>
    </xf>
    <xf numFmtId="0" fontId="105" fillId="48" borderId="79" xfId="8736" applyFont="1" applyFill="1" applyBorder="1" applyAlignment="1">
      <alignment horizontal="left"/>
    </xf>
    <xf numFmtId="44" fontId="6" fillId="48" borderId="84" xfId="700" applyFont="1" applyFill="1" applyBorder="1" applyAlignment="1" applyProtection="1">
      <alignment horizontal="center"/>
      <protection locked="0"/>
    </xf>
    <xf numFmtId="0" fontId="174" fillId="45" borderId="11" xfId="8736" applyFont="1" applyFill="1" applyBorder="1" applyAlignment="1">
      <alignment horizontal="left"/>
    </xf>
    <xf numFmtId="182" fontId="6"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6" fillId="0" borderId="13" xfId="8736" applyNumberFormat="1" applyBorder="1" applyAlignment="1">
      <alignment horizontal="center"/>
    </xf>
    <xf numFmtId="0" fontId="6" fillId="0" borderId="13" xfId="8736" applyBorder="1" applyAlignment="1">
      <alignment horizontal="center"/>
    </xf>
    <xf numFmtId="0" fontId="167" fillId="45" borderId="80" xfId="569" applyFont="1" applyFill="1" applyBorder="1" applyAlignment="1" applyProtection="1">
      <alignment horizontal="center" wrapText="1"/>
      <protection hidden="1"/>
    </xf>
    <xf numFmtId="0" fontId="167" fillId="45" borderId="79" xfId="569" applyFont="1" applyFill="1" applyBorder="1" applyAlignment="1" applyProtection="1">
      <alignment horizontal="center" wrapText="1"/>
      <protection hidden="1"/>
    </xf>
    <xf numFmtId="0" fontId="167" fillId="45" borderId="78" xfId="569" applyFont="1" applyFill="1" applyBorder="1" applyAlignment="1" applyProtection="1">
      <alignment horizontal="center" wrapText="1"/>
      <protection hidden="1"/>
    </xf>
    <xf numFmtId="0" fontId="167" fillId="45" borderId="13" xfId="569" applyFont="1" applyFill="1" applyBorder="1" applyAlignment="1" applyProtection="1">
      <alignment horizontal="left" wrapText="1"/>
      <protection hidden="1"/>
    </xf>
    <xf numFmtId="0" fontId="167" fillId="45" borderId="13" xfId="569" applyFont="1" applyFill="1" applyBorder="1" applyAlignment="1" applyProtection="1">
      <alignment horizontal="center" wrapText="1"/>
      <protection hidden="1"/>
    </xf>
    <xf numFmtId="0" fontId="173" fillId="45" borderId="11" xfId="8736"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569"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69" fillId="47" borderId="65" xfId="8736" applyFont="1" applyFill="1" applyBorder="1" applyAlignment="1">
      <alignment horizontal="center"/>
    </xf>
    <xf numFmtId="0" fontId="169" fillId="47" borderId="29" xfId="8736" applyFont="1" applyFill="1" applyBorder="1" applyAlignment="1">
      <alignment horizontal="center"/>
    </xf>
    <xf numFmtId="0" fontId="169" fillId="47" borderId="31" xfId="8736" applyFont="1" applyFill="1" applyBorder="1" applyAlignment="1">
      <alignment horizontal="center"/>
    </xf>
    <xf numFmtId="0" fontId="6" fillId="47" borderId="66" xfId="8736" applyFill="1" applyBorder="1" applyAlignment="1">
      <alignment horizontal="center"/>
    </xf>
    <xf numFmtId="0" fontId="6" fillId="47" borderId="0" xfId="8736" applyFill="1" applyAlignment="1">
      <alignment horizontal="center"/>
    </xf>
    <xf numFmtId="0" fontId="6" fillId="47" borderId="41" xfId="8736" applyFill="1" applyBorder="1" applyAlignment="1">
      <alignment horizontal="center"/>
    </xf>
    <xf numFmtId="0" fontId="168" fillId="47" borderId="66" xfId="8736" applyFont="1" applyFill="1" applyBorder="1" applyAlignment="1">
      <alignment horizontal="center"/>
    </xf>
    <xf numFmtId="0" fontId="168" fillId="47" borderId="0" xfId="8736" applyFont="1" applyFill="1" applyAlignment="1">
      <alignment horizontal="center"/>
    </xf>
    <xf numFmtId="0" fontId="168" fillId="47" borderId="41" xfId="8736" applyFont="1" applyFill="1" applyBorder="1" applyAlignment="1">
      <alignment horizontal="center"/>
    </xf>
    <xf numFmtId="0" fontId="105" fillId="47" borderId="66" xfId="8736" applyFont="1" applyFill="1" applyBorder="1" applyAlignment="1">
      <alignment horizontal="center"/>
    </xf>
    <xf numFmtId="0" fontId="105" fillId="47" borderId="41" xfId="8736" applyFont="1" applyFill="1" applyBorder="1" applyAlignment="1">
      <alignment horizontal="center"/>
    </xf>
    <xf numFmtId="0" fontId="105" fillId="47" borderId="0" xfId="8736" applyFont="1" applyFill="1" applyAlignment="1">
      <alignment horizontal="left"/>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05" fillId="44" borderId="0" xfId="8736" applyFont="1" applyFill="1" applyAlignment="1">
      <alignment horizontal="left"/>
    </xf>
    <xf numFmtId="0" fontId="3" fillId="48" borderId="80" xfId="8736" applyFont="1" applyFill="1" applyBorder="1" applyAlignment="1" applyProtection="1">
      <alignment horizontal="left"/>
      <protection locked="0"/>
    </xf>
    <xf numFmtId="0" fontId="6" fillId="48" borderId="79" xfId="8736" applyFill="1" applyBorder="1" applyAlignment="1" applyProtection="1">
      <alignment horizontal="left"/>
      <protection locked="0"/>
    </xf>
    <xf numFmtId="0" fontId="6" fillId="48" borderId="78" xfId="8736" applyFill="1" applyBorder="1" applyAlignment="1" applyProtection="1">
      <alignment horizontal="left"/>
      <protection locked="0"/>
    </xf>
    <xf numFmtId="0" fontId="167" fillId="44" borderId="0" xfId="8736" applyFont="1" applyFill="1" applyAlignment="1">
      <alignment horizontal="left" vertical="top"/>
    </xf>
    <xf numFmtId="0" fontId="6" fillId="48" borderId="80" xfId="8736" applyFill="1" applyBorder="1" applyAlignment="1" applyProtection="1">
      <alignment horizontal="left"/>
      <protection locked="0"/>
    </xf>
    <xf numFmtId="0" fontId="105" fillId="44" borderId="0" xfId="8730" applyFont="1" applyFill="1" applyBorder="1" applyAlignment="1">
      <alignment horizontal="left" vertical="top"/>
    </xf>
    <xf numFmtId="14" fontId="6" fillId="48" borderId="80" xfId="8736" applyNumberFormat="1" applyFill="1" applyBorder="1" applyAlignment="1" applyProtection="1">
      <alignment horizontal="center"/>
      <protection locked="0"/>
    </xf>
    <xf numFmtId="14" fontId="6" fillId="48" borderId="79" xfId="8736" applyNumberFormat="1" applyFill="1" applyBorder="1" applyAlignment="1" applyProtection="1">
      <alignment horizontal="center"/>
      <protection locked="0"/>
    </xf>
    <xf numFmtId="14" fontId="6" fillId="48" borderId="78" xfId="8736" applyNumberFormat="1" applyFill="1" applyBorder="1" applyAlignment="1" applyProtection="1">
      <alignment horizontal="center"/>
      <protection locked="0"/>
    </xf>
    <xf numFmtId="0" fontId="168" fillId="47" borderId="0" xfId="8736" applyFont="1" applyFill="1" applyAlignment="1">
      <alignment horizontal="left" vertical="top" wrapText="1"/>
    </xf>
    <xf numFmtId="0" fontId="105" fillId="47" borderId="42" xfId="8736" applyFont="1" applyFill="1" applyBorder="1" applyAlignment="1">
      <alignment horizontal="center"/>
    </xf>
    <xf numFmtId="0" fontId="6" fillId="48" borderId="80" xfId="8736" applyFill="1" applyBorder="1" applyAlignment="1" applyProtection="1">
      <alignment horizontal="center"/>
      <protection locked="0"/>
    </xf>
    <xf numFmtId="0" fontId="6" fillId="48" borderId="79" xfId="8736" applyFill="1" applyBorder="1" applyAlignment="1" applyProtection="1">
      <alignment horizontal="center"/>
      <protection locked="0"/>
    </xf>
    <xf numFmtId="0" fontId="6" fillId="48" borderId="78" xfId="8736" applyFill="1" applyBorder="1" applyAlignment="1" applyProtection="1">
      <alignment horizontal="center"/>
      <protection locked="0"/>
    </xf>
    <xf numFmtId="168" fontId="22" fillId="0" borderId="11" xfId="569" applyNumberFormat="1" applyBorder="1"/>
    <xf numFmtId="168" fontId="22" fillId="0" borderId="3" xfId="569" applyNumberFormat="1" applyBorder="1"/>
    <xf numFmtId="168" fontId="22" fillId="0" borderId="4" xfId="569" applyNumberFormat="1" applyBorder="1"/>
    <xf numFmtId="168" fontId="22" fillId="0" borderId="5" xfId="569" applyNumberFormat="1" applyBorder="1"/>
    <xf numFmtId="168" fontId="22" fillId="0" borderId="11" xfId="569" applyNumberFormat="1" applyBorder="1" applyAlignment="1">
      <alignment wrapText="1"/>
    </xf>
    <xf numFmtId="168" fontId="22" fillId="0" borderId="11" xfId="569" applyNumberFormat="1" applyBorder="1" applyAlignment="1">
      <alignment horizontal="right"/>
    </xf>
    <xf numFmtId="9" fontId="22" fillId="0" borderId="15" xfId="569" applyNumberFormat="1" applyBorder="1" applyAlignment="1">
      <alignment horizontal="center"/>
    </xf>
    <xf numFmtId="168" fontId="22" fillId="0" borderId="11" xfId="569" applyNumberFormat="1" applyBorder="1" applyAlignment="1">
      <alignment horizontal="center"/>
    </xf>
    <xf numFmtId="0" fontId="22" fillId="0" borderId="11" xfId="569" applyBorder="1" applyAlignment="1">
      <alignment horizontal="center"/>
    </xf>
    <xf numFmtId="176" fontId="22" fillId="5" borderId="3" xfId="569" applyNumberFormat="1" applyFill="1" applyBorder="1" applyAlignment="1" applyProtection="1">
      <alignment horizontal="right"/>
      <protection locked="0"/>
    </xf>
    <xf numFmtId="176" fontId="22" fillId="5" borderId="4" xfId="569" applyNumberFormat="1" applyFill="1" applyBorder="1" applyAlignment="1" applyProtection="1">
      <alignment horizontal="right"/>
      <protection locked="0"/>
    </xf>
    <xf numFmtId="176" fontId="22" fillId="5" borderId="5" xfId="569" applyNumberFormat="1" applyFill="1" applyBorder="1" applyAlignment="1" applyProtection="1">
      <alignment horizontal="right"/>
      <protection locked="0"/>
    </xf>
    <xf numFmtId="0" fontId="110" fillId="0" borderId="0" xfId="0" applyFont="1" applyAlignment="1">
      <alignment horizontal="left" vertical="top" wrapText="1"/>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0" fontId="29" fillId="0" borderId="6" xfId="569" applyFont="1" applyBorder="1" applyAlignment="1">
      <alignment horizontal="center"/>
    </xf>
    <xf numFmtId="168" fontId="22" fillId="0" borderId="3" xfId="569" applyNumberFormat="1" applyBorder="1" applyAlignment="1">
      <alignment horizontal="center"/>
    </xf>
    <xf numFmtId="0" fontId="22" fillId="0" borderId="4" xfId="569" applyBorder="1" applyAlignment="1">
      <alignment horizontal="center"/>
    </xf>
    <xf numFmtId="0" fontId="22" fillId="0" borderId="5" xfId="569" applyBorder="1" applyAlignment="1">
      <alignment horizontal="center"/>
    </xf>
    <xf numFmtId="0" fontId="110" fillId="0" borderId="0" xfId="569" applyFont="1" applyAlignment="1">
      <alignment horizontal="left" wrapText="1"/>
    </xf>
    <xf numFmtId="168" fontId="22" fillId="0" borderId="3" xfId="569" applyNumberFormat="1" applyBorder="1" applyAlignment="1">
      <alignment horizontal="right"/>
    </xf>
    <xf numFmtId="168" fontId="22" fillId="0" borderId="4" xfId="569" applyNumberFormat="1" applyBorder="1" applyAlignment="1">
      <alignment horizontal="right"/>
    </xf>
    <xf numFmtId="168" fontId="22" fillId="0" borderId="5" xfId="569" applyNumberFormat="1" applyBorder="1" applyAlignment="1">
      <alignment horizontal="right"/>
    </xf>
    <xf numFmtId="0" fontId="29" fillId="0" borderId="16" xfId="271" applyFont="1" applyBorder="1" applyAlignment="1">
      <alignment horizontal="center"/>
    </xf>
    <xf numFmtId="168" fontId="22" fillId="0" borderId="4" xfId="569" applyNumberFormat="1" applyBorder="1" applyAlignment="1">
      <alignment horizontal="center"/>
    </xf>
    <xf numFmtId="168" fontId="22" fillId="0" borderId="5" xfId="569" applyNumberFormat="1" applyBorder="1" applyAlignment="1">
      <alignment horizontal="center"/>
    </xf>
    <xf numFmtId="0" fontId="29" fillId="0" borderId="11" xfId="569" applyFont="1" applyBorder="1" applyAlignment="1">
      <alignment horizontal="center" wrapText="1"/>
    </xf>
    <xf numFmtId="0" fontId="29" fillId="0" borderId="11" xfId="569" applyFont="1" applyBorder="1" applyAlignment="1">
      <alignment horizontal="center"/>
    </xf>
    <xf numFmtId="165" fontId="22" fillId="0" borderId="11" xfId="569" applyNumberFormat="1" applyBorder="1" applyAlignment="1" applyProtection="1">
      <alignment horizontal="center"/>
      <protection locked="0"/>
    </xf>
    <xf numFmtId="0" fontId="58" fillId="0" borderId="0" xfId="569" applyFont="1" applyAlignment="1">
      <alignment horizontal="left"/>
    </xf>
    <xf numFmtId="5" fontId="22" fillId="0" borderId="5" xfId="569" applyNumberFormat="1" applyBorder="1" applyAlignment="1">
      <alignment horizontal="center"/>
    </xf>
    <xf numFmtId="5" fontId="22" fillId="0" borderId="11" xfId="569" applyNumberFormat="1" applyBorder="1" applyAlignment="1">
      <alignment horizontal="center"/>
    </xf>
    <xf numFmtId="5" fontId="22" fillId="0" borderId="3" xfId="569" applyNumberFormat="1" applyBorder="1" applyAlignment="1">
      <alignment horizontal="center"/>
    </xf>
    <xf numFmtId="5" fontId="22" fillId="0" borderId="4" xfId="569" applyNumberFormat="1" applyBorder="1" applyAlignment="1">
      <alignment horizontal="center"/>
    </xf>
    <xf numFmtId="168" fontId="22" fillId="5" borderId="5" xfId="569" applyNumberFormat="1" applyFill="1" applyBorder="1" applyAlignment="1" applyProtection="1">
      <alignment horizontal="center"/>
      <protection locked="0"/>
    </xf>
    <xf numFmtId="168" fontId="22" fillId="5" borderId="11" xfId="569" applyNumberFormat="1" applyFill="1" applyBorder="1" applyAlignment="1" applyProtection="1">
      <alignment horizontal="center"/>
      <protection locked="0"/>
    </xf>
    <xf numFmtId="9" fontId="22" fillId="0" borderId="5" xfId="569" applyNumberFormat="1" applyBorder="1" applyAlignment="1">
      <alignment horizontal="center"/>
    </xf>
    <xf numFmtId="9" fontId="22" fillId="0" borderId="11" xfId="569" applyNumberFormat="1" applyBorder="1" applyAlignment="1">
      <alignment horizontal="center"/>
    </xf>
    <xf numFmtId="9" fontId="22" fillId="0" borderId="9" xfId="569" applyNumberFormat="1" applyBorder="1" applyAlignment="1">
      <alignment horizontal="center" vertical="center"/>
    </xf>
    <xf numFmtId="9" fontId="22" fillId="0" borderId="6" xfId="569" applyNumberFormat="1" applyBorder="1" applyAlignment="1">
      <alignment horizontal="center" vertical="center"/>
    </xf>
    <xf numFmtId="9" fontId="22" fillId="0" borderId="10" xfId="569" applyNumberFormat="1" applyBorder="1" applyAlignment="1">
      <alignment horizontal="center" vertical="center"/>
    </xf>
    <xf numFmtId="168" fontId="22" fillId="2" borderId="3" xfId="569" applyNumberFormat="1" applyFill="1" applyBorder="1" applyAlignment="1">
      <alignment horizontal="center"/>
    </xf>
    <xf numFmtId="168" fontId="22" fillId="2" borderId="4" xfId="569" applyNumberFormat="1" applyFill="1" applyBorder="1" applyAlignment="1">
      <alignment horizontal="center"/>
    </xf>
    <xf numFmtId="168" fontId="22" fillId="2" borderId="5" xfId="569" applyNumberFormat="1" applyFill="1" applyBorder="1" applyAlignment="1">
      <alignment horizontal="center"/>
    </xf>
    <xf numFmtId="168" fontId="22" fillId="5" borderId="10" xfId="569" applyNumberFormat="1" applyFill="1" applyBorder="1" applyAlignment="1" applyProtection="1">
      <alignment horizontal="center"/>
      <protection locked="0"/>
    </xf>
    <xf numFmtId="168" fontId="22" fillId="5" borderId="13" xfId="569" applyNumberFormat="1" applyFill="1" applyBorder="1" applyAlignment="1" applyProtection="1">
      <alignment horizontal="center"/>
      <protection locked="0"/>
    </xf>
    <xf numFmtId="0" fontId="28" fillId="3" borderId="2" xfId="569" applyFont="1" applyFill="1" applyBorder="1" applyAlignment="1">
      <alignment horizontal="center" vertical="center"/>
    </xf>
    <xf numFmtId="0" fontId="28" fillId="3" borderId="16" xfId="569" applyFont="1" applyFill="1" applyBorder="1" applyAlignment="1">
      <alignment horizontal="center" vertical="center"/>
    </xf>
    <xf numFmtId="168" fontId="22" fillId="0" borderId="7" xfId="569" applyNumberFormat="1" applyBorder="1" applyAlignment="1">
      <alignment horizontal="center"/>
    </xf>
    <xf numFmtId="168" fontId="22" fillId="0" borderId="15" xfId="569" applyNumberFormat="1" applyBorder="1" applyAlignment="1">
      <alignment horizontal="center"/>
    </xf>
    <xf numFmtId="0" fontId="29" fillId="0" borderId="3" xfId="569" applyFont="1" applyBorder="1" applyAlignment="1">
      <alignment horizontal="left"/>
    </xf>
    <xf numFmtId="0" fontId="29" fillId="0" borderId="5" xfId="569" applyFont="1" applyBorder="1" applyAlignment="1">
      <alignment horizontal="left"/>
    </xf>
    <xf numFmtId="0" fontId="30" fillId="0" borderId="4" xfId="569" applyFont="1" applyBorder="1" applyAlignment="1">
      <alignment horizontal="left"/>
    </xf>
    <xf numFmtId="0" fontId="30" fillId="0" borderId="5" xfId="569" applyFont="1" applyBorder="1" applyAlignment="1">
      <alignment horizontal="left"/>
    </xf>
    <xf numFmtId="179" fontId="29" fillId="0" borderId="0" xfId="569" applyNumberFormat="1" applyFont="1" applyAlignment="1">
      <alignment horizontal="center" wrapText="1"/>
    </xf>
    <xf numFmtId="164" fontId="29" fillId="0" borderId="0" xfId="569" applyNumberFormat="1" applyFont="1" applyAlignment="1">
      <alignment horizontal="center" wrapText="1"/>
    </xf>
    <xf numFmtId="0" fontId="22" fillId="0" borderId="3" xfId="569" applyBorder="1" applyAlignment="1">
      <alignment horizontal="right"/>
    </xf>
    <xf numFmtId="0" fontId="22" fillId="0" borderId="4" xfId="569" applyBorder="1" applyAlignment="1">
      <alignment horizontal="right"/>
    </xf>
    <xf numFmtId="0" fontId="22" fillId="0" borderId="5" xfId="569" applyBorder="1" applyAlignment="1">
      <alignment horizontal="right"/>
    </xf>
    <xf numFmtId="0" fontId="30" fillId="0" borderId="3" xfId="569" applyFont="1" applyBorder="1" applyAlignment="1">
      <alignment horizontal="right"/>
    </xf>
    <xf numFmtId="0" fontId="30" fillId="0" borderId="4" xfId="569" applyFont="1" applyBorder="1" applyAlignment="1">
      <alignment horizontal="right"/>
    </xf>
    <xf numFmtId="0" fontId="30" fillId="0" borderId="5" xfId="569" applyFont="1" applyBorder="1" applyAlignment="1">
      <alignment horizontal="right"/>
    </xf>
    <xf numFmtId="0" fontId="101" fillId="0" borderId="3" xfId="4496" applyFont="1" applyBorder="1"/>
    <xf numFmtId="0" fontId="101" fillId="0" borderId="81" xfId="4496" applyFont="1" applyBorder="1"/>
    <xf numFmtId="0" fontId="101" fillId="0" borderId="94" xfId="4496" applyFont="1" applyBorder="1"/>
    <xf numFmtId="0" fontId="101" fillId="0" borderId="85" xfId="4496" applyFont="1" applyBorder="1"/>
    <xf numFmtId="49" fontId="101" fillId="45" borderId="15" xfId="4496" applyNumberFormat="1" applyFont="1" applyFill="1" applyBorder="1" applyAlignment="1">
      <alignment horizontal="center" vertical="center" wrapText="1"/>
    </xf>
    <xf numFmtId="49" fontId="101" fillId="45" borderId="13" xfId="4496" applyNumberFormat="1" applyFont="1" applyFill="1" applyBorder="1" applyAlignment="1">
      <alignment horizontal="center" vertical="center" wrapText="1"/>
    </xf>
    <xf numFmtId="0" fontId="101" fillId="0" borderId="93" xfId="4496" applyFont="1" applyBorder="1" applyAlignment="1">
      <alignment horizontal="right"/>
    </xf>
    <xf numFmtId="0" fontId="101" fillId="0" borderId="74" xfId="4496" applyFont="1" applyBorder="1" applyAlignment="1">
      <alignment horizontal="right"/>
    </xf>
    <xf numFmtId="0" fontId="101" fillId="0" borderId="75" xfId="4496" applyFont="1" applyBorder="1"/>
    <xf numFmtId="0" fontId="101" fillId="0" borderId="91" xfId="4496" applyFont="1" applyBorder="1"/>
    <xf numFmtId="0" fontId="101" fillId="0" borderId="90" xfId="4496" applyFont="1" applyBorder="1" applyAlignment="1">
      <alignment horizontal="right"/>
    </xf>
    <xf numFmtId="0" fontId="101" fillId="0" borderId="5" xfId="4496" applyFont="1" applyBorder="1" applyAlignment="1">
      <alignment horizontal="right"/>
    </xf>
    <xf numFmtId="0" fontId="101" fillId="0" borderId="69" xfId="4496" applyFont="1" applyBorder="1" applyAlignment="1">
      <alignment horizontal="right"/>
    </xf>
    <xf numFmtId="0" fontId="101" fillId="0" borderId="70" xfId="4496" applyFont="1" applyBorder="1" applyAlignment="1">
      <alignment horizontal="right"/>
    </xf>
    <xf numFmtId="168" fontId="101" fillId="0" borderId="11" xfId="4499" applyNumberFormat="1" applyFont="1" applyFill="1" applyBorder="1" applyAlignment="1" applyProtection="1">
      <alignment horizontal="left" vertical="center" indent="1"/>
    </xf>
    <xf numFmtId="0" fontId="139" fillId="0" borderId="68" xfId="4496" applyFont="1" applyBorder="1" applyAlignment="1">
      <alignment horizontal="left" indent="1"/>
    </xf>
    <xf numFmtId="168" fontId="101" fillId="0" borderId="70" xfId="4499" applyNumberFormat="1" applyFont="1" applyFill="1" applyBorder="1" applyAlignment="1" applyProtection="1">
      <alignment horizontal="left" vertical="center" indent="1"/>
    </xf>
    <xf numFmtId="49" fontId="138" fillId="3" borderId="0" xfId="1192" applyNumberFormat="1" applyFont="1" applyFill="1" applyAlignment="1">
      <alignment horizontal="center" vertical="center"/>
    </xf>
    <xf numFmtId="0" fontId="101" fillId="0" borderId="11" xfId="4496" applyFont="1" applyBorder="1" applyAlignment="1">
      <alignment horizontal="left" indent="1"/>
    </xf>
    <xf numFmtId="0" fontId="101"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168" fontId="101" fillId="0" borderId="13" xfId="4499" applyNumberFormat="1" applyFont="1" applyFill="1" applyBorder="1" applyAlignment="1" applyProtection="1">
      <alignment horizontal="left" vertical="center" indent="1"/>
    </xf>
    <xf numFmtId="0" fontId="101" fillId="0" borderId="3" xfId="4496" applyFont="1" applyBorder="1" applyAlignment="1">
      <alignment horizontal="left" indent="1"/>
    </xf>
    <xf numFmtId="0" fontId="101" fillId="0" borderId="4" xfId="4496" applyFont="1" applyBorder="1" applyAlignment="1">
      <alignment horizontal="left" indent="1"/>
    </xf>
    <xf numFmtId="0" fontId="101" fillId="0" borderId="5" xfId="4496" applyFont="1" applyBorder="1" applyAlignment="1">
      <alignment horizontal="left" indent="1"/>
    </xf>
    <xf numFmtId="0" fontId="101" fillId="0" borderId="3" xfId="4496" applyFont="1" applyBorder="1" applyAlignment="1">
      <alignment horizontal="left" indent="2"/>
    </xf>
    <xf numFmtId="0" fontId="101" fillId="0" borderId="4" xfId="4496" applyFont="1" applyBorder="1" applyAlignment="1">
      <alignment horizontal="left" indent="2"/>
    </xf>
    <xf numFmtId="0" fontId="101" fillId="0" borderId="5" xfId="4496" applyFont="1" applyBorder="1" applyAlignment="1">
      <alignment horizontal="left" indent="2"/>
    </xf>
    <xf numFmtId="0" fontId="101" fillId="0" borderId="0" xfId="4496" applyFont="1" applyAlignment="1">
      <alignment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1" fillId="0" borderId="0" xfId="4496" applyFont="1" applyAlignment="1">
      <alignment horizontal="left" wrapText="1"/>
    </xf>
    <xf numFmtId="0" fontId="101" fillId="0" borderId="0" xfId="4496" applyFont="1" applyAlignment="1">
      <alignment horizontal="center" vertical="center" wrapText="1"/>
    </xf>
    <xf numFmtId="0" fontId="101" fillId="43" borderId="0" xfId="4496" applyFont="1" applyFill="1" applyAlignment="1" applyProtection="1">
      <alignment horizontal="left" vertical="top" wrapText="1"/>
      <protection locked="0"/>
    </xf>
    <xf numFmtId="0" fontId="101" fillId="43" borderId="6" xfId="4496" applyFont="1" applyFill="1" applyBorder="1" applyAlignment="1" applyProtection="1">
      <alignment horizontal="left" vertical="top" wrapText="1"/>
      <protection locked="0"/>
    </xf>
    <xf numFmtId="0" fontId="101" fillId="0" borderId="0" xfId="4496" applyFont="1" applyAlignment="1">
      <alignment horizontal="left" wrapText="1" indent="1"/>
    </xf>
    <xf numFmtId="0" fontId="27" fillId="0" borderId="6" xfId="271" applyFont="1" applyBorder="1" applyAlignment="1">
      <alignment horizontal="center"/>
    </xf>
    <xf numFmtId="0" fontId="27" fillId="0" borderId="0" xfId="0" applyFont="1" applyAlignment="1" applyProtection="1">
      <alignment wrapText="1"/>
      <protection locked="0"/>
    </xf>
    <xf numFmtId="3" fontId="22" fillId="0" borderId="0" xfId="0" applyNumberFormat="1" applyFont="1" applyAlignment="1">
      <alignment horizontal="left" vertical="top" wrapText="1"/>
    </xf>
    <xf numFmtId="3" fontId="31" fillId="0" borderId="0" xfId="0" applyNumberFormat="1" applyFont="1" applyAlignment="1">
      <alignment horizontal="left" vertical="top" wrapText="1"/>
    </xf>
    <xf numFmtId="0" fontId="22" fillId="43" borderId="0" xfId="0" applyFont="1" applyFill="1" applyAlignment="1">
      <alignment horizontal="left"/>
    </xf>
  </cellXfs>
  <cellStyles count="28209">
    <cellStyle name="20% - Accent1" xfId="1" builtinId="30" customBuiltin="1"/>
    <cellStyle name="20% - Accent1 10" xfId="4504" xr:uid="{00000000-0005-0000-0000-000001000000}"/>
    <cellStyle name="20% - Accent1 10 2" xfId="13830" xr:uid="{B6E40301-E075-4945-86F6-3C8C827D9EBA}"/>
    <cellStyle name="20% - Accent1 10 3" xfId="23129" xr:uid="{BE5A9795-4D0D-4CD0-B1D2-CD50CFE5942B}"/>
    <cellStyle name="20% - Accent1 11" xfId="8758" xr:uid="{2F735C8D-70CB-4E84-A95A-4445894745BC}"/>
    <cellStyle name="20% - Accent1 11 2" xfId="18082" xr:uid="{39A71B21-6126-4095-B0AB-C8873690857F}"/>
    <cellStyle name="20% - Accent1 11 3" xfId="27380" xr:uid="{AF1E1C0C-B335-45E5-929C-E833A2F2E0F7}"/>
    <cellStyle name="20% - Accent1 12" xfId="9613" xr:uid="{8DA826A4-13DD-49C2-8492-BE39098EC18B}"/>
    <cellStyle name="20% - Accent1 13" xfId="18912" xr:uid="{B54D9EE0-3453-4910-B2C9-96ECBEA79868}"/>
    <cellStyle name="20% - Accent1 2" xfId="2" xr:uid="{00000000-0005-0000-0000-000002000000}"/>
    <cellStyle name="20% - Accent1 2 10" xfId="8797" xr:uid="{7F4BEAE6-CC35-4B07-89BD-8FC5D6B3D35B}"/>
    <cellStyle name="20% - Accent1 2 10 2" xfId="18121" xr:uid="{8BCC7B9E-7C65-4B5C-829E-3DC60088E57D}"/>
    <cellStyle name="20% - Accent1 2 10 3" xfId="27419" xr:uid="{A808A10E-2D85-48D5-A18B-EF27026983B4}"/>
    <cellStyle name="20% - Accent1 2 11" xfId="9614" xr:uid="{AE7B0C94-530D-4AB6-BBC1-918BC01D8AE3}"/>
    <cellStyle name="20% - Accent1 2 12" xfId="18913" xr:uid="{F2BC66D6-4D9B-4F76-A4A2-B7598572F6E6}"/>
    <cellStyle name="20% - Accent1 2 2" xfId="3" xr:uid="{00000000-0005-0000-0000-000003000000}"/>
    <cellStyle name="20% - Accent1 2 2 10" xfId="9615" xr:uid="{D7A32C72-71DC-41CE-849F-80BD7795EB2F}"/>
    <cellStyle name="20% - Accent1 2 2 11" xfId="18914" xr:uid="{2410597C-CD58-46D2-BF43-EA6A872B17CF}"/>
    <cellStyle name="20% - Accent1 2 2 2" xfId="4" xr:uid="{00000000-0005-0000-0000-000004000000}"/>
    <cellStyle name="20% - Accent1 2 2 2 10" xfId="18915" xr:uid="{88B82F28-34DB-4008-8F41-EB49E04614FC}"/>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6EE99D8A-82D5-4E3B-A9E9-1DEEEB4279D9}"/>
    <cellStyle name="20% - Accent1 2 2 2 2 2 2 3" xfId="25691" xr:uid="{B66965DD-118B-4F7E-B840-431778780AE6}"/>
    <cellStyle name="20% - Accent1 2 2 2 2 2 3" xfId="12175" xr:uid="{4D253DE1-E3B6-4CC7-981B-CE37214829A6}"/>
    <cellStyle name="20% - Accent1 2 2 2 2 2 4" xfId="21474" xr:uid="{214EECE4-74DD-4A9E-A64E-DD1EDAAC3C96}"/>
    <cellStyle name="20% - Accent1 2 2 2 2 3" xfId="4921" xr:uid="{00000000-0005-0000-0000-000008000000}"/>
    <cellStyle name="20% - Accent1 2 2 2 2 3 2" xfId="14247" xr:uid="{8E116508-BE81-4154-ACC2-4C8C7CF059AD}"/>
    <cellStyle name="20% - Accent1 2 2 2 2 3 3" xfId="23546" xr:uid="{E886C424-0EE3-49E2-B4C9-89CB5A6FCFD4}"/>
    <cellStyle name="20% - Accent1 2 2 2 2 4" xfId="9532" xr:uid="{D5FAB462-C5A9-4306-AA37-C118C84F9393}"/>
    <cellStyle name="20% - Accent1 2 2 2 2 4 2" xfId="18847" xr:uid="{8288932C-D181-43C1-9DE5-D633948D139B}"/>
    <cellStyle name="20% - Accent1 2 2 2 2 4 3" xfId="28144" xr:uid="{64B12AF2-F3DA-474E-97C5-3E8676458E17}"/>
    <cellStyle name="20% - Accent1 2 2 2 2 5" xfId="10030" xr:uid="{1A2F800E-CEB7-467A-B13E-982D14E5E579}"/>
    <cellStyle name="20% - Accent1 2 2 2 2 6" xfId="19329" xr:uid="{89FFE665-79C5-4F36-B112-241142D4539A}"/>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08C77849-993A-434B-9231-F9E742996ED2}"/>
    <cellStyle name="20% - Accent1 2 2 2 3 2 2 3" xfId="26104" xr:uid="{75B19FB7-B0AA-435B-A418-A006F72FD23B}"/>
    <cellStyle name="20% - Accent1 2 2 2 3 2 3" xfId="12588" xr:uid="{B9BFEB4D-B9F8-439D-8712-CA64891E4138}"/>
    <cellStyle name="20% - Accent1 2 2 2 3 2 4" xfId="21887" xr:uid="{97D5CEA4-5AFE-4C21-9437-66C7461678B5}"/>
    <cellStyle name="20% - Accent1 2 2 2 3 3" xfId="5334" xr:uid="{00000000-0005-0000-0000-00000C000000}"/>
    <cellStyle name="20% - Accent1 2 2 2 3 3 2" xfId="14660" xr:uid="{7AA67651-9F76-46F5-ABA5-B858A4DB8EDE}"/>
    <cellStyle name="20% - Accent1 2 2 2 3 3 3" xfId="23959" xr:uid="{AEF41D8D-8AB6-4F8F-A390-8A95301DF332}"/>
    <cellStyle name="20% - Accent1 2 2 2 3 4" xfId="10443" xr:uid="{24F4F74C-5F9D-4A04-84F0-B7525F2E6054}"/>
    <cellStyle name="20% - Accent1 2 2 2 3 5" xfId="19742" xr:uid="{B78A7EE1-79B8-4A0F-B071-5A1282F7D02C}"/>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38B97F8F-CA3B-4B2F-AC2C-3FEA099980EA}"/>
    <cellStyle name="20% - Accent1 2 2 2 4 2 2 3" xfId="26517" xr:uid="{731BECF5-B2A9-47E1-968B-15D6C6F29A46}"/>
    <cellStyle name="20% - Accent1 2 2 2 4 2 3" xfId="13001" xr:uid="{AA039F79-1EDE-4B11-8444-63DDA0D5A1BE}"/>
    <cellStyle name="20% - Accent1 2 2 2 4 2 4" xfId="22300" xr:uid="{A5D643E1-0A04-4D93-8E0F-4F49BA748941}"/>
    <cellStyle name="20% - Accent1 2 2 2 4 3" xfId="5747" xr:uid="{00000000-0005-0000-0000-000010000000}"/>
    <cellStyle name="20% - Accent1 2 2 2 4 3 2" xfId="15073" xr:uid="{E14693AC-33EA-40D1-968C-01665FE31921}"/>
    <cellStyle name="20% - Accent1 2 2 2 4 3 3" xfId="24372" xr:uid="{87DED259-4354-49B6-AB6C-A6320F1BBB62}"/>
    <cellStyle name="20% - Accent1 2 2 2 4 4" xfId="10856" xr:uid="{524DFC0F-E8A9-4558-9355-C6FB954EEE26}"/>
    <cellStyle name="20% - Accent1 2 2 2 4 5" xfId="20155" xr:uid="{65D03AFF-5490-47F1-8A01-41E367A7BE62}"/>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1F1204CA-F2E4-4524-B822-D40886088B3A}"/>
    <cellStyle name="20% - Accent1 2 2 2 5 2 2 3" xfId="26930" xr:uid="{0C695A3D-C0DB-45F4-B4E5-57AD1FF33723}"/>
    <cellStyle name="20% - Accent1 2 2 2 5 2 3" xfId="13414" xr:uid="{388F46BB-4F40-4A3E-8777-B9BD451CE342}"/>
    <cellStyle name="20% - Accent1 2 2 2 5 2 4" xfId="22713" xr:uid="{C3FCAE4D-1C89-4DDF-9557-57DB2F8B6821}"/>
    <cellStyle name="20% - Accent1 2 2 2 5 3" xfId="6160" xr:uid="{00000000-0005-0000-0000-000014000000}"/>
    <cellStyle name="20% - Accent1 2 2 2 5 3 2" xfId="15486" xr:uid="{7ED26448-46E0-4E07-8AD9-BD4BC2C7B04E}"/>
    <cellStyle name="20% - Accent1 2 2 2 5 3 3" xfId="24785" xr:uid="{6226F35B-40BD-46CF-B599-2EAA1B903415}"/>
    <cellStyle name="20% - Accent1 2 2 2 5 4" xfId="11269" xr:uid="{FA192773-4CBB-49B3-A478-42E3C80985E1}"/>
    <cellStyle name="20% - Accent1 2 2 2 5 5" xfId="20568" xr:uid="{0C8D2F7A-4D19-452A-A238-1389C0CB93DE}"/>
    <cellStyle name="20% - Accent1 2 2 2 6" xfId="2267" xr:uid="{00000000-0005-0000-0000-000015000000}"/>
    <cellStyle name="20% - Accent1 2 2 2 6 2" xfId="6573" xr:uid="{00000000-0005-0000-0000-000016000000}"/>
    <cellStyle name="20% - Accent1 2 2 2 6 2 2" xfId="15899" xr:uid="{E4D64019-8AB4-444E-89CB-DE3D5697DCC2}"/>
    <cellStyle name="20% - Accent1 2 2 2 6 2 3" xfId="25198" xr:uid="{8105364A-7C51-4A05-906F-6984A3620123}"/>
    <cellStyle name="20% - Accent1 2 2 2 6 3" xfId="11682" xr:uid="{0ED07C3F-DD65-43AF-9842-CF770D7F9A26}"/>
    <cellStyle name="20% - Accent1 2 2 2 6 4" xfId="20981" xr:uid="{A7346741-40BC-468E-8B64-C17F5C16B628}"/>
    <cellStyle name="20% - Accent1 2 2 2 7" xfId="4507" xr:uid="{00000000-0005-0000-0000-000017000000}"/>
    <cellStyle name="20% - Accent1 2 2 2 7 2" xfId="13833" xr:uid="{50ED2504-031E-4DA1-AFFD-7E3169A37C10}"/>
    <cellStyle name="20% - Accent1 2 2 2 7 3" xfId="23132" xr:uid="{E605D1A8-C115-4334-A4C1-181FFBE80995}"/>
    <cellStyle name="20% - Accent1 2 2 2 8" xfId="9107" xr:uid="{4168D01E-823F-4E8F-9A1D-70697AC1F241}"/>
    <cellStyle name="20% - Accent1 2 2 2 8 2" xfId="18431" xr:uid="{20D58017-D746-4F2E-8A68-9C9D69564CE0}"/>
    <cellStyle name="20% - Accent1 2 2 2 8 3" xfId="27729" xr:uid="{95104EF1-F5CB-442D-93A7-D09B39992D39}"/>
    <cellStyle name="20% - Accent1 2 2 2 9" xfId="9616" xr:uid="{9A43F890-7849-4929-9FC2-39D5472886B5}"/>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13BF8A17-7B4A-4B4A-AB49-5EF94591DC74}"/>
    <cellStyle name="20% - Accent1 2 2 3 2 2 3" xfId="25690" xr:uid="{8361206B-9016-4E71-A626-94799C81D149}"/>
    <cellStyle name="20% - Accent1 2 2 3 2 3" xfId="12174" xr:uid="{7E753350-8AE1-4808-8492-5C86CECA6C84}"/>
    <cellStyle name="20% - Accent1 2 2 3 2 4" xfId="21473" xr:uid="{A6F31505-61C8-4623-A05A-D59DF4B98644}"/>
    <cellStyle name="20% - Accent1 2 2 3 3" xfId="4920" xr:uid="{00000000-0005-0000-0000-00001B000000}"/>
    <cellStyle name="20% - Accent1 2 2 3 3 2" xfId="14246" xr:uid="{3C7F9ACA-4716-41DE-A7BB-1C679D59B1CA}"/>
    <cellStyle name="20% - Accent1 2 2 3 3 3" xfId="23545" xr:uid="{53C9217F-1FE5-401A-B144-7A9150719C6D}"/>
    <cellStyle name="20% - Accent1 2 2 3 4" xfId="9325" xr:uid="{DE19910B-698B-4F31-B25F-3533B35DDA95}"/>
    <cellStyle name="20% - Accent1 2 2 3 4 2" xfId="18640" xr:uid="{4BAF5D4D-64D4-45A3-89B8-D6F78785CB86}"/>
    <cellStyle name="20% - Accent1 2 2 3 4 3" xfId="27937" xr:uid="{7E554795-97E0-4C2C-B6CD-AF690050E09D}"/>
    <cellStyle name="20% - Accent1 2 2 3 5" xfId="10029" xr:uid="{9C0958F4-AA56-46B6-BB26-D01E121CA59D}"/>
    <cellStyle name="20% - Accent1 2 2 3 6" xfId="19328" xr:uid="{891D1361-3529-4382-B96B-24567EAE1358}"/>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1DC18F5A-8203-4536-B1CB-6CEA2654F98D}"/>
    <cellStyle name="20% - Accent1 2 2 4 2 2 3" xfId="26103" xr:uid="{F6A6B5E8-1625-46A5-B976-A3A3D49796BD}"/>
    <cellStyle name="20% - Accent1 2 2 4 2 3" xfId="12587" xr:uid="{B9BCF649-A9B5-475C-ADA1-496CF230EAE6}"/>
    <cellStyle name="20% - Accent1 2 2 4 2 4" xfId="21886" xr:uid="{556F77D2-ACDE-483C-8AED-9F3D6C996120}"/>
    <cellStyle name="20% - Accent1 2 2 4 3" xfId="5333" xr:uid="{00000000-0005-0000-0000-00001F000000}"/>
    <cellStyle name="20% - Accent1 2 2 4 3 2" xfId="14659" xr:uid="{6B523D6F-C19A-4073-8D0C-92A5D9FDEB36}"/>
    <cellStyle name="20% - Accent1 2 2 4 3 3" xfId="23958" xr:uid="{D04A3F44-6A60-4525-A5DA-DCA1954D6E46}"/>
    <cellStyle name="20% - Accent1 2 2 4 4" xfId="10442" xr:uid="{52886158-5432-4A78-90C0-6368A00B96C8}"/>
    <cellStyle name="20% - Accent1 2 2 4 5" xfId="19741" xr:uid="{10541DD8-8BD4-4811-8EA4-F3D0CED9D037}"/>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94BFEE70-98DD-4BA6-9D9D-888A7F2A8CD4}"/>
    <cellStyle name="20% - Accent1 2 2 5 2 2 3" xfId="26516" xr:uid="{78C4B634-6511-4061-A49E-4BBF4EBE4F01}"/>
    <cellStyle name="20% - Accent1 2 2 5 2 3" xfId="13000" xr:uid="{FD0523C8-E922-41B6-8710-5121BDDEDB9A}"/>
    <cellStyle name="20% - Accent1 2 2 5 2 4" xfId="22299" xr:uid="{8E89868E-77A5-4F20-B634-27808FFF7498}"/>
    <cellStyle name="20% - Accent1 2 2 5 3" xfId="5746" xr:uid="{00000000-0005-0000-0000-000023000000}"/>
    <cellStyle name="20% - Accent1 2 2 5 3 2" xfId="15072" xr:uid="{A4F776D7-579C-4E4D-994A-AB42643D593B}"/>
    <cellStyle name="20% - Accent1 2 2 5 3 3" xfId="24371" xr:uid="{628AF7FA-4046-47CC-B19E-61110DEA2351}"/>
    <cellStyle name="20% - Accent1 2 2 5 4" xfId="10855" xr:uid="{F42F5855-1F95-4631-B1C2-ABA48E0CE5AF}"/>
    <cellStyle name="20% - Accent1 2 2 5 5" xfId="20154" xr:uid="{DB596340-2C0D-49B5-AD93-E459B16D6472}"/>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6DBAD775-2CF0-4BCE-B173-842DBC8CB08D}"/>
    <cellStyle name="20% - Accent1 2 2 6 2 2 3" xfId="26929" xr:uid="{F73AC94A-4F68-4DCF-A7EE-C143B89C33C5}"/>
    <cellStyle name="20% - Accent1 2 2 6 2 3" xfId="13413" xr:uid="{85CD44C1-CEDD-4313-8559-D30237E1AE7F}"/>
    <cellStyle name="20% - Accent1 2 2 6 2 4" xfId="22712" xr:uid="{82B1B244-A93B-414C-933A-9F8FDE9C31AB}"/>
    <cellStyle name="20% - Accent1 2 2 6 3" xfId="6159" xr:uid="{00000000-0005-0000-0000-000027000000}"/>
    <cellStyle name="20% - Accent1 2 2 6 3 2" xfId="15485" xr:uid="{1EED91D0-A7A5-499D-A798-FF3A7ECD6DD3}"/>
    <cellStyle name="20% - Accent1 2 2 6 3 3" xfId="24784" xr:uid="{31F93757-1DB7-4D3F-B819-34F40C369172}"/>
    <cellStyle name="20% - Accent1 2 2 6 4" xfId="11268" xr:uid="{F37077E7-6845-45FE-9D89-575C10597045}"/>
    <cellStyle name="20% - Accent1 2 2 6 5" xfId="20567" xr:uid="{96B9A00F-C710-4C33-98EC-E3B621BD09DF}"/>
    <cellStyle name="20% - Accent1 2 2 7" xfId="2266" xr:uid="{00000000-0005-0000-0000-000028000000}"/>
    <cellStyle name="20% - Accent1 2 2 7 2" xfId="6572" xr:uid="{00000000-0005-0000-0000-000029000000}"/>
    <cellStyle name="20% - Accent1 2 2 7 2 2" xfId="15898" xr:uid="{F17D72B9-92A8-4F02-A5EE-ED2E5159BEAA}"/>
    <cellStyle name="20% - Accent1 2 2 7 2 3" xfId="25197" xr:uid="{0AFE06EB-9FD6-4675-8950-DFDAF0A0AF97}"/>
    <cellStyle name="20% - Accent1 2 2 7 3" xfId="11681" xr:uid="{00F163CF-6F78-47B6-91F6-620274060143}"/>
    <cellStyle name="20% - Accent1 2 2 7 4" xfId="20980" xr:uid="{D790E8A0-B77C-42D8-891A-75FB606E0E83}"/>
    <cellStyle name="20% - Accent1 2 2 8" xfId="4506" xr:uid="{00000000-0005-0000-0000-00002A000000}"/>
    <cellStyle name="20% - Accent1 2 2 8 2" xfId="13832" xr:uid="{E08533B4-CAE4-4C24-A245-912FD05467D1}"/>
    <cellStyle name="20% - Accent1 2 2 8 3" xfId="23131" xr:uid="{AAA57407-150D-4137-B083-55F52833A0C4}"/>
    <cellStyle name="20% - Accent1 2 2 9" xfId="8900" xr:uid="{7D7E3EAF-DF6A-403F-8C20-66BB9757790F}"/>
    <cellStyle name="20% - Accent1 2 2 9 2" xfId="18224" xr:uid="{0C882B29-0C07-4978-9786-51EA06CA20E3}"/>
    <cellStyle name="20% - Accent1 2 2 9 3" xfId="27522" xr:uid="{69F27A29-508B-4AE8-9BF3-66B32F2E13D8}"/>
    <cellStyle name="20% - Accent1 2 3" xfId="5" xr:uid="{00000000-0005-0000-0000-00002B000000}"/>
    <cellStyle name="20% - Accent1 2 3 10" xfId="18916" xr:uid="{816EDBB0-ECEF-4DD6-8A5E-A2317C2A80F9}"/>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6008FF6A-2E04-4C97-A642-2A284FE3B7A2}"/>
    <cellStyle name="20% - Accent1 2 3 2 2 2 3" xfId="25692" xr:uid="{9A1A6BB0-F03B-4E9D-AD61-56373C1BBF57}"/>
    <cellStyle name="20% - Accent1 2 3 2 2 3" xfId="12176" xr:uid="{25D9927D-839D-4605-9103-89B02A25817E}"/>
    <cellStyle name="20% - Accent1 2 3 2 2 4" xfId="21475" xr:uid="{68327378-BB59-458B-A4C4-9AF6FCF4CCC0}"/>
    <cellStyle name="20% - Accent1 2 3 2 3" xfId="4922" xr:uid="{00000000-0005-0000-0000-00002F000000}"/>
    <cellStyle name="20% - Accent1 2 3 2 3 2" xfId="14248" xr:uid="{AF095A23-6F35-4D80-85F6-E7D5C3A3F404}"/>
    <cellStyle name="20% - Accent1 2 3 2 3 3" xfId="23547" xr:uid="{42CE6ACC-348E-44CB-9921-DD5800F8B81F}"/>
    <cellStyle name="20% - Accent1 2 3 2 4" xfId="9429" xr:uid="{CCD4BD61-3143-497B-A316-8024A8762A6C}"/>
    <cellStyle name="20% - Accent1 2 3 2 4 2" xfId="18744" xr:uid="{EAA06513-E72E-4673-B5B1-B9E7E75F42DD}"/>
    <cellStyle name="20% - Accent1 2 3 2 4 3" xfId="28041" xr:uid="{A8EA8F06-7B8A-43E5-90A0-E87DF3463500}"/>
    <cellStyle name="20% - Accent1 2 3 2 5" xfId="10031" xr:uid="{C0DA2168-919B-4963-949B-445F302C6C8D}"/>
    <cellStyle name="20% - Accent1 2 3 2 6" xfId="19330" xr:uid="{596CA8C9-F347-44ED-8DFD-30EE129500D5}"/>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200FCC1B-5AD2-4915-9807-B6EBE18C79C1}"/>
    <cellStyle name="20% - Accent1 2 3 3 2 2 3" xfId="26105" xr:uid="{7A42AE68-26A7-407F-9713-C43DC399F83B}"/>
    <cellStyle name="20% - Accent1 2 3 3 2 3" xfId="12589" xr:uid="{49C0582E-8E87-4AAE-8869-41518A6014F0}"/>
    <cellStyle name="20% - Accent1 2 3 3 2 4" xfId="21888" xr:uid="{37E1E90E-AA45-40B7-8910-073B99438ADC}"/>
    <cellStyle name="20% - Accent1 2 3 3 3" xfId="5335" xr:uid="{00000000-0005-0000-0000-000033000000}"/>
    <cellStyle name="20% - Accent1 2 3 3 3 2" xfId="14661" xr:uid="{90CA74AF-2EFE-420E-B217-D61A9700D5A2}"/>
    <cellStyle name="20% - Accent1 2 3 3 3 3" xfId="23960" xr:uid="{9F9934FF-2CFD-4661-AF62-612E6BC101CE}"/>
    <cellStyle name="20% - Accent1 2 3 3 4" xfId="10444" xr:uid="{8BB76BD8-A43F-4CAB-8609-B882452ED901}"/>
    <cellStyle name="20% - Accent1 2 3 3 5" xfId="19743" xr:uid="{32BA35D6-10FE-4100-A025-B691DF3B805F}"/>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20526201-F03F-4F1E-B267-E38DB19368CA}"/>
    <cellStyle name="20% - Accent1 2 3 4 2 2 3" xfId="26518" xr:uid="{61A3B930-796C-4AA7-9819-4614689AB390}"/>
    <cellStyle name="20% - Accent1 2 3 4 2 3" xfId="13002" xr:uid="{C0FFE457-6BD5-4E6E-A53D-F86192E23DA2}"/>
    <cellStyle name="20% - Accent1 2 3 4 2 4" xfId="22301" xr:uid="{4FB74C73-4C75-4FD0-A6D0-36D088183368}"/>
    <cellStyle name="20% - Accent1 2 3 4 3" xfId="5748" xr:uid="{00000000-0005-0000-0000-000037000000}"/>
    <cellStyle name="20% - Accent1 2 3 4 3 2" xfId="15074" xr:uid="{C8F58438-DB1C-493E-8550-18236C6639A3}"/>
    <cellStyle name="20% - Accent1 2 3 4 3 3" xfId="24373" xr:uid="{08770E0E-5454-44EF-AD4E-E23650BABA2B}"/>
    <cellStyle name="20% - Accent1 2 3 4 4" xfId="10857" xr:uid="{333170FF-CE61-448E-BF23-C3E498284810}"/>
    <cellStyle name="20% - Accent1 2 3 4 5" xfId="20156" xr:uid="{839EA8EE-06B3-4F3B-AA8C-4CFF8E976472}"/>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35F8B816-DB25-4A7B-8735-7168506A951C}"/>
    <cellStyle name="20% - Accent1 2 3 5 2 2 3" xfId="26931" xr:uid="{D925DE3F-1503-499C-B0D5-9E643ECB5596}"/>
    <cellStyle name="20% - Accent1 2 3 5 2 3" xfId="13415" xr:uid="{74892AE2-0B16-47CC-A10A-AAC0243EACA9}"/>
    <cellStyle name="20% - Accent1 2 3 5 2 4" xfId="22714" xr:uid="{85B81255-BB75-4C15-B684-5C31B16CB68E}"/>
    <cellStyle name="20% - Accent1 2 3 5 3" xfId="6161" xr:uid="{00000000-0005-0000-0000-00003B000000}"/>
    <cellStyle name="20% - Accent1 2 3 5 3 2" xfId="15487" xr:uid="{757989F5-B360-44AB-BDA2-889DF935E40D}"/>
    <cellStyle name="20% - Accent1 2 3 5 3 3" xfId="24786" xr:uid="{E788446F-2F70-4BAC-AEA9-2D49C69E9DBB}"/>
    <cellStyle name="20% - Accent1 2 3 5 4" xfId="11270" xr:uid="{B5CB1E8D-EFD9-4718-BDDB-A4BFCC658775}"/>
    <cellStyle name="20% - Accent1 2 3 5 5" xfId="20569" xr:uid="{AAFDF86C-0C4D-42A7-BCBF-B8439D6A8B01}"/>
    <cellStyle name="20% - Accent1 2 3 6" xfId="2268" xr:uid="{00000000-0005-0000-0000-00003C000000}"/>
    <cellStyle name="20% - Accent1 2 3 6 2" xfId="6574" xr:uid="{00000000-0005-0000-0000-00003D000000}"/>
    <cellStyle name="20% - Accent1 2 3 6 2 2" xfId="15900" xr:uid="{55E60E8B-4A5E-46CA-A9E4-12C3FEF96FE5}"/>
    <cellStyle name="20% - Accent1 2 3 6 2 3" xfId="25199" xr:uid="{C7DCDBF0-8F51-43A1-9FFB-9DB48F82B7D9}"/>
    <cellStyle name="20% - Accent1 2 3 6 3" xfId="11683" xr:uid="{5A19A242-2447-4CBA-89A4-A54EFC8B02DC}"/>
    <cellStyle name="20% - Accent1 2 3 6 4" xfId="20982" xr:uid="{2C5EE9E1-4F41-4269-B203-3C0DFF5FE03E}"/>
    <cellStyle name="20% - Accent1 2 3 7" xfId="4508" xr:uid="{00000000-0005-0000-0000-00003E000000}"/>
    <cellStyle name="20% - Accent1 2 3 7 2" xfId="13834" xr:uid="{9BB6FA27-951D-41AA-90D0-B3D29697E461}"/>
    <cellStyle name="20% - Accent1 2 3 7 3" xfId="23133" xr:uid="{55353539-186E-49D5-873B-E5AAA2786A17}"/>
    <cellStyle name="20% - Accent1 2 3 8" xfId="9004" xr:uid="{14A9C135-BB7B-44DD-97E1-B6B10773DEE2}"/>
    <cellStyle name="20% - Accent1 2 3 8 2" xfId="18328" xr:uid="{C5564B22-0027-4FE5-86B6-A9F403F5C834}"/>
    <cellStyle name="20% - Accent1 2 3 8 3" xfId="27626" xr:uid="{F48C3901-8E1E-4614-BCDC-B28E15198971}"/>
    <cellStyle name="20% - Accent1 2 3 9" xfId="9617" xr:uid="{F697FBE5-B4D5-4EE0-B9CB-259F3E72DF1D}"/>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90D18017-46E8-46C9-A63A-F56B9D069A2A}"/>
    <cellStyle name="20% - Accent1 2 4 2 2 3" xfId="25689" xr:uid="{2961F567-DC0B-4BB6-BF7C-FF413C61EEE9}"/>
    <cellStyle name="20% - Accent1 2 4 2 3" xfId="12173" xr:uid="{F8FA2F9B-40CC-43D1-B5D3-D075A12D9C8A}"/>
    <cellStyle name="20% - Accent1 2 4 2 4" xfId="21472" xr:uid="{54283BBA-E069-4A21-A70E-3D03C7C96752}"/>
    <cellStyle name="20% - Accent1 2 4 3" xfId="4919" xr:uid="{00000000-0005-0000-0000-000042000000}"/>
    <cellStyle name="20% - Accent1 2 4 3 2" xfId="14245" xr:uid="{79A5BE63-CCF1-4C2A-9183-7585FAD28FC8}"/>
    <cellStyle name="20% - Accent1 2 4 3 3" xfId="23544" xr:uid="{27E8721B-7D08-4EDC-8F47-2CED8792DB16}"/>
    <cellStyle name="20% - Accent1 2 4 4" xfId="9221" xr:uid="{11532E3F-E59C-4FF7-9F45-291A17A69435}"/>
    <cellStyle name="20% - Accent1 2 4 4 2" xfId="18537" xr:uid="{8369AD2D-8BF1-49D5-A75D-39ED8E5C0612}"/>
    <cellStyle name="20% - Accent1 2 4 4 3" xfId="27834" xr:uid="{2B10F9FB-9EB6-496D-ACB0-744C8F3EBBC6}"/>
    <cellStyle name="20% - Accent1 2 4 5" xfId="10028" xr:uid="{7B435D1C-5D80-4A6C-A012-21F9DD8B02EF}"/>
    <cellStyle name="20% - Accent1 2 4 6" xfId="19327" xr:uid="{89B4BC91-D622-4DD2-BCBB-E5DAFCF0EB90}"/>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43820B4E-85FD-49CD-84B2-ED81974BC9DB}"/>
    <cellStyle name="20% - Accent1 2 5 2 2 3" xfId="26102" xr:uid="{1CC5435C-E52E-4973-BC95-5027732F495A}"/>
    <cellStyle name="20% - Accent1 2 5 2 3" xfId="12586" xr:uid="{EC4315E3-8F50-430C-8374-BB9FDEA5A48A}"/>
    <cellStyle name="20% - Accent1 2 5 2 4" xfId="21885" xr:uid="{39FD0F2C-FB81-4CDB-AE87-00344F2BFC72}"/>
    <cellStyle name="20% - Accent1 2 5 3" xfId="5332" xr:uid="{00000000-0005-0000-0000-000046000000}"/>
    <cellStyle name="20% - Accent1 2 5 3 2" xfId="14658" xr:uid="{5A562231-2BD5-4BB3-ADA6-B7E72CF79A5E}"/>
    <cellStyle name="20% - Accent1 2 5 3 3" xfId="23957" xr:uid="{CB2BBBFA-8E2F-4C41-8A6C-F7203B6614EA}"/>
    <cellStyle name="20% - Accent1 2 5 4" xfId="10441" xr:uid="{E2EE3CF1-E88C-4A84-AED6-A832FF4A97AC}"/>
    <cellStyle name="20% - Accent1 2 5 5" xfId="19740" xr:uid="{1E48EC24-6A5D-4080-9D7E-34403F9C8EC7}"/>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DBDAC289-19FA-417E-BC54-244ED5F2F96A}"/>
    <cellStyle name="20% - Accent1 2 6 2 2 3" xfId="26515" xr:uid="{F540CB47-30CA-43C8-B08C-F60998B22467}"/>
    <cellStyle name="20% - Accent1 2 6 2 3" xfId="12999" xr:uid="{F6562B7B-EC2C-4A34-9A18-03F6FB40A647}"/>
    <cellStyle name="20% - Accent1 2 6 2 4" xfId="22298" xr:uid="{4A596F54-EA78-4CE3-A196-C93AAD7961BB}"/>
    <cellStyle name="20% - Accent1 2 6 3" xfId="5745" xr:uid="{00000000-0005-0000-0000-00004A000000}"/>
    <cellStyle name="20% - Accent1 2 6 3 2" xfId="15071" xr:uid="{66ABB399-4D90-4D20-B223-691FBDB8447C}"/>
    <cellStyle name="20% - Accent1 2 6 3 3" xfId="24370" xr:uid="{7F4F006D-65B3-4BFF-86D5-ADA542274F39}"/>
    <cellStyle name="20% - Accent1 2 6 4" xfId="10854" xr:uid="{29D9AD07-F57C-408A-BE8F-6099531C77EE}"/>
    <cellStyle name="20% - Accent1 2 6 5" xfId="20153" xr:uid="{CC422072-7DA3-4F03-86AE-3C77B5CC1B33}"/>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86F56102-19CE-493F-A2B0-E77341902745}"/>
    <cellStyle name="20% - Accent1 2 7 2 2 3" xfId="26928" xr:uid="{4F8D6DF2-03CA-483E-AEA9-4F9B492BEE7C}"/>
    <cellStyle name="20% - Accent1 2 7 2 3" xfId="13412" xr:uid="{EF41DFE4-4D0E-4A19-8D30-01DC988D51E9}"/>
    <cellStyle name="20% - Accent1 2 7 2 4" xfId="22711" xr:uid="{5C5B33A9-C712-4B08-A4F5-44214993A195}"/>
    <cellStyle name="20% - Accent1 2 7 3" xfId="6158" xr:uid="{00000000-0005-0000-0000-00004E000000}"/>
    <cellStyle name="20% - Accent1 2 7 3 2" xfId="15484" xr:uid="{6EB656DA-4561-48EF-B8BC-24F48BCCB090}"/>
    <cellStyle name="20% - Accent1 2 7 3 3" xfId="24783" xr:uid="{542C5A15-76A1-4BA5-8FAF-3991D5C9BD7D}"/>
    <cellStyle name="20% - Accent1 2 7 4" xfId="11267" xr:uid="{B814DBF4-7FE1-41E9-B62E-D57BFFF1E815}"/>
    <cellStyle name="20% - Accent1 2 7 5" xfId="20566" xr:uid="{4DC6F924-44F7-4850-AC9C-9D4D21ADE22B}"/>
    <cellStyle name="20% - Accent1 2 8" xfId="2265" xr:uid="{00000000-0005-0000-0000-00004F000000}"/>
    <cellStyle name="20% - Accent1 2 8 2" xfId="6571" xr:uid="{00000000-0005-0000-0000-000050000000}"/>
    <cellStyle name="20% - Accent1 2 8 2 2" xfId="15897" xr:uid="{555DACB4-E215-4F76-A57D-EF989E7ACC7C}"/>
    <cellStyle name="20% - Accent1 2 8 2 3" xfId="25196" xr:uid="{47984D70-D94B-4C8F-B6EC-DAFBB1DD75CD}"/>
    <cellStyle name="20% - Accent1 2 8 3" xfId="11680" xr:uid="{E3001698-3F11-4C07-A27D-2BBD232AD41E}"/>
    <cellStyle name="20% - Accent1 2 8 4" xfId="20979" xr:uid="{2A90902E-85DD-4EC6-B8F5-82E6200BED93}"/>
    <cellStyle name="20% - Accent1 2 9" xfId="4505" xr:uid="{00000000-0005-0000-0000-000051000000}"/>
    <cellStyle name="20% - Accent1 2 9 2" xfId="13831" xr:uid="{F2B369AE-2A02-49F1-8360-B570A92E28A6}"/>
    <cellStyle name="20% - Accent1 2 9 3" xfId="23130" xr:uid="{E0BF5A5E-9CBF-4D7D-8D10-D4F44EF043C5}"/>
    <cellStyle name="20% - Accent1 3" xfId="6" xr:uid="{00000000-0005-0000-0000-000052000000}"/>
    <cellStyle name="20% - Accent1 3 10" xfId="9618" xr:uid="{E171E977-7C42-4A60-9B37-4089C92D07E6}"/>
    <cellStyle name="20% - Accent1 3 11" xfId="18917" xr:uid="{131DF4D2-3BAD-483F-8E00-10C709895141}"/>
    <cellStyle name="20% - Accent1 3 2" xfId="7" xr:uid="{00000000-0005-0000-0000-000053000000}"/>
    <cellStyle name="20% - Accent1 3 2 10" xfId="18918" xr:uid="{E1379DA6-CCCC-44DD-9471-1F1F1DD60C29}"/>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79F99470-15D2-487F-8944-2CF50411D01C}"/>
    <cellStyle name="20% - Accent1 3 2 2 2 2 3" xfId="25694" xr:uid="{DBF69E03-33E4-4034-804E-637EA0FB64C4}"/>
    <cellStyle name="20% - Accent1 3 2 2 2 3" xfId="12178" xr:uid="{80D64B62-8A29-404F-9F65-306792092972}"/>
    <cellStyle name="20% - Accent1 3 2 2 2 4" xfId="21477" xr:uid="{78CFFDE9-2215-45A0-ACD8-85F8B92E45D6}"/>
    <cellStyle name="20% - Accent1 3 2 2 3" xfId="4924" xr:uid="{00000000-0005-0000-0000-000057000000}"/>
    <cellStyle name="20% - Accent1 3 2 2 3 2" xfId="14250" xr:uid="{62C0A422-ECC1-45A1-8D3C-CC4969574B79}"/>
    <cellStyle name="20% - Accent1 3 2 2 3 3" xfId="23549" xr:uid="{116D791F-4355-452F-A4C4-D649AFBF81AB}"/>
    <cellStyle name="20% - Accent1 3 2 2 4" xfId="9493" xr:uid="{FCEFE71D-2A04-4899-B62A-B225DBF7F0BF}"/>
    <cellStyle name="20% - Accent1 3 2 2 4 2" xfId="18808" xr:uid="{9AF419C9-05AE-466B-8C91-5FD27BFA2DC9}"/>
    <cellStyle name="20% - Accent1 3 2 2 4 3" xfId="28105" xr:uid="{EE2E4091-2E5E-442D-AD45-6BFC96A79DAA}"/>
    <cellStyle name="20% - Accent1 3 2 2 5" xfId="10033" xr:uid="{3C3C5D2A-B650-4779-AD57-3CE56168203D}"/>
    <cellStyle name="20% - Accent1 3 2 2 6" xfId="19332" xr:uid="{C1BECB3B-B019-498C-9542-90B73828D067}"/>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20812877-DF9A-4158-AEF6-4148A998011E}"/>
    <cellStyle name="20% - Accent1 3 2 3 2 2 3" xfId="26107" xr:uid="{E24CF9E1-0910-49BA-8591-C4EDC6DF86BF}"/>
    <cellStyle name="20% - Accent1 3 2 3 2 3" xfId="12591" xr:uid="{F2D5E753-5D55-4363-8A79-E36E9734F7D2}"/>
    <cellStyle name="20% - Accent1 3 2 3 2 4" xfId="21890" xr:uid="{3079DA9F-52B8-48A4-9DF4-0CA414E1FBB6}"/>
    <cellStyle name="20% - Accent1 3 2 3 3" xfId="5337" xr:uid="{00000000-0005-0000-0000-00005B000000}"/>
    <cellStyle name="20% - Accent1 3 2 3 3 2" xfId="14663" xr:uid="{4B8FE093-B3F4-4930-B9CA-4FA91CBF82B8}"/>
    <cellStyle name="20% - Accent1 3 2 3 3 3" xfId="23962" xr:uid="{8BAD12A0-7EFC-4F8A-B8E0-A192CCBA02D2}"/>
    <cellStyle name="20% - Accent1 3 2 3 4" xfId="10446" xr:uid="{B47DF8F5-A54F-497B-94A3-89327D401B10}"/>
    <cellStyle name="20% - Accent1 3 2 3 5" xfId="19745" xr:uid="{2EE6C3BE-8FD6-4C6A-B567-0174A399026B}"/>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66FDB39B-7A8A-490E-AFCD-66A9F3C7813F}"/>
    <cellStyle name="20% - Accent1 3 2 4 2 2 3" xfId="26520" xr:uid="{1169DB0E-0AEC-4576-9A99-E797069AB62A}"/>
    <cellStyle name="20% - Accent1 3 2 4 2 3" xfId="13004" xr:uid="{4F1D7843-DC55-4383-82D0-792540784808}"/>
    <cellStyle name="20% - Accent1 3 2 4 2 4" xfId="22303" xr:uid="{B44C159F-5C6B-4D05-939E-B54617725A42}"/>
    <cellStyle name="20% - Accent1 3 2 4 3" xfId="5750" xr:uid="{00000000-0005-0000-0000-00005F000000}"/>
    <cellStyle name="20% - Accent1 3 2 4 3 2" xfId="15076" xr:uid="{19A9BAAC-0CBE-4DE0-9513-55E8B33C0D59}"/>
    <cellStyle name="20% - Accent1 3 2 4 3 3" xfId="24375" xr:uid="{0E77A2FC-E08C-483E-B273-6E766E40402E}"/>
    <cellStyle name="20% - Accent1 3 2 4 4" xfId="10859" xr:uid="{CF182761-1D5E-41C3-B65D-774090E89920}"/>
    <cellStyle name="20% - Accent1 3 2 4 5" xfId="20158" xr:uid="{E8A1E5A2-2747-48F2-98D1-A8F148A7414E}"/>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68A7976F-61EF-49D3-AFF9-12348A4281CD}"/>
    <cellStyle name="20% - Accent1 3 2 5 2 2 3" xfId="26933" xr:uid="{17ED0E8F-4C6E-4006-91D1-A4E4AB1517A0}"/>
    <cellStyle name="20% - Accent1 3 2 5 2 3" xfId="13417" xr:uid="{FD97FB5C-4BA7-45F2-A130-ABB1554888C8}"/>
    <cellStyle name="20% - Accent1 3 2 5 2 4" xfId="22716" xr:uid="{811BAF3A-9E4F-4FBA-BBCD-06C5216DC14E}"/>
    <cellStyle name="20% - Accent1 3 2 5 3" xfId="6163" xr:uid="{00000000-0005-0000-0000-000063000000}"/>
    <cellStyle name="20% - Accent1 3 2 5 3 2" xfId="15489" xr:uid="{B3674DD9-F9C6-44BC-BFCE-C010D95E8A89}"/>
    <cellStyle name="20% - Accent1 3 2 5 3 3" xfId="24788" xr:uid="{F32DAA49-97F7-42CD-8443-907D3FE45690}"/>
    <cellStyle name="20% - Accent1 3 2 5 4" xfId="11272" xr:uid="{37F19F9F-9ADE-4388-AC59-FD6B042FE8ED}"/>
    <cellStyle name="20% - Accent1 3 2 5 5" xfId="20571" xr:uid="{9B92C803-DFFB-401E-ADCF-96261AB8428B}"/>
    <cellStyle name="20% - Accent1 3 2 6" xfId="2270" xr:uid="{00000000-0005-0000-0000-000064000000}"/>
    <cellStyle name="20% - Accent1 3 2 6 2" xfId="6576" xr:uid="{00000000-0005-0000-0000-000065000000}"/>
    <cellStyle name="20% - Accent1 3 2 6 2 2" xfId="15902" xr:uid="{58AAF597-AF20-4763-9982-E4CB172E49BF}"/>
    <cellStyle name="20% - Accent1 3 2 6 2 3" xfId="25201" xr:uid="{67393604-60F0-41DF-BF01-3E674E06BF7D}"/>
    <cellStyle name="20% - Accent1 3 2 6 3" xfId="11685" xr:uid="{614D94DC-7B64-46ED-908E-F983248D970C}"/>
    <cellStyle name="20% - Accent1 3 2 6 4" xfId="20984" xr:uid="{C9BC6B7C-4675-4AD9-8662-F6676DBB09AD}"/>
    <cellStyle name="20% - Accent1 3 2 7" xfId="4510" xr:uid="{00000000-0005-0000-0000-000066000000}"/>
    <cellStyle name="20% - Accent1 3 2 7 2" xfId="13836" xr:uid="{87E52055-84CC-4427-AA0C-29B965BC808E}"/>
    <cellStyle name="20% - Accent1 3 2 7 3" xfId="23135" xr:uid="{34BAE689-A3F1-4265-AEC2-42A122DA59A6}"/>
    <cellStyle name="20% - Accent1 3 2 8" xfId="9068" xr:uid="{354460C9-AD38-4FCD-882B-4DFB81DE5890}"/>
    <cellStyle name="20% - Accent1 3 2 8 2" xfId="18392" xr:uid="{2B106FCE-88E4-45E9-AC61-D0341BFE32A8}"/>
    <cellStyle name="20% - Accent1 3 2 8 3" xfId="27690" xr:uid="{36C28B84-7A0B-4A6A-B65E-7276F7470D78}"/>
    <cellStyle name="20% - Accent1 3 2 9" xfId="9619" xr:uid="{084CCAF4-B528-47B2-925F-54E5679077BE}"/>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CBE93AB3-0451-44A9-A7B5-8ABD11FDF967}"/>
    <cellStyle name="20% - Accent1 3 3 2 2 3" xfId="25693" xr:uid="{E82AB1B8-34D6-4D0C-B95C-996B8479D5E1}"/>
    <cellStyle name="20% - Accent1 3 3 2 3" xfId="12177" xr:uid="{EEC893DC-9CA7-44E6-AEFA-09C2822A10C4}"/>
    <cellStyle name="20% - Accent1 3 3 2 4" xfId="21476" xr:uid="{CF43226D-E9BE-46BD-A351-0B95D661EA9B}"/>
    <cellStyle name="20% - Accent1 3 3 3" xfId="4923" xr:uid="{00000000-0005-0000-0000-00006A000000}"/>
    <cellStyle name="20% - Accent1 3 3 3 2" xfId="14249" xr:uid="{90583175-3745-427D-8D5C-87C7DA12D24E}"/>
    <cellStyle name="20% - Accent1 3 3 3 3" xfId="23548" xr:uid="{73D12B6A-002F-403E-8C4D-3ABDDEBF106C}"/>
    <cellStyle name="20% - Accent1 3 3 4" xfId="9286" xr:uid="{B5220C4B-EBE7-4AD0-9A24-7F16FA378184}"/>
    <cellStyle name="20% - Accent1 3 3 4 2" xfId="18601" xr:uid="{40025F3F-19C5-4BCE-85A3-63AC57C6A411}"/>
    <cellStyle name="20% - Accent1 3 3 4 3" xfId="27898" xr:uid="{33F2727A-1492-4A63-A884-4282D826FB72}"/>
    <cellStyle name="20% - Accent1 3 3 5" xfId="10032" xr:uid="{2967CAD6-278E-473D-AC9A-F56A00F10A9B}"/>
    <cellStyle name="20% - Accent1 3 3 6" xfId="19331" xr:uid="{ADDAF70F-6826-4C01-AF9B-FBCFA84BCC57}"/>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E35FE1A7-A7F6-4DB8-BF83-0DDBD27AAF4B}"/>
    <cellStyle name="20% - Accent1 3 4 2 2 3" xfId="26106" xr:uid="{2E8DDA6A-127E-4409-B34C-F2E0BA938577}"/>
    <cellStyle name="20% - Accent1 3 4 2 3" xfId="12590" xr:uid="{1C549382-F2B6-4AAA-B149-E6C438A39494}"/>
    <cellStyle name="20% - Accent1 3 4 2 4" xfId="21889" xr:uid="{0122D334-F579-4D52-B957-C58542D77B79}"/>
    <cellStyle name="20% - Accent1 3 4 3" xfId="5336" xr:uid="{00000000-0005-0000-0000-00006E000000}"/>
    <cellStyle name="20% - Accent1 3 4 3 2" xfId="14662" xr:uid="{1BC9B4E8-96D7-4E84-BA13-589F59E0167A}"/>
    <cellStyle name="20% - Accent1 3 4 3 3" xfId="23961" xr:uid="{C8A222C2-3C29-4753-899E-A9BCDD8012E8}"/>
    <cellStyle name="20% - Accent1 3 4 4" xfId="10445" xr:uid="{3F4B4788-ED2C-466A-BAB9-741CDFFF51C6}"/>
    <cellStyle name="20% - Accent1 3 4 5" xfId="19744" xr:uid="{51A283CE-BA0A-4A04-8797-48A9A4B4EB11}"/>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CB2D1760-829A-40F7-9517-45DCDB83DC25}"/>
    <cellStyle name="20% - Accent1 3 5 2 2 3" xfId="26519" xr:uid="{5ACD618B-4736-4950-A547-EE6DBDCD84BD}"/>
    <cellStyle name="20% - Accent1 3 5 2 3" xfId="13003" xr:uid="{5706946A-9A8F-47D1-A98F-5E1EDD50F1C8}"/>
    <cellStyle name="20% - Accent1 3 5 2 4" xfId="22302" xr:uid="{AE1A7ED0-094C-4EED-AAC2-04C9DAD8C3AF}"/>
    <cellStyle name="20% - Accent1 3 5 3" xfId="5749" xr:uid="{00000000-0005-0000-0000-000072000000}"/>
    <cellStyle name="20% - Accent1 3 5 3 2" xfId="15075" xr:uid="{B24388B1-FF1E-4836-910C-1935B556D817}"/>
    <cellStyle name="20% - Accent1 3 5 3 3" xfId="24374" xr:uid="{B5517DFC-5F03-42C0-BCBB-D0F67AE6ADC8}"/>
    <cellStyle name="20% - Accent1 3 5 4" xfId="10858" xr:uid="{D76657E7-B85E-4377-8D2E-EE23710F0530}"/>
    <cellStyle name="20% - Accent1 3 5 5" xfId="20157" xr:uid="{202D37C8-924A-48B7-B136-0691D0A1E9BB}"/>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0D19AFAA-CA42-44DA-8FBC-AFE594EACFE7}"/>
    <cellStyle name="20% - Accent1 3 6 2 2 3" xfId="26932" xr:uid="{569266D6-73A7-493C-B88E-D3143488B027}"/>
    <cellStyle name="20% - Accent1 3 6 2 3" xfId="13416" xr:uid="{F53071E2-12BF-4608-BBDB-0F08E292CF3F}"/>
    <cellStyle name="20% - Accent1 3 6 2 4" xfId="22715" xr:uid="{82CE4251-5D5E-47F4-A5D1-678AB0119A79}"/>
    <cellStyle name="20% - Accent1 3 6 3" xfId="6162" xr:uid="{00000000-0005-0000-0000-000076000000}"/>
    <cellStyle name="20% - Accent1 3 6 3 2" xfId="15488" xr:uid="{9EBF2620-6D07-45CF-871B-2DE7A8843203}"/>
    <cellStyle name="20% - Accent1 3 6 3 3" xfId="24787" xr:uid="{A7716E8A-D124-430A-8D76-B135E1D266B9}"/>
    <cellStyle name="20% - Accent1 3 6 4" xfId="11271" xr:uid="{6AD68FCD-215A-498F-A093-C8BA816D5F50}"/>
    <cellStyle name="20% - Accent1 3 6 5" xfId="20570" xr:uid="{FF19FC64-F986-4C13-86E9-D840C85213FC}"/>
    <cellStyle name="20% - Accent1 3 7" xfId="2269" xr:uid="{00000000-0005-0000-0000-000077000000}"/>
    <cellStyle name="20% - Accent1 3 7 2" xfId="6575" xr:uid="{00000000-0005-0000-0000-000078000000}"/>
    <cellStyle name="20% - Accent1 3 7 2 2" xfId="15901" xr:uid="{FF4C4001-5C6D-4BB6-95F6-94A01316CACE}"/>
    <cellStyle name="20% - Accent1 3 7 2 3" xfId="25200" xr:uid="{FB0E56A2-7FA2-4DD5-B7EE-72E603A378F2}"/>
    <cellStyle name="20% - Accent1 3 7 3" xfId="11684" xr:uid="{72C84C2F-BD36-4061-BD6B-73ADF366A211}"/>
    <cellStyle name="20% - Accent1 3 7 4" xfId="20983" xr:uid="{0E50B681-D833-4D1E-B5B9-3B8183C9679A}"/>
    <cellStyle name="20% - Accent1 3 8" xfId="4509" xr:uid="{00000000-0005-0000-0000-000079000000}"/>
    <cellStyle name="20% - Accent1 3 8 2" xfId="13835" xr:uid="{BCB1E8E5-8090-4D90-BA5C-00B9459A43D9}"/>
    <cellStyle name="20% - Accent1 3 8 3" xfId="23134" xr:uid="{19FB3772-6952-4342-851C-17AADC4C1F0B}"/>
    <cellStyle name="20% - Accent1 3 9" xfId="8861" xr:uid="{C1B75176-75E3-4E31-86A7-851E7FD67A9E}"/>
    <cellStyle name="20% - Accent1 3 9 2" xfId="18185" xr:uid="{646D17FC-EF1D-4C29-BF76-D1D083B56F19}"/>
    <cellStyle name="20% - Accent1 3 9 3" xfId="27483" xr:uid="{233838A0-5696-4A49-908E-7EF1835793F1}"/>
    <cellStyle name="20% - Accent1 4" xfId="8" xr:uid="{00000000-0005-0000-0000-00007A000000}"/>
    <cellStyle name="20% - Accent1 4 10" xfId="18919" xr:uid="{FC3A502C-05FA-480E-97E2-CEFC61DC0B51}"/>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663B6B0F-0BF8-4B4F-BD18-CDE1F97BD7DB}"/>
    <cellStyle name="20% - Accent1 4 2 2 2 3" xfId="25695" xr:uid="{0600E8C6-79FC-4D45-8F53-626DC982291D}"/>
    <cellStyle name="20% - Accent1 4 2 2 3" xfId="12179" xr:uid="{AB6E9ECE-8E2B-4551-A696-2D17102422FD}"/>
    <cellStyle name="20% - Accent1 4 2 2 4" xfId="21478" xr:uid="{8DB10183-A3C6-4139-ABB9-3E53333226CC}"/>
    <cellStyle name="20% - Accent1 4 2 3" xfId="4925" xr:uid="{00000000-0005-0000-0000-00007E000000}"/>
    <cellStyle name="20% - Accent1 4 2 3 2" xfId="14251" xr:uid="{C2CE9102-3B53-4A62-AEA2-EA7ACDE72242}"/>
    <cellStyle name="20% - Accent1 4 2 3 3" xfId="23550" xr:uid="{98639F7F-02F5-4286-BCB8-887CC244B259}"/>
    <cellStyle name="20% - Accent1 4 2 4" xfId="9372" xr:uid="{E6B08341-6F7D-4580-9BCF-4BFC252FAE31}"/>
    <cellStyle name="20% - Accent1 4 2 4 2" xfId="18687" xr:uid="{D57A9757-B0A3-4B98-952D-4EEFEC113D23}"/>
    <cellStyle name="20% - Accent1 4 2 4 3" xfId="27984" xr:uid="{DE240C30-69B6-486F-9274-C0B7D0FAD151}"/>
    <cellStyle name="20% - Accent1 4 2 5" xfId="10034" xr:uid="{DEA60098-7E84-4E3A-A91F-F383F8CD111F}"/>
    <cellStyle name="20% - Accent1 4 2 6" xfId="19333" xr:uid="{0DA8FFEC-57DA-4307-9936-E2C17FBFBE73}"/>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29F646FA-DF41-42EC-9CA4-6E1377E6D596}"/>
    <cellStyle name="20% - Accent1 4 3 2 2 3" xfId="26108" xr:uid="{247F554A-DFA1-44D3-A6EC-01D531B7171B}"/>
    <cellStyle name="20% - Accent1 4 3 2 3" xfId="12592" xr:uid="{67B320EB-5E91-4295-92DC-CF17A0F1F802}"/>
    <cellStyle name="20% - Accent1 4 3 2 4" xfId="21891" xr:uid="{8B89328F-5C25-43F3-A915-AA5BC1B86807}"/>
    <cellStyle name="20% - Accent1 4 3 3" xfId="5338" xr:uid="{00000000-0005-0000-0000-000082000000}"/>
    <cellStyle name="20% - Accent1 4 3 3 2" xfId="14664" xr:uid="{ACBE50A0-705C-4CBB-9634-17865C685CDF}"/>
    <cellStyle name="20% - Accent1 4 3 3 3" xfId="23963" xr:uid="{36DC5F6D-10CA-4735-B5AB-018BA40227C3}"/>
    <cellStyle name="20% - Accent1 4 3 4" xfId="10447" xr:uid="{69BBB494-DF6B-4D6F-BB89-AABB8D70C7BF}"/>
    <cellStyle name="20% - Accent1 4 3 5" xfId="19746" xr:uid="{67D6FF7E-4C75-4C8C-9799-7EB9A6F9A181}"/>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B5E8C14D-7560-4C23-80DF-C773BE0D27AF}"/>
    <cellStyle name="20% - Accent1 4 4 2 2 3" xfId="26521" xr:uid="{6EEF508E-FFC8-448B-9F8D-1748D172B83C}"/>
    <cellStyle name="20% - Accent1 4 4 2 3" xfId="13005" xr:uid="{9CFBC3D6-36C7-47F6-94AE-C285BF010A11}"/>
    <cellStyle name="20% - Accent1 4 4 2 4" xfId="22304" xr:uid="{CADC56EC-B12B-4486-8BAB-4DDCB0EA8C3E}"/>
    <cellStyle name="20% - Accent1 4 4 3" xfId="5751" xr:uid="{00000000-0005-0000-0000-000086000000}"/>
    <cellStyle name="20% - Accent1 4 4 3 2" xfId="15077" xr:uid="{47D3E03C-5AC4-4DF8-8724-66BAD362CF18}"/>
    <cellStyle name="20% - Accent1 4 4 3 3" xfId="24376" xr:uid="{3CD2ACDB-1D19-4296-AA56-64878CFB3E25}"/>
    <cellStyle name="20% - Accent1 4 4 4" xfId="10860" xr:uid="{2BD664F3-1B39-4295-8E08-1936A32EC70B}"/>
    <cellStyle name="20% - Accent1 4 4 5" xfId="20159" xr:uid="{85EC6016-11E1-406B-89C4-B2014D5B7250}"/>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6CD22592-3FB7-4BF5-8786-CADA5430CE9D}"/>
    <cellStyle name="20% - Accent1 4 5 2 2 3" xfId="26934" xr:uid="{F6C7EA41-D00E-4E01-AE0B-6A400CA05E90}"/>
    <cellStyle name="20% - Accent1 4 5 2 3" xfId="13418" xr:uid="{1975EF29-ACF3-4715-B0B3-9E039DBE9A77}"/>
    <cellStyle name="20% - Accent1 4 5 2 4" xfId="22717" xr:uid="{CC18EDA6-4186-4F50-A0B2-6A7AA6BD23FE}"/>
    <cellStyle name="20% - Accent1 4 5 3" xfId="6164" xr:uid="{00000000-0005-0000-0000-00008A000000}"/>
    <cellStyle name="20% - Accent1 4 5 3 2" xfId="15490" xr:uid="{00FD848A-CF1C-44E8-AF70-9AF62BD562A4}"/>
    <cellStyle name="20% - Accent1 4 5 3 3" xfId="24789" xr:uid="{D980F2B9-5661-4B6A-9197-754FDC385DA4}"/>
    <cellStyle name="20% - Accent1 4 5 4" xfId="11273" xr:uid="{7F979197-9F47-448F-B4D1-E7027DF5627F}"/>
    <cellStyle name="20% - Accent1 4 5 5" xfId="20572" xr:uid="{EAE46597-39ED-43A9-AA25-6A53F46649D9}"/>
    <cellStyle name="20% - Accent1 4 6" xfId="2271" xr:uid="{00000000-0005-0000-0000-00008B000000}"/>
    <cellStyle name="20% - Accent1 4 6 2" xfId="6577" xr:uid="{00000000-0005-0000-0000-00008C000000}"/>
    <cellStyle name="20% - Accent1 4 6 2 2" xfId="15903" xr:uid="{BA355E24-5C41-439F-A4F5-A483C87B90BF}"/>
    <cellStyle name="20% - Accent1 4 6 2 3" xfId="25202" xr:uid="{9DFA3F69-8D19-41B9-8D2D-EA162BE8AD27}"/>
    <cellStyle name="20% - Accent1 4 6 3" xfId="11686" xr:uid="{BFD43CA9-065D-45D5-BB14-5A22BE079625}"/>
    <cellStyle name="20% - Accent1 4 6 4" xfId="20985" xr:uid="{93CD12D8-9C89-4FB0-AE41-2D3F977056D7}"/>
    <cellStyle name="20% - Accent1 4 7" xfId="4511" xr:uid="{00000000-0005-0000-0000-00008D000000}"/>
    <cellStyle name="20% - Accent1 4 7 2" xfId="13837" xr:uid="{36CFE101-E969-41E5-A1D9-3E771D822EC6}"/>
    <cellStyle name="20% - Accent1 4 7 3" xfId="23136" xr:uid="{F6DFA396-AB3E-4783-8623-B364885B856B}"/>
    <cellStyle name="20% - Accent1 4 8" xfId="8947" xr:uid="{1FCDBFE2-CC86-42DD-AD9B-D3EAF476002E}"/>
    <cellStyle name="20% - Accent1 4 8 2" xfId="18271" xr:uid="{C5F04509-9FDD-4894-AD35-E14B10ECCBCD}"/>
    <cellStyle name="20% - Accent1 4 8 3" xfId="27569" xr:uid="{30F77152-59CA-4B79-9567-46A524706172}"/>
    <cellStyle name="20% - Accent1 4 9" xfId="9620" xr:uid="{AE876D92-7A40-4D25-A93D-BE99331F32A2}"/>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C33274CD-BE03-4C24-BFF1-C875647A2CD3}"/>
    <cellStyle name="20% - Accent1 5 2 2 3" xfId="25688" xr:uid="{EECD8118-7E62-40B9-A8A3-84A5E80DE361}"/>
    <cellStyle name="20% - Accent1 5 2 3" xfId="12172" xr:uid="{7B7C581F-E445-4D75-8621-4AA6526E4906}"/>
    <cellStyle name="20% - Accent1 5 2 4" xfId="21471" xr:uid="{3FE7C915-4EE8-4DE3-9F87-0A2136251589}"/>
    <cellStyle name="20% - Accent1 5 3" xfId="4918" xr:uid="{00000000-0005-0000-0000-000091000000}"/>
    <cellStyle name="20% - Accent1 5 3 2" xfId="14244" xr:uid="{A0998D35-55AA-4065-AACC-703CC22CA368}"/>
    <cellStyle name="20% - Accent1 5 3 3" xfId="23543" xr:uid="{9115D212-ADC2-4197-B609-F3F8CCE4AC16}"/>
    <cellStyle name="20% - Accent1 5 4" xfId="9180" xr:uid="{D0AEF57E-25E3-47C5-B910-DC1A0019F498}"/>
    <cellStyle name="20% - Accent1 5 4 2" xfId="18498" xr:uid="{04E2CB4A-BD8F-4DA9-8716-D4BE4F56322A}"/>
    <cellStyle name="20% - Accent1 5 4 3" xfId="27795" xr:uid="{29131964-8049-4360-AAC6-7E6370E09801}"/>
    <cellStyle name="20% - Accent1 5 5" xfId="10027" xr:uid="{B8CC127D-C474-47B1-BF03-AC7F9C0B22B0}"/>
    <cellStyle name="20% - Accent1 5 6" xfId="19326" xr:uid="{3AB68C89-B1F3-4284-ADA7-8BF455A092AA}"/>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F46F03FA-4C6A-4639-89F5-6F1E28CE2FD5}"/>
    <cellStyle name="20% - Accent1 6 2 2 3" xfId="26101" xr:uid="{9681C474-5909-4A1E-87A1-3F5C108E8528}"/>
    <cellStyle name="20% - Accent1 6 2 3" xfId="12585" xr:uid="{F0D5A819-757D-4D98-AF12-17335A3CCEDF}"/>
    <cellStyle name="20% - Accent1 6 2 4" xfId="21884" xr:uid="{5BA83CA3-8944-4F57-8356-3D11793786F5}"/>
    <cellStyle name="20% - Accent1 6 3" xfId="5331" xr:uid="{00000000-0005-0000-0000-000095000000}"/>
    <cellStyle name="20% - Accent1 6 3 2" xfId="14657" xr:uid="{668707F0-7F56-40A4-AB3A-A4BAEE409022}"/>
    <cellStyle name="20% - Accent1 6 3 3" xfId="23956" xr:uid="{6DFDE490-2FDF-4BF8-8E61-ED11F9E19D68}"/>
    <cellStyle name="20% - Accent1 6 4" xfId="10440" xr:uid="{7F9CBAD6-E06A-48F7-956C-242C8FB92F7D}"/>
    <cellStyle name="20% - Accent1 6 5" xfId="19739" xr:uid="{65CDE349-867A-4E3F-9922-48D73232D94D}"/>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EA5577FF-83B7-41D5-B050-CFB67D9C54E9}"/>
    <cellStyle name="20% - Accent1 7 2 2 3" xfId="26514" xr:uid="{F69DA8B3-A396-413A-B271-3CFE9249436C}"/>
    <cellStyle name="20% - Accent1 7 2 3" xfId="12998" xr:uid="{5C7DBF34-5E1A-4F00-B201-3D1405065876}"/>
    <cellStyle name="20% - Accent1 7 2 4" xfId="22297" xr:uid="{146BB0DA-3508-40DE-8B93-C79A7410156F}"/>
    <cellStyle name="20% - Accent1 7 3" xfId="5744" xr:uid="{00000000-0005-0000-0000-000099000000}"/>
    <cellStyle name="20% - Accent1 7 3 2" xfId="15070" xr:uid="{56DD3FED-4110-454B-AED9-BCF79BAFEEBA}"/>
    <cellStyle name="20% - Accent1 7 3 3" xfId="24369" xr:uid="{ED883B57-E026-46EC-9CC3-0B9B107E83E5}"/>
    <cellStyle name="20% - Accent1 7 4" xfId="10853" xr:uid="{91A42B08-CF42-400E-8863-02DFB1267B87}"/>
    <cellStyle name="20% - Accent1 7 5" xfId="20152" xr:uid="{C1850175-F40E-4C6A-8FE9-7C2D952CDB51}"/>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265C38E7-5DFE-4266-B4E6-F58B1F7A99B0}"/>
    <cellStyle name="20% - Accent1 8 2 2 3" xfId="26927" xr:uid="{407C4B3A-34D2-43FB-99FB-B3907840AF22}"/>
    <cellStyle name="20% - Accent1 8 2 3" xfId="13411" xr:uid="{FC595917-AA16-436F-A6DF-9D38A9E81B00}"/>
    <cellStyle name="20% - Accent1 8 2 4" xfId="22710" xr:uid="{DC7011D9-D601-44F1-89F6-D2876F4BBB51}"/>
    <cellStyle name="20% - Accent1 8 3" xfId="6157" xr:uid="{00000000-0005-0000-0000-00009D000000}"/>
    <cellStyle name="20% - Accent1 8 3 2" xfId="15483" xr:uid="{2F8E59A5-CED0-49F9-AC39-1E1F69BEB7DB}"/>
    <cellStyle name="20% - Accent1 8 3 3" xfId="24782" xr:uid="{762BDD3A-5433-444A-A388-E77A84242BD4}"/>
    <cellStyle name="20% - Accent1 8 4" xfId="11266" xr:uid="{259458D1-F905-4E56-A7E4-3537571FFD6C}"/>
    <cellStyle name="20% - Accent1 8 5" xfId="20565" xr:uid="{67431EE2-8BB6-438B-9BFC-A507ABFDF89A}"/>
    <cellStyle name="20% - Accent1 9" xfId="2264" xr:uid="{00000000-0005-0000-0000-00009E000000}"/>
    <cellStyle name="20% - Accent1 9 2" xfId="6570" xr:uid="{00000000-0005-0000-0000-00009F000000}"/>
    <cellStyle name="20% - Accent1 9 2 2" xfId="15896" xr:uid="{3D39DB5D-9F91-4EBA-A847-CE909F5D04D5}"/>
    <cellStyle name="20% - Accent1 9 2 3" xfId="25195" xr:uid="{5E87CBB7-C55B-427D-BA09-B9E58A7347A2}"/>
    <cellStyle name="20% - Accent1 9 3" xfId="11679" xr:uid="{71A063F4-95DB-492B-B490-B01D51032209}"/>
    <cellStyle name="20% - Accent1 9 4" xfId="20978" xr:uid="{ECCFC895-F12A-4EE2-8E7B-BDE870A9D6A9}"/>
    <cellStyle name="20% - Accent2" xfId="9" builtinId="34" customBuiltin="1"/>
    <cellStyle name="20% - Accent2 10" xfId="4512" xr:uid="{00000000-0005-0000-0000-0000A1000000}"/>
    <cellStyle name="20% - Accent2 10 2" xfId="13838" xr:uid="{42346A5E-B0CB-4964-88F7-78AAF8E1F741}"/>
    <cellStyle name="20% - Accent2 10 3" xfId="23137" xr:uid="{5517CD71-DB0D-45B7-95A5-2EED378F5D24}"/>
    <cellStyle name="20% - Accent2 11" xfId="8760" xr:uid="{2F9D8AF1-C115-467C-ADFB-3BF13039D076}"/>
    <cellStyle name="20% - Accent2 11 2" xfId="18084" xr:uid="{1AFDB546-2597-49AD-AEE0-14BC83D905D7}"/>
    <cellStyle name="20% - Accent2 11 3" xfId="27382" xr:uid="{A5668A18-1489-44BE-835E-CACBD312355F}"/>
    <cellStyle name="20% - Accent2 12" xfId="9621" xr:uid="{4F7E6150-76E0-48AA-8A08-C3A2ED8B3622}"/>
    <cellStyle name="20% - Accent2 13" xfId="18920" xr:uid="{7975991F-6934-4697-B4A8-1C6C956EEEE8}"/>
    <cellStyle name="20% - Accent2 2" xfId="10" xr:uid="{00000000-0005-0000-0000-0000A2000000}"/>
    <cellStyle name="20% - Accent2 2 10" xfId="8793" xr:uid="{AA7C3473-3A75-4F75-9E25-D7658C57F3A0}"/>
    <cellStyle name="20% - Accent2 2 10 2" xfId="18117" xr:uid="{002797F7-960C-45DD-921E-5949D90162C2}"/>
    <cellStyle name="20% - Accent2 2 10 3" xfId="27415" xr:uid="{8385BF41-8254-4275-97DC-9A0408EEC30B}"/>
    <cellStyle name="20% - Accent2 2 11" xfId="9622" xr:uid="{32609F69-A8ED-4FA5-8EEF-6CDFA3CD92F6}"/>
    <cellStyle name="20% - Accent2 2 12" xfId="18921" xr:uid="{F5D74674-9360-4F2C-87A8-F65D3B87E4AD}"/>
    <cellStyle name="20% - Accent2 2 2" xfId="11" xr:uid="{00000000-0005-0000-0000-0000A3000000}"/>
    <cellStyle name="20% - Accent2 2 2 10" xfId="9623" xr:uid="{1DF6A6CA-98F5-4AA3-99C6-56841054B513}"/>
    <cellStyle name="20% - Accent2 2 2 11" xfId="18922" xr:uid="{6CF4AFBD-0F98-47E5-A226-0626315D06B4}"/>
    <cellStyle name="20% - Accent2 2 2 2" xfId="12" xr:uid="{00000000-0005-0000-0000-0000A4000000}"/>
    <cellStyle name="20% - Accent2 2 2 2 10" xfId="18923" xr:uid="{91D5F97A-C321-4471-AE24-2DD126D36BD3}"/>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C346C376-8C59-439C-A06A-3102F0B406D8}"/>
    <cellStyle name="20% - Accent2 2 2 2 2 2 2 3" xfId="25699" xr:uid="{E53398A6-570D-44DF-9589-469178E4295B}"/>
    <cellStyle name="20% - Accent2 2 2 2 2 2 3" xfId="12183" xr:uid="{11E6C864-DAFB-4DC8-9F79-3B061553F38B}"/>
    <cellStyle name="20% - Accent2 2 2 2 2 2 4" xfId="21482" xr:uid="{798EFC22-1C82-4619-B81B-90FACE514938}"/>
    <cellStyle name="20% - Accent2 2 2 2 2 3" xfId="4929" xr:uid="{00000000-0005-0000-0000-0000A8000000}"/>
    <cellStyle name="20% - Accent2 2 2 2 2 3 2" xfId="14255" xr:uid="{67AA469C-6963-4EE3-BC27-BEB9F44EC57A}"/>
    <cellStyle name="20% - Accent2 2 2 2 2 3 3" xfId="23554" xr:uid="{2BB9EF56-D769-4030-BA72-E959591B9E13}"/>
    <cellStyle name="20% - Accent2 2 2 2 2 4" xfId="9528" xr:uid="{C8BEA541-FD8B-4449-95AA-43E1904F35BB}"/>
    <cellStyle name="20% - Accent2 2 2 2 2 4 2" xfId="18843" xr:uid="{AC9C979E-7580-4F13-B10C-01630ECD2B79}"/>
    <cellStyle name="20% - Accent2 2 2 2 2 4 3" xfId="28140" xr:uid="{6AF81DE6-2155-40E1-8681-48C3647B46F4}"/>
    <cellStyle name="20% - Accent2 2 2 2 2 5" xfId="10038" xr:uid="{E1EE5F8A-7827-4E49-B054-1B3BB3B5491A}"/>
    <cellStyle name="20% - Accent2 2 2 2 2 6" xfId="19337" xr:uid="{C3976081-6442-4CAB-BDC5-168B0C99B518}"/>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9569F808-6827-4A7C-AE16-F382E5ECDDE6}"/>
    <cellStyle name="20% - Accent2 2 2 2 3 2 2 3" xfId="26112" xr:uid="{E17F1F5F-3454-4FA8-AAEE-CCE1204B81FE}"/>
    <cellStyle name="20% - Accent2 2 2 2 3 2 3" xfId="12596" xr:uid="{FE873289-6DE8-4775-8C15-449B2B4D825B}"/>
    <cellStyle name="20% - Accent2 2 2 2 3 2 4" xfId="21895" xr:uid="{FFF07AD0-93CF-4613-8CC1-A576E0D9808A}"/>
    <cellStyle name="20% - Accent2 2 2 2 3 3" xfId="5342" xr:uid="{00000000-0005-0000-0000-0000AC000000}"/>
    <cellStyle name="20% - Accent2 2 2 2 3 3 2" xfId="14668" xr:uid="{01863C42-BBDF-41B4-BDA3-23862A216F2A}"/>
    <cellStyle name="20% - Accent2 2 2 2 3 3 3" xfId="23967" xr:uid="{38566055-955D-4006-8240-15E63D791658}"/>
    <cellStyle name="20% - Accent2 2 2 2 3 4" xfId="10451" xr:uid="{D5DDEB9D-C123-4D5F-B8B5-8DBCE7496B64}"/>
    <cellStyle name="20% - Accent2 2 2 2 3 5" xfId="19750" xr:uid="{1EC38CF7-36B7-4EDE-8267-BB8F6B4765E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C0EA6206-A5F2-4E01-AAD8-F15AB1554EE8}"/>
    <cellStyle name="20% - Accent2 2 2 2 4 2 2 3" xfId="26525" xr:uid="{9C29726F-7C5B-4CA6-8BF9-2E2E33BE6B69}"/>
    <cellStyle name="20% - Accent2 2 2 2 4 2 3" xfId="13009" xr:uid="{7A0B0216-1A29-4FAE-ADD4-0F371EE39641}"/>
    <cellStyle name="20% - Accent2 2 2 2 4 2 4" xfId="22308" xr:uid="{FC44102E-3896-4B6E-875A-762CAB42C84D}"/>
    <cellStyle name="20% - Accent2 2 2 2 4 3" xfId="5755" xr:uid="{00000000-0005-0000-0000-0000B0000000}"/>
    <cellStyle name="20% - Accent2 2 2 2 4 3 2" xfId="15081" xr:uid="{CFAB82D3-F5B9-489E-B52E-8F212A3E779E}"/>
    <cellStyle name="20% - Accent2 2 2 2 4 3 3" xfId="24380" xr:uid="{B732398C-603F-46C9-8150-7F438A76F03D}"/>
    <cellStyle name="20% - Accent2 2 2 2 4 4" xfId="10864" xr:uid="{28EE0151-3B85-45E2-BDBC-B54F4DD8EEF4}"/>
    <cellStyle name="20% - Accent2 2 2 2 4 5" xfId="20163" xr:uid="{98469579-2332-411F-BE10-269EF2FA62DE}"/>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0A1DF3C4-3343-417F-AE74-30DD561825E6}"/>
    <cellStyle name="20% - Accent2 2 2 2 5 2 2 3" xfId="26938" xr:uid="{DE547DB8-B169-4FDE-9A05-659DB955B453}"/>
    <cellStyle name="20% - Accent2 2 2 2 5 2 3" xfId="13422" xr:uid="{F58F27B8-B0DE-47A0-963C-B244046B8CB1}"/>
    <cellStyle name="20% - Accent2 2 2 2 5 2 4" xfId="22721" xr:uid="{7D3B0614-DC82-45E9-8C5E-47DEA98BB4C8}"/>
    <cellStyle name="20% - Accent2 2 2 2 5 3" xfId="6168" xr:uid="{00000000-0005-0000-0000-0000B4000000}"/>
    <cellStyle name="20% - Accent2 2 2 2 5 3 2" xfId="15494" xr:uid="{94E86B08-8DDA-45B6-B50C-20EFC8ACBD4E}"/>
    <cellStyle name="20% - Accent2 2 2 2 5 3 3" xfId="24793" xr:uid="{EEB846E8-8FCA-4F49-929C-5B34332538D6}"/>
    <cellStyle name="20% - Accent2 2 2 2 5 4" xfId="11277" xr:uid="{A8C60F4D-083B-4506-B6C8-CA1586EB16B7}"/>
    <cellStyle name="20% - Accent2 2 2 2 5 5" xfId="20576" xr:uid="{FD6E0CC0-BD41-4573-99BD-1D9A543002F4}"/>
    <cellStyle name="20% - Accent2 2 2 2 6" xfId="2275" xr:uid="{00000000-0005-0000-0000-0000B5000000}"/>
    <cellStyle name="20% - Accent2 2 2 2 6 2" xfId="6581" xr:uid="{00000000-0005-0000-0000-0000B6000000}"/>
    <cellStyle name="20% - Accent2 2 2 2 6 2 2" xfId="15907" xr:uid="{2A8E5AEC-11A4-49E2-9614-86CE00D40F01}"/>
    <cellStyle name="20% - Accent2 2 2 2 6 2 3" xfId="25206" xr:uid="{9D2AC43C-1F71-4767-B91F-EE89EAC74836}"/>
    <cellStyle name="20% - Accent2 2 2 2 6 3" xfId="11690" xr:uid="{8EF4DE21-2B5F-4632-B82F-00C797AB97D9}"/>
    <cellStyle name="20% - Accent2 2 2 2 6 4" xfId="20989" xr:uid="{09C3A961-8655-4A9A-B2A3-6294F627273A}"/>
    <cellStyle name="20% - Accent2 2 2 2 7" xfId="4515" xr:uid="{00000000-0005-0000-0000-0000B7000000}"/>
    <cellStyle name="20% - Accent2 2 2 2 7 2" xfId="13841" xr:uid="{598FE18D-6102-4BF4-9519-1DB2C5C8803F}"/>
    <cellStyle name="20% - Accent2 2 2 2 7 3" xfId="23140" xr:uid="{05D34E17-FE65-4618-A901-C9922EC6CAAF}"/>
    <cellStyle name="20% - Accent2 2 2 2 8" xfId="9103" xr:uid="{91DB80A1-3464-4086-B948-71B6A26537C4}"/>
    <cellStyle name="20% - Accent2 2 2 2 8 2" xfId="18427" xr:uid="{DA44355F-543A-414C-8E56-87A33B0FEB2C}"/>
    <cellStyle name="20% - Accent2 2 2 2 8 3" xfId="27725" xr:uid="{95B21C20-EDFC-4DED-BEBF-56A05083B265}"/>
    <cellStyle name="20% - Accent2 2 2 2 9" xfId="9624" xr:uid="{93FF7F9F-A3F3-45D5-8924-F8F46FD44F58}"/>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9547CFD3-FF98-4AE6-BDC0-3DEC05333111}"/>
    <cellStyle name="20% - Accent2 2 2 3 2 2 3" xfId="25698" xr:uid="{2D34EA85-4BEC-4D15-897B-8CD6546EDA62}"/>
    <cellStyle name="20% - Accent2 2 2 3 2 3" xfId="12182" xr:uid="{83A5DFE1-5990-4161-858C-66A9E76C9578}"/>
    <cellStyle name="20% - Accent2 2 2 3 2 4" xfId="21481" xr:uid="{E35832BD-D9CC-43A3-8C08-FE8B73EB4B33}"/>
    <cellStyle name="20% - Accent2 2 2 3 3" xfId="4928" xr:uid="{00000000-0005-0000-0000-0000BB000000}"/>
    <cellStyle name="20% - Accent2 2 2 3 3 2" xfId="14254" xr:uid="{D119EC89-4790-4C8C-86BA-19B968AADB1E}"/>
    <cellStyle name="20% - Accent2 2 2 3 3 3" xfId="23553" xr:uid="{75B988E0-7E4A-4E90-9EEE-22DBE34C242D}"/>
    <cellStyle name="20% - Accent2 2 2 3 4" xfId="9321" xr:uid="{32B21C3A-E360-4F19-B469-1116F045A0F3}"/>
    <cellStyle name="20% - Accent2 2 2 3 4 2" xfId="18636" xr:uid="{5136B8BA-E969-4355-BF91-30B331F6D441}"/>
    <cellStyle name="20% - Accent2 2 2 3 4 3" xfId="27933" xr:uid="{FC3F92CC-0606-423F-9D08-65B6923E4782}"/>
    <cellStyle name="20% - Accent2 2 2 3 5" xfId="10037" xr:uid="{BDA3C330-5148-424B-B692-C86048E73DAA}"/>
    <cellStyle name="20% - Accent2 2 2 3 6" xfId="19336" xr:uid="{53967245-A5C0-4F31-AF23-E7E7E068F26C}"/>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B3B1D565-CE97-4CC5-B5B5-2987CCE29816}"/>
    <cellStyle name="20% - Accent2 2 2 4 2 2 3" xfId="26111" xr:uid="{A82092C3-FFCC-48FB-A690-8BE893740E18}"/>
    <cellStyle name="20% - Accent2 2 2 4 2 3" xfId="12595" xr:uid="{9522EB52-5586-4DC1-9A2B-4B7E064C4501}"/>
    <cellStyle name="20% - Accent2 2 2 4 2 4" xfId="21894" xr:uid="{DB49DDB2-767E-4022-AA77-5E3019660728}"/>
    <cellStyle name="20% - Accent2 2 2 4 3" xfId="5341" xr:uid="{00000000-0005-0000-0000-0000BF000000}"/>
    <cellStyle name="20% - Accent2 2 2 4 3 2" xfId="14667" xr:uid="{154AD962-9C31-4BF9-9D48-E722E8266380}"/>
    <cellStyle name="20% - Accent2 2 2 4 3 3" xfId="23966" xr:uid="{91D79F92-D77C-44B3-8D89-980F14D28914}"/>
    <cellStyle name="20% - Accent2 2 2 4 4" xfId="10450" xr:uid="{497C478C-FD8C-4308-9905-72DB6D2CE080}"/>
    <cellStyle name="20% - Accent2 2 2 4 5" xfId="19749" xr:uid="{4D4C2D97-73EF-4B4D-9A9B-9E96FEC83013}"/>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7E4161A5-2503-46E9-8209-876C419F3693}"/>
    <cellStyle name="20% - Accent2 2 2 5 2 2 3" xfId="26524" xr:uid="{73B3147B-EA53-4167-96DC-B2F4E585B889}"/>
    <cellStyle name="20% - Accent2 2 2 5 2 3" xfId="13008" xr:uid="{A02811A9-4869-40E1-A22D-29FEB5EB7482}"/>
    <cellStyle name="20% - Accent2 2 2 5 2 4" xfId="22307" xr:uid="{056DD904-A2B4-40B8-B620-FFE1C4046F83}"/>
    <cellStyle name="20% - Accent2 2 2 5 3" xfId="5754" xr:uid="{00000000-0005-0000-0000-0000C3000000}"/>
    <cellStyle name="20% - Accent2 2 2 5 3 2" xfId="15080" xr:uid="{8FCD3F41-5832-4D78-B326-ADA1C884926D}"/>
    <cellStyle name="20% - Accent2 2 2 5 3 3" xfId="24379" xr:uid="{EB28D4A9-1A42-4EBF-BAFB-8263B4EAAC33}"/>
    <cellStyle name="20% - Accent2 2 2 5 4" xfId="10863" xr:uid="{77D8AADF-E659-43CC-BCAD-6ECEB3EC60CE}"/>
    <cellStyle name="20% - Accent2 2 2 5 5" xfId="20162" xr:uid="{9DC56E2C-884A-458F-B80D-4BF16B6EDA5D}"/>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233464D0-71E5-4921-AA27-D6199219B5EC}"/>
    <cellStyle name="20% - Accent2 2 2 6 2 2 3" xfId="26937" xr:uid="{A83E7948-228D-4839-AC95-89C45DAE2EED}"/>
    <cellStyle name="20% - Accent2 2 2 6 2 3" xfId="13421" xr:uid="{2A5774BC-1528-469C-8C60-D9C341A9799F}"/>
    <cellStyle name="20% - Accent2 2 2 6 2 4" xfId="22720" xr:uid="{314E2D0D-982E-4F67-8609-A3CA78C687CB}"/>
    <cellStyle name="20% - Accent2 2 2 6 3" xfId="6167" xr:uid="{00000000-0005-0000-0000-0000C7000000}"/>
    <cellStyle name="20% - Accent2 2 2 6 3 2" xfId="15493" xr:uid="{385D6DAC-6BC0-4105-BC10-DB5C06FEA03D}"/>
    <cellStyle name="20% - Accent2 2 2 6 3 3" xfId="24792" xr:uid="{81034C7A-8630-4494-8630-66A23B07D593}"/>
    <cellStyle name="20% - Accent2 2 2 6 4" xfId="11276" xr:uid="{2E6E1C19-8CDA-4A6D-A2F3-8F636ADC03E2}"/>
    <cellStyle name="20% - Accent2 2 2 6 5" xfId="20575" xr:uid="{2D92FAFC-C077-419A-BE37-B54E14AE162B}"/>
    <cellStyle name="20% - Accent2 2 2 7" xfId="2274" xr:uid="{00000000-0005-0000-0000-0000C8000000}"/>
    <cellStyle name="20% - Accent2 2 2 7 2" xfId="6580" xr:uid="{00000000-0005-0000-0000-0000C9000000}"/>
    <cellStyle name="20% - Accent2 2 2 7 2 2" xfId="15906" xr:uid="{148B0483-F653-40D0-9852-A99AC03D9E3E}"/>
    <cellStyle name="20% - Accent2 2 2 7 2 3" xfId="25205" xr:uid="{A8897B24-FB8D-4000-BE8F-B3450664EE51}"/>
    <cellStyle name="20% - Accent2 2 2 7 3" xfId="11689" xr:uid="{09F9EAA0-D7E8-49C4-85FC-451E723D9AE3}"/>
    <cellStyle name="20% - Accent2 2 2 7 4" xfId="20988" xr:uid="{D11F53E0-501A-4DB2-83BA-C40EB185FFFC}"/>
    <cellStyle name="20% - Accent2 2 2 8" xfId="4514" xr:uid="{00000000-0005-0000-0000-0000CA000000}"/>
    <cellStyle name="20% - Accent2 2 2 8 2" xfId="13840" xr:uid="{84B28554-8CFA-450D-BEF4-0DCCBF24B634}"/>
    <cellStyle name="20% - Accent2 2 2 8 3" xfId="23139" xr:uid="{61CB64D4-65F7-42D7-8734-600B568D350F}"/>
    <cellStyle name="20% - Accent2 2 2 9" xfId="8896" xr:uid="{7CDAA0F1-5BE6-4749-AD4D-5424E0EA26D8}"/>
    <cellStyle name="20% - Accent2 2 2 9 2" xfId="18220" xr:uid="{055F3BF9-6868-432D-9B15-7EE7FE872E82}"/>
    <cellStyle name="20% - Accent2 2 2 9 3" xfId="27518" xr:uid="{5BD182DB-DA55-4567-90D4-EB63F1DB1E67}"/>
    <cellStyle name="20% - Accent2 2 3" xfId="13" xr:uid="{00000000-0005-0000-0000-0000CB000000}"/>
    <cellStyle name="20% - Accent2 2 3 10" xfId="18924" xr:uid="{C1FCB5DC-EBFC-4B28-8F22-731DE100004D}"/>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33161014-D016-4CD7-81B4-5BDD1E7AEFD4}"/>
    <cellStyle name="20% - Accent2 2 3 2 2 2 3" xfId="25700" xr:uid="{1FCB8E92-B4AC-4701-A2B0-19367B5CAED7}"/>
    <cellStyle name="20% - Accent2 2 3 2 2 3" xfId="12184" xr:uid="{497072A7-2131-49B5-9BC4-7119A5D2B322}"/>
    <cellStyle name="20% - Accent2 2 3 2 2 4" xfId="21483" xr:uid="{BAC2E01F-46DD-427F-9C31-426B0337FAFC}"/>
    <cellStyle name="20% - Accent2 2 3 2 3" xfId="4930" xr:uid="{00000000-0005-0000-0000-0000CF000000}"/>
    <cellStyle name="20% - Accent2 2 3 2 3 2" xfId="14256" xr:uid="{95570E71-2337-4C94-9D9D-080F3089E898}"/>
    <cellStyle name="20% - Accent2 2 3 2 3 3" xfId="23555" xr:uid="{8326D5CE-B0B6-49A5-AEAE-9BC2705CD8D4}"/>
    <cellStyle name="20% - Accent2 2 3 2 4" xfId="9425" xr:uid="{35BECFF4-0F5A-4F6E-AE6E-354891135B4F}"/>
    <cellStyle name="20% - Accent2 2 3 2 4 2" xfId="18740" xr:uid="{EA8A266F-EA38-49AB-A024-563555E62DD7}"/>
    <cellStyle name="20% - Accent2 2 3 2 4 3" xfId="28037" xr:uid="{BB6D19A9-1992-4082-8CA0-D78305F56EE2}"/>
    <cellStyle name="20% - Accent2 2 3 2 5" xfId="10039" xr:uid="{60327E04-9ADF-4DFE-A43A-66E18B16DA07}"/>
    <cellStyle name="20% - Accent2 2 3 2 6" xfId="19338" xr:uid="{A7078172-2B8A-47A0-8809-C7D55DB11A16}"/>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6653AFB6-B002-4519-99BD-694D2B929661}"/>
    <cellStyle name="20% - Accent2 2 3 3 2 2 3" xfId="26113" xr:uid="{032A883D-323D-47D8-9B33-15237D3C7591}"/>
    <cellStyle name="20% - Accent2 2 3 3 2 3" xfId="12597" xr:uid="{AA8F1E72-0586-4E3A-9AAB-A1B5187779CC}"/>
    <cellStyle name="20% - Accent2 2 3 3 2 4" xfId="21896" xr:uid="{DBF3920A-6C79-431E-92C9-9C7361EDBE4E}"/>
    <cellStyle name="20% - Accent2 2 3 3 3" xfId="5343" xr:uid="{00000000-0005-0000-0000-0000D3000000}"/>
    <cellStyle name="20% - Accent2 2 3 3 3 2" xfId="14669" xr:uid="{4A1A6F62-C797-4218-AC11-B1EB7CC7E0E1}"/>
    <cellStyle name="20% - Accent2 2 3 3 3 3" xfId="23968" xr:uid="{14E89C98-75AC-48CD-8C0D-DBA58D9866EE}"/>
    <cellStyle name="20% - Accent2 2 3 3 4" xfId="10452" xr:uid="{BEC5B587-0D41-4AF3-87AB-00AB88001AA9}"/>
    <cellStyle name="20% - Accent2 2 3 3 5" xfId="19751" xr:uid="{FBC66CF7-B7BC-46E2-B6D0-E3675F91F78A}"/>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3623110E-86BC-40E8-8A79-4D0B96182870}"/>
    <cellStyle name="20% - Accent2 2 3 4 2 2 3" xfId="26526" xr:uid="{84697630-0D1C-4106-BEB7-ACEF0F109257}"/>
    <cellStyle name="20% - Accent2 2 3 4 2 3" xfId="13010" xr:uid="{C88D2848-2874-4C9E-81F7-02F5584B5A68}"/>
    <cellStyle name="20% - Accent2 2 3 4 2 4" xfId="22309" xr:uid="{44BFE1E9-1C2C-43DE-9872-D85A8D4F8B3C}"/>
    <cellStyle name="20% - Accent2 2 3 4 3" xfId="5756" xr:uid="{00000000-0005-0000-0000-0000D7000000}"/>
    <cellStyle name="20% - Accent2 2 3 4 3 2" xfId="15082" xr:uid="{9C0C4106-2A42-4379-91E0-3DF304ABB196}"/>
    <cellStyle name="20% - Accent2 2 3 4 3 3" xfId="24381" xr:uid="{C8F3F1B5-6AD0-4298-B03F-39CDF9102E14}"/>
    <cellStyle name="20% - Accent2 2 3 4 4" xfId="10865" xr:uid="{20121A54-F716-423A-A9D8-42083DF0A81E}"/>
    <cellStyle name="20% - Accent2 2 3 4 5" xfId="20164" xr:uid="{27FC27C3-AFA9-40B1-99AF-4E4AC9A407E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4D97CD8F-93BD-42AC-AEA7-EC3FD744D568}"/>
    <cellStyle name="20% - Accent2 2 3 5 2 2 3" xfId="26939" xr:uid="{F8FF571B-BA64-46E4-83DB-201BD85DE0F5}"/>
    <cellStyle name="20% - Accent2 2 3 5 2 3" xfId="13423" xr:uid="{ACEC62FD-9AA4-46F3-AEC9-5B72D070B28B}"/>
    <cellStyle name="20% - Accent2 2 3 5 2 4" xfId="22722" xr:uid="{735DB039-C623-43CD-AE44-34F4E0850A1E}"/>
    <cellStyle name="20% - Accent2 2 3 5 3" xfId="6169" xr:uid="{00000000-0005-0000-0000-0000DB000000}"/>
    <cellStyle name="20% - Accent2 2 3 5 3 2" xfId="15495" xr:uid="{FFBDA8C1-2F83-413D-B8A1-20C0DE941D60}"/>
    <cellStyle name="20% - Accent2 2 3 5 3 3" xfId="24794" xr:uid="{A31293DE-8CEC-44B0-B22B-2FC22DC7AE20}"/>
    <cellStyle name="20% - Accent2 2 3 5 4" xfId="11278" xr:uid="{50AC4C5E-11C3-4AA9-AFD5-63EB6612FE61}"/>
    <cellStyle name="20% - Accent2 2 3 5 5" xfId="20577" xr:uid="{CDD1339E-AE79-4755-AFD1-AA3E7F35A928}"/>
    <cellStyle name="20% - Accent2 2 3 6" xfId="2276" xr:uid="{00000000-0005-0000-0000-0000DC000000}"/>
    <cellStyle name="20% - Accent2 2 3 6 2" xfId="6582" xr:uid="{00000000-0005-0000-0000-0000DD000000}"/>
    <cellStyle name="20% - Accent2 2 3 6 2 2" xfId="15908" xr:uid="{D8EF369F-2111-48DD-A0F1-EC2EC9221939}"/>
    <cellStyle name="20% - Accent2 2 3 6 2 3" xfId="25207" xr:uid="{2B91C283-0226-4F38-9BC0-E0FC1CED7379}"/>
    <cellStyle name="20% - Accent2 2 3 6 3" xfId="11691" xr:uid="{2E7B3877-698E-4A17-87E3-2AE0FA67F618}"/>
    <cellStyle name="20% - Accent2 2 3 6 4" xfId="20990" xr:uid="{A943D699-866A-4072-84EA-1764729F905C}"/>
    <cellStyle name="20% - Accent2 2 3 7" xfId="4516" xr:uid="{00000000-0005-0000-0000-0000DE000000}"/>
    <cellStyle name="20% - Accent2 2 3 7 2" xfId="13842" xr:uid="{B8517E92-BD8B-42C5-9EE4-96AE809FF9A5}"/>
    <cellStyle name="20% - Accent2 2 3 7 3" xfId="23141" xr:uid="{A5B276FC-A59A-4A9C-948A-4E03485E9578}"/>
    <cellStyle name="20% - Accent2 2 3 8" xfId="9000" xr:uid="{133DFC5C-F2FF-49E9-82EE-ABAA9C815393}"/>
    <cellStyle name="20% - Accent2 2 3 8 2" xfId="18324" xr:uid="{540F2511-61B7-449C-9C9E-F5E69CF01A39}"/>
    <cellStyle name="20% - Accent2 2 3 8 3" xfId="27622" xr:uid="{1FACB4DF-59EA-49F3-8A6F-7B24A7DAB709}"/>
    <cellStyle name="20% - Accent2 2 3 9" xfId="9625" xr:uid="{BE140140-0955-443E-A311-799C590FD743}"/>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60C06640-55C8-4612-ADE7-5EDC25B3F33A}"/>
    <cellStyle name="20% - Accent2 2 4 2 2 3" xfId="25697" xr:uid="{57DD0F44-032F-4D3E-971C-E8DC44815697}"/>
    <cellStyle name="20% - Accent2 2 4 2 3" xfId="12181" xr:uid="{C4973F04-13FF-47D1-9598-582C3E6658D4}"/>
    <cellStyle name="20% - Accent2 2 4 2 4" xfId="21480" xr:uid="{88CA5756-38F4-4D78-9574-675F610FC9B1}"/>
    <cellStyle name="20% - Accent2 2 4 3" xfId="4927" xr:uid="{00000000-0005-0000-0000-0000E2000000}"/>
    <cellStyle name="20% - Accent2 2 4 3 2" xfId="14253" xr:uid="{C22D6CBD-702C-47E7-B3AE-B9D285FF17C7}"/>
    <cellStyle name="20% - Accent2 2 4 3 3" xfId="23552" xr:uid="{BA50F587-1872-4490-ACCF-6026EC0C209D}"/>
    <cellStyle name="20% - Accent2 2 4 4" xfId="9217" xr:uid="{28DDC3F5-BA57-40F8-8D06-6CFF141CF9A1}"/>
    <cellStyle name="20% - Accent2 2 4 4 2" xfId="18533" xr:uid="{0C8E521E-6D0B-4BCF-B176-218BBB2A3C73}"/>
    <cellStyle name="20% - Accent2 2 4 4 3" xfId="27830" xr:uid="{F3365C8B-AF09-47A9-9F81-E84B0AA72FD8}"/>
    <cellStyle name="20% - Accent2 2 4 5" xfId="10036" xr:uid="{1F2F7B6A-74D1-44A1-AC51-3CF09AEE1B89}"/>
    <cellStyle name="20% - Accent2 2 4 6" xfId="19335" xr:uid="{6271BC2C-2C2E-448D-8FB6-7D60EF7998BC}"/>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9920CBFC-AB4C-4486-9536-2CE9A54A1039}"/>
    <cellStyle name="20% - Accent2 2 5 2 2 3" xfId="26110" xr:uid="{B50C5CCE-396A-4873-BA12-780FE6ABC828}"/>
    <cellStyle name="20% - Accent2 2 5 2 3" xfId="12594" xr:uid="{6C59EEDA-82F7-4281-8E6D-679277623BBC}"/>
    <cellStyle name="20% - Accent2 2 5 2 4" xfId="21893" xr:uid="{3B81F7E5-019E-47C4-A707-CBC36BC9E0CD}"/>
    <cellStyle name="20% - Accent2 2 5 3" xfId="5340" xr:uid="{00000000-0005-0000-0000-0000E6000000}"/>
    <cellStyle name="20% - Accent2 2 5 3 2" xfId="14666" xr:uid="{AFD8CC75-46FF-4684-9E51-147AFE080E82}"/>
    <cellStyle name="20% - Accent2 2 5 3 3" xfId="23965" xr:uid="{018DE4DF-9A3D-4336-A4A8-B600D9187CB0}"/>
    <cellStyle name="20% - Accent2 2 5 4" xfId="10449" xr:uid="{E2056E21-2931-42EF-A378-5CFEB9F96A1C}"/>
    <cellStyle name="20% - Accent2 2 5 5" xfId="19748" xr:uid="{287F0388-7CC4-4C1A-9F52-236D6F829238}"/>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96270AC7-ED34-48CA-A2F1-81FB17928F16}"/>
    <cellStyle name="20% - Accent2 2 6 2 2 3" xfId="26523" xr:uid="{601833AE-81B3-4A35-A62E-BB2BFE5E55A6}"/>
    <cellStyle name="20% - Accent2 2 6 2 3" xfId="13007" xr:uid="{A79FC55A-D635-44E3-96F8-E761C372C294}"/>
    <cellStyle name="20% - Accent2 2 6 2 4" xfId="22306" xr:uid="{593997B9-0A10-4F6C-9743-87765E773DF2}"/>
    <cellStyle name="20% - Accent2 2 6 3" xfId="5753" xr:uid="{00000000-0005-0000-0000-0000EA000000}"/>
    <cellStyle name="20% - Accent2 2 6 3 2" xfId="15079" xr:uid="{9D9AF2BA-7A46-4A95-87C5-56FEDBC7BF42}"/>
    <cellStyle name="20% - Accent2 2 6 3 3" xfId="24378" xr:uid="{56FF6FA4-8A2D-48A1-94DF-7457EFDB7261}"/>
    <cellStyle name="20% - Accent2 2 6 4" xfId="10862" xr:uid="{92793700-5A4D-42D0-B784-733492080871}"/>
    <cellStyle name="20% - Accent2 2 6 5" xfId="20161" xr:uid="{A0B8B765-E80D-43C8-B02F-426671DDFEF8}"/>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644DAE60-8FC7-4C83-8531-8E4076A2CFE2}"/>
    <cellStyle name="20% - Accent2 2 7 2 2 3" xfId="26936" xr:uid="{D057FC26-56E3-446B-99D1-DE55B94E46F9}"/>
    <cellStyle name="20% - Accent2 2 7 2 3" xfId="13420" xr:uid="{6F29AD4C-5F02-47EE-84A2-6D1CEED15CCA}"/>
    <cellStyle name="20% - Accent2 2 7 2 4" xfId="22719" xr:uid="{51252435-EF92-4E20-8CD2-227BEBDDFA69}"/>
    <cellStyle name="20% - Accent2 2 7 3" xfId="6166" xr:uid="{00000000-0005-0000-0000-0000EE000000}"/>
    <cellStyle name="20% - Accent2 2 7 3 2" xfId="15492" xr:uid="{EED8E6F5-9AE3-4861-A320-4FA58842FCC6}"/>
    <cellStyle name="20% - Accent2 2 7 3 3" xfId="24791" xr:uid="{312F95F0-FEE0-4622-9ED6-017215445866}"/>
    <cellStyle name="20% - Accent2 2 7 4" xfId="11275" xr:uid="{4C95FD9D-4436-4A6F-A428-EB4E46E74E35}"/>
    <cellStyle name="20% - Accent2 2 7 5" xfId="20574" xr:uid="{CBCD3569-0D9A-4627-9776-BC269F33E184}"/>
    <cellStyle name="20% - Accent2 2 8" xfId="2273" xr:uid="{00000000-0005-0000-0000-0000EF000000}"/>
    <cellStyle name="20% - Accent2 2 8 2" xfId="6579" xr:uid="{00000000-0005-0000-0000-0000F0000000}"/>
    <cellStyle name="20% - Accent2 2 8 2 2" xfId="15905" xr:uid="{80906E5F-2144-42B7-B2B6-6AFEAF0F3212}"/>
    <cellStyle name="20% - Accent2 2 8 2 3" xfId="25204" xr:uid="{BC313F83-2238-4337-A981-64BA477B79EB}"/>
    <cellStyle name="20% - Accent2 2 8 3" xfId="11688" xr:uid="{A91195DC-0C0C-4709-A65D-431E96065AD9}"/>
    <cellStyle name="20% - Accent2 2 8 4" xfId="20987" xr:uid="{B619D540-527E-445D-8CE7-30BA34326E34}"/>
    <cellStyle name="20% - Accent2 2 9" xfId="4513" xr:uid="{00000000-0005-0000-0000-0000F1000000}"/>
    <cellStyle name="20% - Accent2 2 9 2" xfId="13839" xr:uid="{48515CDC-D7B7-4136-B253-3C0E3AE31C1A}"/>
    <cellStyle name="20% - Accent2 2 9 3" xfId="23138" xr:uid="{6EEEB383-C934-4EDB-8C4A-ADE28CEB87B8}"/>
    <cellStyle name="20% - Accent2 3" xfId="14" xr:uid="{00000000-0005-0000-0000-0000F2000000}"/>
    <cellStyle name="20% - Accent2 3 10" xfId="9626" xr:uid="{336CC59A-6CC7-4DBB-81F5-D95140F94EBF}"/>
    <cellStyle name="20% - Accent2 3 11" xfId="18925" xr:uid="{721364E7-61EA-4A43-9A43-813C61E3AF2E}"/>
    <cellStyle name="20% - Accent2 3 2" xfId="15" xr:uid="{00000000-0005-0000-0000-0000F3000000}"/>
    <cellStyle name="20% - Accent2 3 2 10" xfId="18926" xr:uid="{2FCBFF85-DC57-446D-BAA4-D75C8841A253}"/>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026D9725-DD6A-4CD8-83F6-2CE681C3C0AE}"/>
    <cellStyle name="20% - Accent2 3 2 2 2 2 3" xfId="25702" xr:uid="{F26E2440-8606-4004-B741-A1FC1481CF57}"/>
    <cellStyle name="20% - Accent2 3 2 2 2 3" xfId="12186" xr:uid="{A64DDB7D-104D-44AD-8816-F50D358859ED}"/>
    <cellStyle name="20% - Accent2 3 2 2 2 4" xfId="21485" xr:uid="{F0CECDA2-8C55-4097-9AF5-DE04AE183517}"/>
    <cellStyle name="20% - Accent2 3 2 2 3" xfId="4932" xr:uid="{00000000-0005-0000-0000-0000F7000000}"/>
    <cellStyle name="20% - Accent2 3 2 2 3 2" xfId="14258" xr:uid="{AD8AFF69-7EDB-45A0-944E-7D9FD681CF83}"/>
    <cellStyle name="20% - Accent2 3 2 2 3 3" xfId="23557" xr:uid="{4F44AC93-D8DD-4F9F-AE20-AADB2432F167}"/>
    <cellStyle name="20% - Accent2 3 2 2 4" xfId="9495" xr:uid="{9F5A6FE7-BBC9-4787-8EC4-2112F4D5A0EA}"/>
    <cellStyle name="20% - Accent2 3 2 2 4 2" xfId="18810" xr:uid="{9FEA6226-3538-489B-989B-A9360923A8AA}"/>
    <cellStyle name="20% - Accent2 3 2 2 4 3" xfId="28107" xr:uid="{40B9BB45-4E58-4CD3-8AD6-5BA47CC4DE6E}"/>
    <cellStyle name="20% - Accent2 3 2 2 5" xfId="10041" xr:uid="{6B7C5B74-3B5C-4CC6-B087-F40AB050F379}"/>
    <cellStyle name="20% - Accent2 3 2 2 6" xfId="19340" xr:uid="{2C33DE9B-9EFF-46F9-9701-C10847CCF592}"/>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123E01E8-6BD1-435A-AC08-C9C610A72758}"/>
    <cellStyle name="20% - Accent2 3 2 3 2 2 3" xfId="26115" xr:uid="{138AABFB-0310-49B9-9F2F-7792C255BBEA}"/>
    <cellStyle name="20% - Accent2 3 2 3 2 3" xfId="12599" xr:uid="{B6195B5D-B6D6-4956-B744-4305C79B7F7F}"/>
    <cellStyle name="20% - Accent2 3 2 3 2 4" xfId="21898" xr:uid="{0AD3BDCC-BED8-4869-B3A0-C15E158C8174}"/>
    <cellStyle name="20% - Accent2 3 2 3 3" xfId="5345" xr:uid="{00000000-0005-0000-0000-0000FB000000}"/>
    <cellStyle name="20% - Accent2 3 2 3 3 2" xfId="14671" xr:uid="{4779CAA1-61D4-43B5-9C83-BCE39D49D49D}"/>
    <cellStyle name="20% - Accent2 3 2 3 3 3" xfId="23970" xr:uid="{08B8D8CF-9F70-4A12-A8CC-7672BC3608D8}"/>
    <cellStyle name="20% - Accent2 3 2 3 4" xfId="10454" xr:uid="{5F81560D-EC76-4A8D-B42D-48860C7252A7}"/>
    <cellStyle name="20% - Accent2 3 2 3 5" xfId="19753" xr:uid="{6F8ADA6C-9AE0-41E8-8F78-D9CB12BCC1B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0136211B-B65A-4BED-A6CB-D4F367E2C84D}"/>
    <cellStyle name="20% - Accent2 3 2 4 2 2 3" xfId="26528" xr:uid="{FA15F157-30C4-41AF-9B6D-52995FFB049D}"/>
    <cellStyle name="20% - Accent2 3 2 4 2 3" xfId="13012" xr:uid="{9580F4E4-92A6-41ED-81C9-8B3CAD60C181}"/>
    <cellStyle name="20% - Accent2 3 2 4 2 4" xfId="22311" xr:uid="{2E62F376-FBC8-40C3-8377-9017E6DDE884}"/>
    <cellStyle name="20% - Accent2 3 2 4 3" xfId="5758" xr:uid="{00000000-0005-0000-0000-0000FF000000}"/>
    <cellStyle name="20% - Accent2 3 2 4 3 2" xfId="15084" xr:uid="{4CB84219-0DE2-4812-9505-0AD7398BA32C}"/>
    <cellStyle name="20% - Accent2 3 2 4 3 3" xfId="24383" xr:uid="{7A43D5B0-A039-415A-9550-A8E04F132E49}"/>
    <cellStyle name="20% - Accent2 3 2 4 4" xfId="10867" xr:uid="{841520B5-2F6A-43C3-B980-6FB1D09B3A69}"/>
    <cellStyle name="20% - Accent2 3 2 4 5" xfId="20166" xr:uid="{F19663A6-E53C-445A-817A-D0F17B2DFAC4}"/>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0FC53181-5FB6-42BA-AD0E-B27EBFEDCD94}"/>
    <cellStyle name="20% - Accent2 3 2 5 2 2 3" xfId="26941" xr:uid="{61DC7A89-5AEB-4E4A-83C9-A9047A967C3A}"/>
    <cellStyle name="20% - Accent2 3 2 5 2 3" xfId="13425" xr:uid="{A20DDECE-59EE-42AD-9A58-FF8176797AF9}"/>
    <cellStyle name="20% - Accent2 3 2 5 2 4" xfId="22724" xr:uid="{0848E1BF-1968-4B83-AAA3-716C2D28202F}"/>
    <cellStyle name="20% - Accent2 3 2 5 3" xfId="6171" xr:uid="{00000000-0005-0000-0000-000003010000}"/>
    <cellStyle name="20% - Accent2 3 2 5 3 2" xfId="15497" xr:uid="{459CC29A-2097-425B-ABA2-AC51689AD4BC}"/>
    <cellStyle name="20% - Accent2 3 2 5 3 3" xfId="24796" xr:uid="{0E142F44-12E8-4220-A5B2-CFE706F7B709}"/>
    <cellStyle name="20% - Accent2 3 2 5 4" xfId="11280" xr:uid="{6F10F05B-12B0-4882-BB45-D3B709E797B9}"/>
    <cellStyle name="20% - Accent2 3 2 5 5" xfId="20579" xr:uid="{2799311D-1646-487F-A4EA-D1DF2C12941A}"/>
    <cellStyle name="20% - Accent2 3 2 6" xfId="2278" xr:uid="{00000000-0005-0000-0000-000004010000}"/>
    <cellStyle name="20% - Accent2 3 2 6 2" xfId="6584" xr:uid="{00000000-0005-0000-0000-000005010000}"/>
    <cellStyle name="20% - Accent2 3 2 6 2 2" xfId="15910" xr:uid="{0F11148F-F166-4F26-982A-DD3B48F90CF2}"/>
    <cellStyle name="20% - Accent2 3 2 6 2 3" xfId="25209" xr:uid="{ED9002E0-AC79-48E2-98FD-81569B133978}"/>
    <cellStyle name="20% - Accent2 3 2 6 3" xfId="11693" xr:uid="{E50B07A2-B008-491B-8555-3355F45C1D6D}"/>
    <cellStyle name="20% - Accent2 3 2 6 4" xfId="20992" xr:uid="{9156A5C2-D7E6-4BB6-AFD3-448CC00AC05F}"/>
    <cellStyle name="20% - Accent2 3 2 7" xfId="4518" xr:uid="{00000000-0005-0000-0000-000006010000}"/>
    <cellStyle name="20% - Accent2 3 2 7 2" xfId="13844" xr:uid="{96E0E8C7-81B2-42AE-A5ED-6B03F3FC3A0E}"/>
    <cellStyle name="20% - Accent2 3 2 7 3" xfId="23143" xr:uid="{958501CE-B0F9-46DC-BBC7-4B8124B84371}"/>
    <cellStyle name="20% - Accent2 3 2 8" xfId="9070" xr:uid="{8A9168BA-490F-4E57-83EA-22187D24153F}"/>
    <cellStyle name="20% - Accent2 3 2 8 2" xfId="18394" xr:uid="{2DA311C3-2852-4D2C-88C5-56C5722F068C}"/>
    <cellStyle name="20% - Accent2 3 2 8 3" xfId="27692" xr:uid="{0A149386-E4C9-4A52-A7F8-28BCF753FDEA}"/>
    <cellStyle name="20% - Accent2 3 2 9" xfId="9627" xr:uid="{D1FDF7E1-DA5F-4E9A-AC73-1AD30586ADF8}"/>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5ABD2E85-A674-49B6-8B8F-1E933232E563}"/>
    <cellStyle name="20% - Accent2 3 3 2 2 3" xfId="25701" xr:uid="{EA57848F-021A-4819-978F-CC5BA7ECE6CF}"/>
    <cellStyle name="20% - Accent2 3 3 2 3" xfId="12185" xr:uid="{455D66D7-E697-43E1-9316-3C645B46F7A1}"/>
    <cellStyle name="20% - Accent2 3 3 2 4" xfId="21484" xr:uid="{FB445490-532A-4C51-BA85-42D07DE34805}"/>
    <cellStyle name="20% - Accent2 3 3 3" xfId="4931" xr:uid="{00000000-0005-0000-0000-00000A010000}"/>
    <cellStyle name="20% - Accent2 3 3 3 2" xfId="14257" xr:uid="{515A25BE-9888-47A6-9A0A-1E3AAEDFD4F9}"/>
    <cellStyle name="20% - Accent2 3 3 3 3" xfId="23556" xr:uid="{F8383891-6106-4EAB-92F0-2B26CA27C8D6}"/>
    <cellStyle name="20% - Accent2 3 3 4" xfId="9288" xr:uid="{FCD70616-ECAD-4A0B-889F-4698E1AD889E}"/>
    <cellStyle name="20% - Accent2 3 3 4 2" xfId="18603" xr:uid="{15F8AC74-1BA2-49E1-88C0-A7A4BBA7C23B}"/>
    <cellStyle name="20% - Accent2 3 3 4 3" xfId="27900" xr:uid="{0CB542AF-5F46-48F7-B24D-B8002FD332F1}"/>
    <cellStyle name="20% - Accent2 3 3 5" xfId="10040" xr:uid="{498CE4B6-1731-40C8-9461-9346B4EF39BA}"/>
    <cellStyle name="20% - Accent2 3 3 6" xfId="19339" xr:uid="{F8AC1D05-20E3-4C10-81DD-36207934079F}"/>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DDA981DF-92D8-42E3-AD97-8E4CC4C50895}"/>
    <cellStyle name="20% - Accent2 3 4 2 2 3" xfId="26114" xr:uid="{FE447C46-DCAA-4532-9615-743330B68E11}"/>
    <cellStyle name="20% - Accent2 3 4 2 3" xfId="12598" xr:uid="{BE11F675-5C5C-4E57-AE17-69F2A7356319}"/>
    <cellStyle name="20% - Accent2 3 4 2 4" xfId="21897" xr:uid="{4AADE4F4-4C4E-4120-9BEA-117307548913}"/>
    <cellStyle name="20% - Accent2 3 4 3" xfId="5344" xr:uid="{00000000-0005-0000-0000-00000E010000}"/>
    <cellStyle name="20% - Accent2 3 4 3 2" xfId="14670" xr:uid="{64E5554B-18D4-4B0C-A58E-2D2B5D307846}"/>
    <cellStyle name="20% - Accent2 3 4 3 3" xfId="23969" xr:uid="{823A1DA1-D556-41FD-AE6A-0A6470C682F3}"/>
    <cellStyle name="20% - Accent2 3 4 4" xfId="10453" xr:uid="{68620D4C-D568-4FDD-8E5B-7E814476513E}"/>
    <cellStyle name="20% - Accent2 3 4 5" xfId="19752" xr:uid="{21BDF076-8C4A-4727-98CF-76A877893287}"/>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D4D1640C-AACE-4DD8-9C7A-79A12CE191F8}"/>
    <cellStyle name="20% - Accent2 3 5 2 2 3" xfId="26527" xr:uid="{CF6B6BA1-CAE4-441F-9A2D-013A7C75F09A}"/>
    <cellStyle name="20% - Accent2 3 5 2 3" xfId="13011" xr:uid="{8710E6FB-3AFD-4A8F-8730-4AD527EF61DB}"/>
    <cellStyle name="20% - Accent2 3 5 2 4" xfId="22310" xr:uid="{65EFA8E3-A0FD-42E2-AF6D-9D33EF7714AA}"/>
    <cellStyle name="20% - Accent2 3 5 3" xfId="5757" xr:uid="{00000000-0005-0000-0000-000012010000}"/>
    <cellStyle name="20% - Accent2 3 5 3 2" xfId="15083" xr:uid="{E2315C9A-017A-49BE-BC1C-F733D71292CB}"/>
    <cellStyle name="20% - Accent2 3 5 3 3" xfId="24382" xr:uid="{5E52012B-D464-43FB-9B1B-7CF3E34F1B0E}"/>
    <cellStyle name="20% - Accent2 3 5 4" xfId="10866" xr:uid="{E0EBBB92-4A32-4666-B7F3-FAAB2ADFD4BD}"/>
    <cellStyle name="20% - Accent2 3 5 5" xfId="20165" xr:uid="{9A7E7D11-F4B7-44D7-B55E-B6F4FCF8F6DD}"/>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CE8C2DCC-A1C0-4EF9-AA30-8A68E0157EDE}"/>
    <cellStyle name="20% - Accent2 3 6 2 2 3" xfId="26940" xr:uid="{2E9879C7-40B3-4385-A8E7-AA1F3E5BD0D2}"/>
    <cellStyle name="20% - Accent2 3 6 2 3" xfId="13424" xr:uid="{FEDE2EC6-24DB-4B04-9C61-E227D5C5BAF8}"/>
    <cellStyle name="20% - Accent2 3 6 2 4" xfId="22723" xr:uid="{6C9E3BC0-9FC6-43EF-B6C0-C28E5BFD4ECF}"/>
    <cellStyle name="20% - Accent2 3 6 3" xfId="6170" xr:uid="{00000000-0005-0000-0000-000016010000}"/>
    <cellStyle name="20% - Accent2 3 6 3 2" xfId="15496" xr:uid="{C339FA5B-5AE3-4BA5-9161-3ABC27A767B5}"/>
    <cellStyle name="20% - Accent2 3 6 3 3" xfId="24795" xr:uid="{2A19219A-3468-49E9-84BC-1473707B93A1}"/>
    <cellStyle name="20% - Accent2 3 6 4" xfId="11279" xr:uid="{73131484-7DBF-49DC-A9AB-B99F94AC23DA}"/>
    <cellStyle name="20% - Accent2 3 6 5" xfId="20578" xr:uid="{3DE46A11-B5C7-4A01-9B09-C7489BE0BEFE}"/>
    <cellStyle name="20% - Accent2 3 7" xfId="2277" xr:uid="{00000000-0005-0000-0000-000017010000}"/>
    <cellStyle name="20% - Accent2 3 7 2" xfId="6583" xr:uid="{00000000-0005-0000-0000-000018010000}"/>
    <cellStyle name="20% - Accent2 3 7 2 2" xfId="15909" xr:uid="{9274634F-1A90-488B-9A17-50710AADFD2F}"/>
    <cellStyle name="20% - Accent2 3 7 2 3" xfId="25208" xr:uid="{2AFFE1B8-4C24-42F7-8C6C-0F21E9D412BE}"/>
    <cellStyle name="20% - Accent2 3 7 3" xfId="11692" xr:uid="{3992B86B-B479-4598-BA19-DC334A87A054}"/>
    <cellStyle name="20% - Accent2 3 7 4" xfId="20991" xr:uid="{A3A942FF-0546-4A0B-A1C6-D1EA5D0C9A6D}"/>
    <cellStyle name="20% - Accent2 3 8" xfId="4517" xr:uid="{00000000-0005-0000-0000-000019010000}"/>
    <cellStyle name="20% - Accent2 3 8 2" xfId="13843" xr:uid="{1161729D-C32A-4C00-86BD-A5F37A74F4D1}"/>
    <cellStyle name="20% - Accent2 3 8 3" xfId="23142" xr:uid="{BED971AA-7144-49D0-AA91-B4ACC8EE143B}"/>
    <cellStyle name="20% - Accent2 3 9" xfId="8863" xr:uid="{C6A258FB-33DC-4171-B9DD-C29513CA80FD}"/>
    <cellStyle name="20% - Accent2 3 9 2" xfId="18187" xr:uid="{820A6E9C-5A54-4B88-A7D4-CC1E8D8E38EE}"/>
    <cellStyle name="20% - Accent2 3 9 3" xfId="27485" xr:uid="{DB39D360-CE63-4A02-821A-C01C44727B02}"/>
    <cellStyle name="20% - Accent2 4" xfId="16" xr:uid="{00000000-0005-0000-0000-00001A010000}"/>
    <cellStyle name="20% - Accent2 4 10" xfId="18927" xr:uid="{5F284E33-980D-4EC3-923B-73BB668F2EF7}"/>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466119C3-86F8-4E0D-86D6-074CC9BDB4EB}"/>
    <cellStyle name="20% - Accent2 4 2 2 2 3" xfId="25703" xr:uid="{5AB2DF0C-6719-4689-8982-F7A6CC6674B1}"/>
    <cellStyle name="20% - Accent2 4 2 2 3" xfId="12187" xr:uid="{40730D33-142B-46B2-96E2-993E3A5C93F8}"/>
    <cellStyle name="20% - Accent2 4 2 2 4" xfId="21486" xr:uid="{F0ECBAD4-B5DD-4E3C-AAF0-764EAA8ACD1E}"/>
    <cellStyle name="20% - Accent2 4 2 3" xfId="4933" xr:uid="{00000000-0005-0000-0000-00001E010000}"/>
    <cellStyle name="20% - Accent2 4 2 3 2" xfId="14259" xr:uid="{01014754-5492-4FD1-8057-512B2025D625}"/>
    <cellStyle name="20% - Accent2 4 2 3 3" xfId="23558" xr:uid="{F41765D0-375D-47A0-B1DC-BD8C2D8FA941}"/>
    <cellStyle name="20% - Accent2 4 2 4" xfId="9374" xr:uid="{26FD7A0E-8D04-4AF7-B092-2B22A78F0A97}"/>
    <cellStyle name="20% - Accent2 4 2 4 2" xfId="18689" xr:uid="{1C030DDD-7FCA-4463-9405-AE01D82FC9C3}"/>
    <cellStyle name="20% - Accent2 4 2 4 3" xfId="27986" xr:uid="{F51ECE0B-EB08-4F9C-8C7A-AEB661BA2F8D}"/>
    <cellStyle name="20% - Accent2 4 2 5" xfId="10042" xr:uid="{484A0755-A5C3-449D-B902-73D5A9DDB0E9}"/>
    <cellStyle name="20% - Accent2 4 2 6" xfId="19341" xr:uid="{B60BE41B-B953-4D2C-B73C-BC5E1DEF39BB}"/>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0AC62AEA-F6A9-49DC-BE89-81C29CEB964D}"/>
    <cellStyle name="20% - Accent2 4 3 2 2 3" xfId="26116" xr:uid="{D1AC9148-B1EE-483D-8C9A-C963FC2A91D5}"/>
    <cellStyle name="20% - Accent2 4 3 2 3" xfId="12600" xr:uid="{34696CA9-6EA2-4F27-92B1-7EF20DE5CB38}"/>
    <cellStyle name="20% - Accent2 4 3 2 4" xfId="21899" xr:uid="{99E5BDE0-18A3-45A7-ADEB-3E15A9B040A2}"/>
    <cellStyle name="20% - Accent2 4 3 3" xfId="5346" xr:uid="{00000000-0005-0000-0000-000022010000}"/>
    <cellStyle name="20% - Accent2 4 3 3 2" xfId="14672" xr:uid="{2989A88C-9F94-44D5-9992-00B016E1C76E}"/>
    <cellStyle name="20% - Accent2 4 3 3 3" xfId="23971" xr:uid="{5C319D42-ED1F-47DE-80DD-EC10BC5072B9}"/>
    <cellStyle name="20% - Accent2 4 3 4" xfId="10455" xr:uid="{44ED3719-313F-4073-9E29-A309C4E8134E}"/>
    <cellStyle name="20% - Accent2 4 3 5" xfId="19754" xr:uid="{A524F89C-53AA-4612-93D2-24D8E9EE0BD3}"/>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BF5E6B8E-ACB6-4A1E-8D82-540A19406FC5}"/>
    <cellStyle name="20% - Accent2 4 4 2 2 3" xfId="26529" xr:uid="{7BD8FB6E-1770-405A-B592-F4F488F2AB37}"/>
    <cellStyle name="20% - Accent2 4 4 2 3" xfId="13013" xr:uid="{9F24BB65-C344-4492-A85A-36BEE668E55A}"/>
    <cellStyle name="20% - Accent2 4 4 2 4" xfId="22312" xr:uid="{3DB8CCDB-F1A2-4B27-9260-06000EB3DBF4}"/>
    <cellStyle name="20% - Accent2 4 4 3" xfId="5759" xr:uid="{00000000-0005-0000-0000-000026010000}"/>
    <cellStyle name="20% - Accent2 4 4 3 2" xfId="15085" xr:uid="{B3AF5E23-144E-4B1A-8E87-370163BAB106}"/>
    <cellStyle name="20% - Accent2 4 4 3 3" xfId="24384" xr:uid="{6B755E1D-76F0-4F9C-A896-131115AD4EE6}"/>
    <cellStyle name="20% - Accent2 4 4 4" xfId="10868" xr:uid="{89BFD307-5033-422A-B2A2-6C9AE57A17B2}"/>
    <cellStyle name="20% - Accent2 4 4 5" xfId="20167" xr:uid="{522B94FA-8898-4CDB-BA54-5C7184CE992B}"/>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424317A9-B1AC-4329-83EC-8B2BACAAFF8E}"/>
    <cellStyle name="20% - Accent2 4 5 2 2 3" xfId="26942" xr:uid="{52C45904-9E65-4D9F-8BEA-0D48D2D7C750}"/>
    <cellStyle name="20% - Accent2 4 5 2 3" xfId="13426" xr:uid="{C7FE21CF-BF83-4C1E-84FC-8221EA80B172}"/>
    <cellStyle name="20% - Accent2 4 5 2 4" xfId="22725" xr:uid="{757BC06C-352D-444C-9536-AE5E52026F1E}"/>
    <cellStyle name="20% - Accent2 4 5 3" xfId="6172" xr:uid="{00000000-0005-0000-0000-00002A010000}"/>
    <cellStyle name="20% - Accent2 4 5 3 2" xfId="15498" xr:uid="{1137E4F9-3BE2-41A8-944A-CC23E599958C}"/>
    <cellStyle name="20% - Accent2 4 5 3 3" xfId="24797" xr:uid="{9F988297-F7F2-455B-83DF-3CE3D596BD7C}"/>
    <cellStyle name="20% - Accent2 4 5 4" xfId="11281" xr:uid="{9773BDEE-9F34-4323-A88E-B81F1B9DFFB8}"/>
    <cellStyle name="20% - Accent2 4 5 5" xfId="20580" xr:uid="{153A5DFE-D307-4249-819C-DC1E5964A5F0}"/>
    <cellStyle name="20% - Accent2 4 6" xfId="2279" xr:uid="{00000000-0005-0000-0000-00002B010000}"/>
    <cellStyle name="20% - Accent2 4 6 2" xfId="6585" xr:uid="{00000000-0005-0000-0000-00002C010000}"/>
    <cellStyle name="20% - Accent2 4 6 2 2" xfId="15911" xr:uid="{4974F0B6-EB09-4120-BDC0-4770C8BAC96E}"/>
    <cellStyle name="20% - Accent2 4 6 2 3" xfId="25210" xr:uid="{8B920B00-C70B-4142-A904-52713F1729B4}"/>
    <cellStyle name="20% - Accent2 4 6 3" xfId="11694" xr:uid="{C6BAC03A-CCEC-4E3B-9A73-7B40DE591EFB}"/>
    <cellStyle name="20% - Accent2 4 6 4" xfId="20993" xr:uid="{5C0F70C8-CFBF-41DF-9A11-7D3080FDA77E}"/>
    <cellStyle name="20% - Accent2 4 7" xfId="4519" xr:uid="{00000000-0005-0000-0000-00002D010000}"/>
    <cellStyle name="20% - Accent2 4 7 2" xfId="13845" xr:uid="{558E44F1-F8B5-4D0B-B691-5126CD162090}"/>
    <cellStyle name="20% - Accent2 4 7 3" xfId="23144" xr:uid="{7A5D9048-E7B3-4ABC-A9F2-FA885F174B34}"/>
    <cellStyle name="20% - Accent2 4 8" xfId="8949" xr:uid="{084C22A9-B904-4AFE-A752-AC1DC2CA76B8}"/>
    <cellStyle name="20% - Accent2 4 8 2" xfId="18273" xr:uid="{CB4EBBEA-8A08-4F4D-94B4-8D6151718FF7}"/>
    <cellStyle name="20% - Accent2 4 8 3" xfId="27571" xr:uid="{D4D15E6F-B0DC-42A6-929F-A582BA5E197F}"/>
    <cellStyle name="20% - Accent2 4 9" xfId="9628" xr:uid="{1CB5E16B-CB03-4BD1-9845-8B8203B708B7}"/>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E03B5607-7CA5-4BEC-AED3-C7B65A9F8F09}"/>
    <cellStyle name="20% - Accent2 5 2 2 3" xfId="25696" xr:uid="{5A39CE2C-8446-48ED-AD73-0CE1AF96AA01}"/>
    <cellStyle name="20% - Accent2 5 2 3" xfId="12180" xr:uid="{74DE518A-2BDB-4C64-8893-690F8B08BF68}"/>
    <cellStyle name="20% - Accent2 5 2 4" xfId="21479" xr:uid="{25091220-B933-47E7-866B-8D7AC842D8CE}"/>
    <cellStyle name="20% - Accent2 5 3" xfId="4926" xr:uid="{00000000-0005-0000-0000-000031010000}"/>
    <cellStyle name="20% - Accent2 5 3 2" xfId="14252" xr:uid="{58A5196F-E7EE-4F98-A5A8-207A51F41B66}"/>
    <cellStyle name="20% - Accent2 5 3 3" xfId="23551" xr:uid="{68B845D5-B9CA-4DD7-9D5C-723FF5550710}"/>
    <cellStyle name="20% - Accent2 5 4" xfId="9182" xr:uid="{F822E263-B2A4-41B5-BBF9-FCE1A7A30601}"/>
    <cellStyle name="20% - Accent2 5 4 2" xfId="18500" xr:uid="{B3E8B49A-B3C6-4984-B381-60D54CB36E67}"/>
    <cellStyle name="20% - Accent2 5 4 3" xfId="27797" xr:uid="{815267B6-678A-4D11-9597-9958A7A45164}"/>
    <cellStyle name="20% - Accent2 5 5" xfId="10035" xr:uid="{2AF52379-3531-4EE1-81F0-8CC280BF20C0}"/>
    <cellStyle name="20% - Accent2 5 6" xfId="19334" xr:uid="{4FBD2585-F937-4AAB-990E-333438B8229F}"/>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2F0AC010-DCC6-43DF-9A31-19AB903D1447}"/>
    <cellStyle name="20% - Accent2 6 2 2 3" xfId="26109" xr:uid="{8864920A-F457-4A3F-B2A3-A7814E200782}"/>
    <cellStyle name="20% - Accent2 6 2 3" xfId="12593" xr:uid="{A8D3F5D3-1929-4130-98A3-FA716CEF1F06}"/>
    <cellStyle name="20% - Accent2 6 2 4" xfId="21892" xr:uid="{AE1EEB73-B8EC-48C1-8102-7D6D60254FBC}"/>
    <cellStyle name="20% - Accent2 6 3" xfId="5339" xr:uid="{00000000-0005-0000-0000-000035010000}"/>
    <cellStyle name="20% - Accent2 6 3 2" xfId="14665" xr:uid="{3D55AEF2-F3B6-4C3A-B2BA-F9A7A72B4AE7}"/>
    <cellStyle name="20% - Accent2 6 3 3" xfId="23964" xr:uid="{9548FAA5-4356-4AE2-A516-EDD6FDB2E4F6}"/>
    <cellStyle name="20% - Accent2 6 4" xfId="10448" xr:uid="{8FE5D4BC-E439-42D4-B80A-398F7DAC9B2D}"/>
    <cellStyle name="20% - Accent2 6 5" xfId="19747" xr:uid="{BDBA5760-422A-40CE-895E-EEC6A6EABD38}"/>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A2A3BFF0-D33E-4051-BBCC-452483902DE2}"/>
    <cellStyle name="20% - Accent2 7 2 2 3" xfId="26522" xr:uid="{9013D759-13FD-4623-9C6A-4584855677C8}"/>
    <cellStyle name="20% - Accent2 7 2 3" xfId="13006" xr:uid="{1119C450-0B95-4E1A-8901-D62080E3ACEA}"/>
    <cellStyle name="20% - Accent2 7 2 4" xfId="22305" xr:uid="{66870F7F-0056-4B45-89C7-DAC46D996AD7}"/>
    <cellStyle name="20% - Accent2 7 3" xfId="5752" xr:uid="{00000000-0005-0000-0000-000039010000}"/>
    <cellStyle name="20% - Accent2 7 3 2" xfId="15078" xr:uid="{610D6BE1-9294-4C26-AD2C-6096072E5D77}"/>
    <cellStyle name="20% - Accent2 7 3 3" xfId="24377" xr:uid="{04E6FBEF-99F0-475A-8667-163E46C5E931}"/>
    <cellStyle name="20% - Accent2 7 4" xfId="10861" xr:uid="{75310BBA-CDA7-440C-B874-8C4A9B430B9F}"/>
    <cellStyle name="20% - Accent2 7 5" xfId="20160" xr:uid="{DDAF99EB-09D3-4767-9550-C31FC4AA0C00}"/>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DBA5717D-D209-4299-92C0-842A869DD065}"/>
    <cellStyle name="20% - Accent2 8 2 2 3" xfId="26935" xr:uid="{43106B5D-2A8E-4D5D-9C91-FB98D5F85BAD}"/>
    <cellStyle name="20% - Accent2 8 2 3" xfId="13419" xr:uid="{6395F9B3-CA65-4E06-B3B3-EBA3AD6B2168}"/>
    <cellStyle name="20% - Accent2 8 2 4" xfId="22718" xr:uid="{4B1348FA-C440-4DC6-BB4A-3718E566365A}"/>
    <cellStyle name="20% - Accent2 8 3" xfId="6165" xr:uid="{00000000-0005-0000-0000-00003D010000}"/>
    <cellStyle name="20% - Accent2 8 3 2" xfId="15491" xr:uid="{43C9727B-0A98-4B54-9E1B-D105F338750F}"/>
    <cellStyle name="20% - Accent2 8 3 3" xfId="24790" xr:uid="{268544ED-139B-4027-B16A-F9DA162E5066}"/>
    <cellStyle name="20% - Accent2 8 4" xfId="11274" xr:uid="{A3BAFFB7-EC29-4D39-8BEF-CCFAF8554EA5}"/>
    <cellStyle name="20% - Accent2 8 5" xfId="20573" xr:uid="{BF8ED065-BCDA-45F9-88CA-307AD0CF2CEA}"/>
    <cellStyle name="20% - Accent2 9" xfId="2272" xr:uid="{00000000-0005-0000-0000-00003E010000}"/>
    <cellStyle name="20% - Accent2 9 2" xfId="6578" xr:uid="{00000000-0005-0000-0000-00003F010000}"/>
    <cellStyle name="20% - Accent2 9 2 2" xfId="15904" xr:uid="{DBF68F59-4011-4D5A-B176-ED27AD21F2E0}"/>
    <cellStyle name="20% - Accent2 9 2 3" xfId="25203" xr:uid="{7694219C-82A2-4E87-AB8E-2E206ECA6012}"/>
    <cellStyle name="20% - Accent2 9 3" xfId="11687" xr:uid="{B9D77E62-A656-458B-BCCC-76A671633C81}"/>
    <cellStyle name="20% - Accent2 9 4" xfId="20986" xr:uid="{38785AA2-ECF8-4DF4-A073-EE27ABD5C1E2}"/>
    <cellStyle name="20% - Accent3" xfId="17" builtinId="38" customBuiltin="1"/>
    <cellStyle name="20% - Accent3 10" xfId="4520" xr:uid="{00000000-0005-0000-0000-000041010000}"/>
    <cellStyle name="20% - Accent3 10 2" xfId="13846" xr:uid="{27B1D590-86DA-4E4A-B103-B1008EC4D925}"/>
    <cellStyle name="20% - Accent3 10 3" xfId="23145" xr:uid="{64E3A082-A9AF-424B-AED0-926A6BC4C17E}"/>
    <cellStyle name="20% - Accent3 11" xfId="8762" xr:uid="{49ACF776-43E7-4BB5-82F5-A8A4FEBC45F8}"/>
    <cellStyle name="20% - Accent3 11 2" xfId="18086" xr:uid="{122BBCF0-5DCD-45CA-9BD2-301ED325A5E2}"/>
    <cellStyle name="20% - Accent3 11 3" xfId="27384" xr:uid="{E7C058E9-288C-4130-BF34-D56AB106D5B4}"/>
    <cellStyle name="20% - Accent3 12" xfId="9629" xr:uid="{97991600-35CE-41FB-81FF-697AA5FEC2AC}"/>
    <cellStyle name="20% - Accent3 13" xfId="18928" xr:uid="{E65280DF-2615-4BE7-8B65-AA477CD1FD16}"/>
    <cellStyle name="20% - Accent3 2" xfId="18" xr:uid="{00000000-0005-0000-0000-000042010000}"/>
    <cellStyle name="20% - Accent3 2 10" xfId="8792" xr:uid="{65E5762F-047C-4860-B47E-71363924E2A5}"/>
    <cellStyle name="20% - Accent3 2 10 2" xfId="18116" xr:uid="{35D7E70E-5EE3-4E50-96A8-B42A0847992B}"/>
    <cellStyle name="20% - Accent3 2 10 3" xfId="27414" xr:uid="{1070A226-F530-4BFC-A23A-085BF56A9F13}"/>
    <cellStyle name="20% - Accent3 2 11" xfId="9630" xr:uid="{31274187-5096-4B29-B289-A6F8CA03FB51}"/>
    <cellStyle name="20% - Accent3 2 12" xfId="18929" xr:uid="{0AA8D866-4CDA-4474-A3B3-AD48E8E132F2}"/>
    <cellStyle name="20% - Accent3 2 2" xfId="19" xr:uid="{00000000-0005-0000-0000-000043010000}"/>
    <cellStyle name="20% - Accent3 2 2 10" xfId="9631" xr:uid="{E765457B-097F-4674-B35D-027490D67C75}"/>
    <cellStyle name="20% - Accent3 2 2 11" xfId="18930" xr:uid="{FAEC8DE9-60BA-472A-B838-45E65B5245A0}"/>
    <cellStyle name="20% - Accent3 2 2 2" xfId="20" xr:uid="{00000000-0005-0000-0000-000044010000}"/>
    <cellStyle name="20% - Accent3 2 2 2 10" xfId="18931" xr:uid="{8B575BB3-8603-45BE-8918-70F8370017F2}"/>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3686E98B-BE08-48C9-B4AE-4756B10D334F}"/>
    <cellStyle name="20% - Accent3 2 2 2 2 2 2 3" xfId="25707" xr:uid="{8242B517-0C66-4977-AEC0-DF4A00FF700C}"/>
    <cellStyle name="20% - Accent3 2 2 2 2 2 3" xfId="12191" xr:uid="{F6F33DF8-105A-40AE-8490-51B36C542A35}"/>
    <cellStyle name="20% - Accent3 2 2 2 2 2 4" xfId="21490" xr:uid="{5BABEC2A-046D-45F8-8A23-ED4BA167F00F}"/>
    <cellStyle name="20% - Accent3 2 2 2 2 3" xfId="4937" xr:uid="{00000000-0005-0000-0000-000048010000}"/>
    <cellStyle name="20% - Accent3 2 2 2 2 3 2" xfId="14263" xr:uid="{6BDF9149-FAAD-49F1-8CAC-E84725C6445F}"/>
    <cellStyle name="20% - Accent3 2 2 2 2 3 3" xfId="23562" xr:uid="{C5D94F30-AC1F-47D7-87D3-0ABEE9B35772}"/>
    <cellStyle name="20% - Accent3 2 2 2 2 4" xfId="9527" xr:uid="{B82F9F3C-4714-4F10-BEB2-F90FC0563F53}"/>
    <cellStyle name="20% - Accent3 2 2 2 2 4 2" xfId="18842" xr:uid="{FA980ED9-192A-4FBF-8ED6-D661132B471B}"/>
    <cellStyle name="20% - Accent3 2 2 2 2 4 3" xfId="28139" xr:uid="{FDB0D149-5E76-42BB-BAF5-5FC06C451F1D}"/>
    <cellStyle name="20% - Accent3 2 2 2 2 5" xfId="10046" xr:uid="{314388A5-4D16-4211-88F8-61186DED54DE}"/>
    <cellStyle name="20% - Accent3 2 2 2 2 6" xfId="19345" xr:uid="{306E2CA0-5537-4CD0-A311-FBC58C5AB581}"/>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5B9D6DF2-40D7-4EF6-8103-3E9BB6556302}"/>
    <cellStyle name="20% - Accent3 2 2 2 3 2 2 3" xfId="26120" xr:uid="{8AFB270D-8EA4-4C04-A35B-A2E17D654DB5}"/>
    <cellStyle name="20% - Accent3 2 2 2 3 2 3" xfId="12604" xr:uid="{B20738E8-4967-48BD-B2ED-D6AE87D6C4AF}"/>
    <cellStyle name="20% - Accent3 2 2 2 3 2 4" xfId="21903" xr:uid="{1E863A1D-A0CE-4F61-9754-225D5D465708}"/>
    <cellStyle name="20% - Accent3 2 2 2 3 3" xfId="5350" xr:uid="{00000000-0005-0000-0000-00004C010000}"/>
    <cellStyle name="20% - Accent3 2 2 2 3 3 2" xfId="14676" xr:uid="{047579DB-3C2F-4153-B2B1-7278E2671891}"/>
    <cellStyle name="20% - Accent3 2 2 2 3 3 3" xfId="23975" xr:uid="{F1717678-85D2-4CC8-9AEC-3B9F5D2F6FE7}"/>
    <cellStyle name="20% - Accent3 2 2 2 3 4" xfId="10459" xr:uid="{78B02162-97E1-47F2-A513-5D5C4638652F}"/>
    <cellStyle name="20% - Accent3 2 2 2 3 5" xfId="19758" xr:uid="{CDB118DA-A143-4B57-AAF4-4ACAD254A686}"/>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CC28EA87-B8A1-4843-9613-304ED49B4E4F}"/>
    <cellStyle name="20% - Accent3 2 2 2 4 2 2 3" xfId="26533" xr:uid="{F0A86785-A9A4-4BAE-B603-8627D7EA5BDA}"/>
    <cellStyle name="20% - Accent3 2 2 2 4 2 3" xfId="13017" xr:uid="{853555AE-3B4A-4967-B6AE-4AC42347B663}"/>
    <cellStyle name="20% - Accent3 2 2 2 4 2 4" xfId="22316" xr:uid="{A51D2454-BCF6-4760-BFC1-2ADBE4DCF3AC}"/>
    <cellStyle name="20% - Accent3 2 2 2 4 3" xfId="5763" xr:uid="{00000000-0005-0000-0000-000050010000}"/>
    <cellStyle name="20% - Accent3 2 2 2 4 3 2" xfId="15089" xr:uid="{B439B097-F92C-4C06-A593-E3E390457021}"/>
    <cellStyle name="20% - Accent3 2 2 2 4 3 3" xfId="24388" xr:uid="{BCE9FCF3-5432-4739-8B37-57765DD05039}"/>
    <cellStyle name="20% - Accent3 2 2 2 4 4" xfId="10872" xr:uid="{684079B9-C2A6-4F94-BA53-3E703B1CF16C}"/>
    <cellStyle name="20% - Accent3 2 2 2 4 5" xfId="20171" xr:uid="{27B73440-9562-4D99-8F81-0A85B43D68FF}"/>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63EEAC8B-6DEF-491B-B06A-844F2AF98502}"/>
    <cellStyle name="20% - Accent3 2 2 2 5 2 2 3" xfId="26946" xr:uid="{1558939E-E013-4730-8859-0BDA3588A669}"/>
    <cellStyle name="20% - Accent3 2 2 2 5 2 3" xfId="13430" xr:uid="{FB413225-F1CA-4275-96CC-DB4389E105EB}"/>
    <cellStyle name="20% - Accent3 2 2 2 5 2 4" xfId="22729" xr:uid="{3B32B14C-6FDE-4D60-B12E-A813E0337405}"/>
    <cellStyle name="20% - Accent3 2 2 2 5 3" xfId="6176" xr:uid="{00000000-0005-0000-0000-000054010000}"/>
    <cellStyle name="20% - Accent3 2 2 2 5 3 2" xfId="15502" xr:uid="{DE9DE860-1E55-4F6F-9AD3-C749B7AE39AD}"/>
    <cellStyle name="20% - Accent3 2 2 2 5 3 3" xfId="24801" xr:uid="{9741E92F-CFFB-4BDB-A3C6-E4C5DDCDC067}"/>
    <cellStyle name="20% - Accent3 2 2 2 5 4" xfId="11285" xr:uid="{D29563B7-FAF5-4FA1-9670-8F33C16A34BF}"/>
    <cellStyle name="20% - Accent3 2 2 2 5 5" xfId="20584" xr:uid="{C47729BA-B327-461D-B86E-F9BB0E2E3695}"/>
    <cellStyle name="20% - Accent3 2 2 2 6" xfId="2283" xr:uid="{00000000-0005-0000-0000-000055010000}"/>
    <cellStyle name="20% - Accent3 2 2 2 6 2" xfId="6589" xr:uid="{00000000-0005-0000-0000-000056010000}"/>
    <cellStyle name="20% - Accent3 2 2 2 6 2 2" xfId="15915" xr:uid="{79ED69AC-5840-4233-A6F3-B129CE6280AD}"/>
    <cellStyle name="20% - Accent3 2 2 2 6 2 3" xfId="25214" xr:uid="{DE22C3BC-1909-463E-B3A7-455463F2E48F}"/>
    <cellStyle name="20% - Accent3 2 2 2 6 3" xfId="11698" xr:uid="{C1AB1148-2C19-44DD-AA09-8CF061AE2148}"/>
    <cellStyle name="20% - Accent3 2 2 2 6 4" xfId="20997" xr:uid="{C2F44FD5-7EAA-45EF-A55B-1758CD45A2E9}"/>
    <cellStyle name="20% - Accent3 2 2 2 7" xfId="4523" xr:uid="{00000000-0005-0000-0000-000057010000}"/>
    <cellStyle name="20% - Accent3 2 2 2 7 2" xfId="13849" xr:uid="{CB4D6419-C80A-44AE-A484-4787BE73DEB7}"/>
    <cellStyle name="20% - Accent3 2 2 2 7 3" xfId="23148" xr:uid="{A166DF4F-9B3F-4D5B-8EB3-3B9B23DCD214}"/>
    <cellStyle name="20% - Accent3 2 2 2 8" xfId="9102" xr:uid="{77698EAD-FDE4-4105-BE80-980B5219F464}"/>
    <cellStyle name="20% - Accent3 2 2 2 8 2" xfId="18426" xr:uid="{AF95CB06-587F-41BA-8720-869CA86CA94C}"/>
    <cellStyle name="20% - Accent3 2 2 2 8 3" xfId="27724" xr:uid="{0161A254-C312-45D7-9C69-C74C8CC93C53}"/>
    <cellStyle name="20% - Accent3 2 2 2 9" xfId="9632" xr:uid="{42E564BE-367D-4F40-B745-0F983BB63D3C}"/>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3B9756B5-BA76-4415-8C0E-351A4046E94F}"/>
    <cellStyle name="20% - Accent3 2 2 3 2 2 3" xfId="25706" xr:uid="{E521317B-A591-4A91-B220-EA22E90D85F4}"/>
    <cellStyle name="20% - Accent3 2 2 3 2 3" xfId="12190" xr:uid="{D2789C5B-DEE1-4425-A488-861BCC4E3E72}"/>
    <cellStyle name="20% - Accent3 2 2 3 2 4" xfId="21489" xr:uid="{54156DCD-7CEE-4751-8CE9-E36B072EBAD0}"/>
    <cellStyle name="20% - Accent3 2 2 3 3" xfId="4936" xr:uid="{00000000-0005-0000-0000-00005B010000}"/>
    <cellStyle name="20% - Accent3 2 2 3 3 2" xfId="14262" xr:uid="{09389595-F53F-4B01-BEF3-80B14B5A3235}"/>
    <cellStyle name="20% - Accent3 2 2 3 3 3" xfId="23561" xr:uid="{0B630B04-E889-4FB9-ACFB-638288B151A5}"/>
    <cellStyle name="20% - Accent3 2 2 3 4" xfId="9320" xr:uid="{BF070B19-D289-4211-B080-DBB621CAE7BA}"/>
    <cellStyle name="20% - Accent3 2 2 3 4 2" xfId="18635" xr:uid="{621D67D8-EB2C-49E2-B577-DBB558C5C892}"/>
    <cellStyle name="20% - Accent3 2 2 3 4 3" xfId="27932" xr:uid="{13237F35-BAF4-47AC-AE41-D8DF00F96E74}"/>
    <cellStyle name="20% - Accent3 2 2 3 5" xfId="10045" xr:uid="{F3A26509-C1B0-4B3D-A913-9A7337164D2C}"/>
    <cellStyle name="20% - Accent3 2 2 3 6" xfId="19344" xr:uid="{1E12EE36-A363-4B03-81D4-723469B23B6D}"/>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62F8EF98-D9E7-4E3C-80F2-5BE95FF2462F}"/>
    <cellStyle name="20% - Accent3 2 2 4 2 2 3" xfId="26119" xr:uid="{2865136C-2380-4B60-8234-16B4B17A0DDC}"/>
    <cellStyle name="20% - Accent3 2 2 4 2 3" xfId="12603" xr:uid="{74C23755-84C8-42BE-A1A4-C47E17C1FCDE}"/>
    <cellStyle name="20% - Accent3 2 2 4 2 4" xfId="21902" xr:uid="{D97E855D-425C-488B-B3B9-AD6B59567630}"/>
    <cellStyle name="20% - Accent3 2 2 4 3" xfId="5349" xr:uid="{00000000-0005-0000-0000-00005F010000}"/>
    <cellStyle name="20% - Accent3 2 2 4 3 2" xfId="14675" xr:uid="{85104546-9239-4C20-9121-96964E012846}"/>
    <cellStyle name="20% - Accent3 2 2 4 3 3" xfId="23974" xr:uid="{6627882C-4690-4E00-AC21-8F39AE49B271}"/>
    <cellStyle name="20% - Accent3 2 2 4 4" xfId="10458" xr:uid="{06FFB955-693C-46B5-B444-B503F08B947F}"/>
    <cellStyle name="20% - Accent3 2 2 4 5" xfId="19757" xr:uid="{7DB81EE8-F5F6-41B3-8B03-82CC8FAAD85F}"/>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5700B47C-78A7-4B80-AFC4-5E3CDC25F422}"/>
    <cellStyle name="20% - Accent3 2 2 5 2 2 3" xfId="26532" xr:uid="{E1BDC0F2-892D-4ABC-B15A-347BAB0759B6}"/>
    <cellStyle name="20% - Accent3 2 2 5 2 3" xfId="13016" xr:uid="{3CE459BD-780F-4A2F-B7BA-D36369212AAD}"/>
    <cellStyle name="20% - Accent3 2 2 5 2 4" xfId="22315" xr:uid="{C5AA547B-24AA-43D3-8721-1F54B8EF8B32}"/>
    <cellStyle name="20% - Accent3 2 2 5 3" xfId="5762" xr:uid="{00000000-0005-0000-0000-000063010000}"/>
    <cellStyle name="20% - Accent3 2 2 5 3 2" xfId="15088" xr:uid="{57A16AB8-5B85-41FB-ACA4-ECFC14A0ED4C}"/>
    <cellStyle name="20% - Accent3 2 2 5 3 3" xfId="24387" xr:uid="{EA2E3BD4-9C8C-45B6-A352-86D013256AC5}"/>
    <cellStyle name="20% - Accent3 2 2 5 4" xfId="10871" xr:uid="{4D234CFC-2CFE-4E08-BB37-43683E3BDC46}"/>
    <cellStyle name="20% - Accent3 2 2 5 5" xfId="20170" xr:uid="{9AA6A36F-1B7B-43C4-AC30-9938F993C67C}"/>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9B83EE99-FF31-4AEE-9D5C-2AACE6223EBC}"/>
    <cellStyle name="20% - Accent3 2 2 6 2 2 3" xfId="26945" xr:uid="{C8CE29D6-A3A6-408D-A198-5D48E0DBF11C}"/>
    <cellStyle name="20% - Accent3 2 2 6 2 3" xfId="13429" xr:uid="{85707762-DE61-4232-BF34-95EDC55104BA}"/>
    <cellStyle name="20% - Accent3 2 2 6 2 4" xfId="22728" xr:uid="{067C53E9-2AB7-4A64-A1D6-574249C16FB5}"/>
    <cellStyle name="20% - Accent3 2 2 6 3" xfId="6175" xr:uid="{00000000-0005-0000-0000-000067010000}"/>
    <cellStyle name="20% - Accent3 2 2 6 3 2" xfId="15501" xr:uid="{D070EA88-AD43-4E3B-8B85-DB3327ABBF5E}"/>
    <cellStyle name="20% - Accent3 2 2 6 3 3" xfId="24800" xr:uid="{7D130F29-C2D1-456F-9104-30178731E97B}"/>
    <cellStyle name="20% - Accent3 2 2 6 4" xfId="11284" xr:uid="{D9E14191-73A6-4AD4-9A05-F3DA7FD6B05E}"/>
    <cellStyle name="20% - Accent3 2 2 6 5" xfId="20583" xr:uid="{F22470FA-BEAF-4631-9BAD-249291384E05}"/>
    <cellStyle name="20% - Accent3 2 2 7" xfId="2282" xr:uid="{00000000-0005-0000-0000-000068010000}"/>
    <cellStyle name="20% - Accent3 2 2 7 2" xfId="6588" xr:uid="{00000000-0005-0000-0000-000069010000}"/>
    <cellStyle name="20% - Accent3 2 2 7 2 2" xfId="15914" xr:uid="{FCFCC746-ACEA-4485-A431-28ABF01AD924}"/>
    <cellStyle name="20% - Accent3 2 2 7 2 3" xfId="25213" xr:uid="{893B82DF-2A3A-4B54-90AC-5F37B3B896F5}"/>
    <cellStyle name="20% - Accent3 2 2 7 3" xfId="11697" xr:uid="{ED16D5F8-AE07-422B-B44C-98BEF7767C3E}"/>
    <cellStyle name="20% - Accent3 2 2 7 4" xfId="20996" xr:uid="{2256CB50-6EE3-4DFE-8B0F-FE3160E958D9}"/>
    <cellStyle name="20% - Accent3 2 2 8" xfId="4522" xr:uid="{00000000-0005-0000-0000-00006A010000}"/>
    <cellStyle name="20% - Accent3 2 2 8 2" xfId="13848" xr:uid="{1055AB74-B240-4549-8B98-4E3A3ECFD4E8}"/>
    <cellStyle name="20% - Accent3 2 2 8 3" xfId="23147" xr:uid="{00FDC5C8-9F21-430A-B655-92F33B6EEA50}"/>
    <cellStyle name="20% - Accent3 2 2 9" xfId="8895" xr:uid="{0ADDC6BA-FD9D-420D-8F5A-13E0A04BBC7C}"/>
    <cellStyle name="20% - Accent3 2 2 9 2" xfId="18219" xr:uid="{1C967203-C55C-4758-AD25-44A486DB42A9}"/>
    <cellStyle name="20% - Accent3 2 2 9 3" xfId="27517" xr:uid="{A1F3DDCE-4385-4864-B425-2716CD715CAC}"/>
    <cellStyle name="20% - Accent3 2 3" xfId="21" xr:uid="{00000000-0005-0000-0000-00006B010000}"/>
    <cellStyle name="20% - Accent3 2 3 10" xfId="18932" xr:uid="{FD04AFE4-43DD-46A8-A759-A8A36D6EBD5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25DB389B-48BA-4072-99F4-4D10ECD16FEE}"/>
    <cellStyle name="20% - Accent3 2 3 2 2 2 3" xfId="25708" xr:uid="{4F5342C7-06A6-44B3-9FB9-BAE9F578BC4F}"/>
    <cellStyle name="20% - Accent3 2 3 2 2 3" xfId="12192" xr:uid="{BB46020B-B7AE-4B0F-9388-0235B6CFF4B3}"/>
    <cellStyle name="20% - Accent3 2 3 2 2 4" xfId="21491" xr:uid="{DCD2AEB1-1DEC-4740-A606-27DA3AB331C2}"/>
    <cellStyle name="20% - Accent3 2 3 2 3" xfId="4938" xr:uid="{00000000-0005-0000-0000-00006F010000}"/>
    <cellStyle name="20% - Accent3 2 3 2 3 2" xfId="14264" xr:uid="{DE123BF2-51B1-461C-9666-0C2F16A7A6BA}"/>
    <cellStyle name="20% - Accent3 2 3 2 3 3" xfId="23563" xr:uid="{4223073A-FE7A-4429-BC27-8F459FD4DB08}"/>
    <cellStyle name="20% - Accent3 2 3 2 4" xfId="9424" xr:uid="{C3588D98-6F24-4F2C-9F96-F34501405613}"/>
    <cellStyle name="20% - Accent3 2 3 2 4 2" xfId="18739" xr:uid="{6ED872F7-1B7B-46B2-BE03-A2141EE82E24}"/>
    <cellStyle name="20% - Accent3 2 3 2 4 3" xfId="28036" xr:uid="{D183C6F2-103F-4425-9E0D-6EF83786FF88}"/>
    <cellStyle name="20% - Accent3 2 3 2 5" xfId="10047" xr:uid="{94563F3A-BCE0-4DEA-B531-32E1D7A4062D}"/>
    <cellStyle name="20% - Accent3 2 3 2 6" xfId="19346" xr:uid="{187772A1-82C5-4FED-A4AB-A7BA576D2FB7}"/>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7DCBE02D-1B68-4910-9236-9DA57D0C7F2E}"/>
    <cellStyle name="20% - Accent3 2 3 3 2 2 3" xfId="26121" xr:uid="{7233F620-C958-414B-A1B0-D3D4B71D3A17}"/>
    <cellStyle name="20% - Accent3 2 3 3 2 3" xfId="12605" xr:uid="{54D62806-EA07-4DD4-9FD9-395B3FCB2C86}"/>
    <cellStyle name="20% - Accent3 2 3 3 2 4" xfId="21904" xr:uid="{605D4B98-18AC-439A-B7FD-346D8B9B9A9A}"/>
    <cellStyle name="20% - Accent3 2 3 3 3" xfId="5351" xr:uid="{00000000-0005-0000-0000-000073010000}"/>
    <cellStyle name="20% - Accent3 2 3 3 3 2" xfId="14677" xr:uid="{84DD2511-3CA9-4E56-9AFE-E4DED11CC4AB}"/>
    <cellStyle name="20% - Accent3 2 3 3 3 3" xfId="23976" xr:uid="{27FF217A-73B9-4BFC-847B-9D0668A5B081}"/>
    <cellStyle name="20% - Accent3 2 3 3 4" xfId="10460" xr:uid="{0B517BB8-5BC0-4564-8D88-9C73E439C7E2}"/>
    <cellStyle name="20% - Accent3 2 3 3 5" xfId="19759" xr:uid="{694AE385-940B-480E-A87A-B3BBE7BCEAF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37F42599-46B3-45E8-A06A-72880B057AE1}"/>
    <cellStyle name="20% - Accent3 2 3 4 2 2 3" xfId="26534" xr:uid="{114EB4DF-3B6E-4D4A-9056-F56250EA12F0}"/>
    <cellStyle name="20% - Accent3 2 3 4 2 3" xfId="13018" xr:uid="{4F882E37-E37D-4AC3-B7D0-A5494BA884B5}"/>
    <cellStyle name="20% - Accent3 2 3 4 2 4" xfId="22317" xr:uid="{E212FD93-B0ED-4437-97AB-2196F68CBE2C}"/>
    <cellStyle name="20% - Accent3 2 3 4 3" xfId="5764" xr:uid="{00000000-0005-0000-0000-000077010000}"/>
    <cellStyle name="20% - Accent3 2 3 4 3 2" xfId="15090" xr:uid="{A62721D8-565D-40CC-A841-FB7D20479152}"/>
    <cellStyle name="20% - Accent3 2 3 4 3 3" xfId="24389" xr:uid="{535F87B2-A3C0-4CAA-958C-34181CE9CAB1}"/>
    <cellStyle name="20% - Accent3 2 3 4 4" xfId="10873" xr:uid="{9E0710F9-CACD-459B-9C9A-CA9481761B4E}"/>
    <cellStyle name="20% - Accent3 2 3 4 5" xfId="20172" xr:uid="{50ABCAAF-B973-486D-93BF-704EE1CC608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13A9DBD3-45E2-4439-8AA1-A1B4C1B3840C}"/>
    <cellStyle name="20% - Accent3 2 3 5 2 2 3" xfId="26947" xr:uid="{FC4CAAA2-BD1F-44BB-911D-6D6F4006839F}"/>
    <cellStyle name="20% - Accent3 2 3 5 2 3" xfId="13431" xr:uid="{9FC6BFC9-0BD7-4A05-AFE9-0CB736547CE3}"/>
    <cellStyle name="20% - Accent3 2 3 5 2 4" xfId="22730" xr:uid="{30E097A4-8682-468F-BBBE-86E1C7D5DB25}"/>
    <cellStyle name="20% - Accent3 2 3 5 3" xfId="6177" xr:uid="{00000000-0005-0000-0000-00007B010000}"/>
    <cellStyle name="20% - Accent3 2 3 5 3 2" xfId="15503" xr:uid="{9C6B7017-71D5-4D76-BF7D-74451C8D599D}"/>
    <cellStyle name="20% - Accent3 2 3 5 3 3" xfId="24802" xr:uid="{ECEE95D6-5AA8-4274-A3D2-5114F521A34A}"/>
    <cellStyle name="20% - Accent3 2 3 5 4" xfId="11286" xr:uid="{850DF4AF-629D-4E3E-9EDD-442EDC73A31C}"/>
    <cellStyle name="20% - Accent3 2 3 5 5" xfId="20585" xr:uid="{2F070110-7D4C-406A-817E-F020FA69C67E}"/>
    <cellStyle name="20% - Accent3 2 3 6" xfId="2284" xr:uid="{00000000-0005-0000-0000-00007C010000}"/>
    <cellStyle name="20% - Accent3 2 3 6 2" xfId="6590" xr:uid="{00000000-0005-0000-0000-00007D010000}"/>
    <cellStyle name="20% - Accent3 2 3 6 2 2" xfId="15916" xr:uid="{9FEEEA2E-7E0B-4A26-85C4-F3A0A4235B41}"/>
    <cellStyle name="20% - Accent3 2 3 6 2 3" xfId="25215" xr:uid="{171E64E7-29D9-4C85-95A8-2EAEB8FCBC5D}"/>
    <cellStyle name="20% - Accent3 2 3 6 3" xfId="11699" xr:uid="{C4E5303D-DE27-49B4-9AF4-0CB6115463E2}"/>
    <cellStyle name="20% - Accent3 2 3 6 4" xfId="20998" xr:uid="{436E995F-1B1C-4839-8B00-6EF9C6054BC6}"/>
    <cellStyle name="20% - Accent3 2 3 7" xfId="4524" xr:uid="{00000000-0005-0000-0000-00007E010000}"/>
    <cellStyle name="20% - Accent3 2 3 7 2" xfId="13850" xr:uid="{83F5A87F-3795-4372-AE1C-92E9412ACD75}"/>
    <cellStyle name="20% - Accent3 2 3 7 3" xfId="23149" xr:uid="{AFCED5E7-51D0-4144-A515-5F5E73CA8A15}"/>
    <cellStyle name="20% - Accent3 2 3 8" xfId="8999" xr:uid="{2B5D0148-B6EA-4DEA-92B1-644886C27051}"/>
    <cellStyle name="20% - Accent3 2 3 8 2" xfId="18323" xr:uid="{E24095BF-CD0D-477B-98F4-97629004EBA1}"/>
    <cellStyle name="20% - Accent3 2 3 8 3" xfId="27621" xr:uid="{7CE54143-8ADE-4EC3-B6D0-D0CFD4D92FD4}"/>
    <cellStyle name="20% - Accent3 2 3 9" xfId="9633" xr:uid="{9EA33339-0E4B-4001-A9F5-8712E4F65B61}"/>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CA5D15F9-C2E5-4825-9721-D183AA59A8AC}"/>
    <cellStyle name="20% - Accent3 2 4 2 2 3" xfId="25705" xr:uid="{4F5266F8-F68B-40FB-88C4-80BE4B10559E}"/>
    <cellStyle name="20% - Accent3 2 4 2 3" xfId="12189" xr:uid="{99C8F883-F2F9-4607-804E-C15D88883388}"/>
    <cellStyle name="20% - Accent3 2 4 2 4" xfId="21488" xr:uid="{CBFA181F-D648-4731-8C2C-C0C576921810}"/>
    <cellStyle name="20% - Accent3 2 4 3" xfId="4935" xr:uid="{00000000-0005-0000-0000-000082010000}"/>
    <cellStyle name="20% - Accent3 2 4 3 2" xfId="14261" xr:uid="{A9FFA436-E2CB-47D2-A8D6-7BBA3B2282B7}"/>
    <cellStyle name="20% - Accent3 2 4 3 3" xfId="23560" xr:uid="{F5B4A826-784A-4C0D-8C91-BBAC012900F4}"/>
    <cellStyle name="20% - Accent3 2 4 4" xfId="9216" xr:uid="{A12C3877-5492-4CD3-AD22-81B3F0AB1EDD}"/>
    <cellStyle name="20% - Accent3 2 4 4 2" xfId="18532" xr:uid="{D96F5C30-9C19-44D8-92FA-08AE0649DAF8}"/>
    <cellStyle name="20% - Accent3 2 4 4 3" xfId="27829" xr:uid="{6435EF93-DB28-432E-A338-94484149090C}"/>
    <cellStyle name="20% - Accent3 2 4 5" xfId="10044" xr:uid="{B107CFB5-E67A-46DB-8378-6270D7C52671}"/>
    <cellStyle name="20% - Accent3 2 4 6" xfId="19343" xr:uid="{E8770328-9D96-4784-9DDD-02175229BEA6}"/>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4C3D7D90-75EB-428D-9CCC-2F444D63CB26}"/>
    <cellStyle name="20% - Accent3 2 5 2 2 3" xfId="26118" xr:uid="{668E6747-1A5B-467D-8987-F1618F005D00}"/>
    <cellStyle name="20% - Accent3 2 5 2 3" xfId="12602" xr:uid="{7C202D1B-C0C9-42DB-A773-0383A4337AFF}"/>
    <cellStyle name="20% - Accent3 2 5 2 4" xfId="21901" xr:uid="{1328CDFC-F21F-4157-AB0D-F504102E6FE2}"/>
    <cellStyle name="20% - Accent3 2 5 3" xfId="5348" xr:uid="{00000000-0005-0000-0000-000086010000}"/>
    <cellStyle name="20% - Accent3 2 5 3 2" xfId="14674" xr:uid="{8D4A43DD-8A8A-421D-A3E3-D1CBEFA08B59}"/>
    <cellStyle name="20% - Accent3 2 5 3 3" xfId="23973" xr:uid="{D7AEF877-B4AD-4EBA-9DB6-23A0D02B0639}"/>
    <cellStyle name="20% - Accent3 2 5 4" xfId="10457" xr:uid="{66D10554-75DF-4C04-ABB6-598DE08DB391}"/>
    <cellStyle name="20% - Accent3 2 5 5" xfId="19756" xr:uid="{747C73CE-3D4A-422D-8FE8-0E7E693AB7D6}"/>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37EC7F54-CBFC-467D-A29D-810DC27A9AD8}"/>
    <cellStyle name="20% - Accent3 2 6 2 2 3" xfId="26531" xr:uid="{562E3473-0155-4942-A1F3-1171464CCC19}"/>
    <cellStyle name="20% - Accent3 2 6 2 3" xfId="13015" xr:uid="{B3A3DF4E-C1FD-45EA-993A-7E4561C5DE91}"/>
    <cellStyle name="20% - Accent3 2 6 2 4" xfId="22314" xr:uid="{FE8DAED8-3AB2-49B2-AB64-D79D10A21851}"/>
    <cellStyle name="20% - Accent3 2 6 3" xfId="5761" xr:uid="{00000000-0005-0000-0000-00008A010000}"/>
    <cellStyle name="20% - Accent3 2 6 3 2" xfId="15087" xr:uid="{654CC71E-454E-41C4-8F37-097383150FF1}"/>
    <cellStyle name="20% - Accent3 2 6 3 3" xfId="24386" xr:uid="{BD933061-41EC-4E84-8AA1-75B53FA84A67}"/>
    <cellStyle name="20% - Accent3 2 6 4" xfId="10870" xr:uid="{E8AC1465-15D8-48D3-9A7C-5C64315A8913}"/>
    <cellStyle name="20% - Accent3 2 6 5" xfId="20169" xr:uid="{F5581E08-134F-4EB8-AFAB-70DDA932E5E8}"/>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6273E2D0-D886-41EC-ACE4-D7073EC01F87}"/>
    <cellStyle name="20% - Accent3 2 7 2 2 3" xfId="26944" xr:uid="{EE33EF59-C64F-43EA-BFB0-98EAC035DBE8}"/>
    <cellStyle name="20% - Accent3 2 7 2 3" xfId="13428" xr:uid="{517EF7F0-9C6D-4B39-B075-B436B3A77356}"/>
    <cellStyle name="20% - Accent3 2 7 2 4" xfId="22727" xr:uid="{92B3008E-5B17-483C-AB21-9606469D0DAA}"/>
    <cellStyle name="20% - Accent3 2 7 3" xfId="6174" xr:uid="{00000000-0005-0000-0000-00008E010000}"/>
    <cellStyle name="20% - Accent3 2 7 3 2" xfId="15500" xr:uid="{34409349-3A5A-41B5-AE3C-55A76D343D73}"/>
    <cellStyle name="20% - Accent3 2 7 3 3" xfId="24799" xr:uid="{06D664C3-5113-4BFE-B670-8CDADC29BA77}"/>
    <cellStyle name="20% - Accent3 2 7 4" xfId="11283" xr:uid="{C717D8D3-0AA6-465C-87FE-248C765ACBD7}"/>
    <cellStyle name="20% - Accent3 2 7 5" xfId="20582" xr:uid="{486E6BF8-C9F4-42DE-8C9F-5E15D1492371}"/>
    <cellStyle name="20% - Accent3 2 8" xfId="2281" xr:uid="{00000000-0005-0000-0000-00008F010000}"/>
    <cellStyle name="20% - Accent3 2 8 2" xfId="6587" xr:uid="{00000000-0005-0000-0000-000090010000}"/>
    <cellStyle name="20% - Accent3 2 8 2 2" xfId="15913" xr:uid="{51CF05A0-466C-49E2-9515-C9C9E17E8BF1}"/>
    <cellStyle name="20% - Accent3 2 8 2 3" xfId="25212" xr:uid="{67643A3D-19FC-485C-AA25-F1B51D624045}"/>
    <cellStyle name="20% - Accent3 2 8 3" xfId="11696" xr:uid="{D4414D4E-70EC-4A3B-848A-EE36FC066172}"/>
    <cellStyle name="20% - Accent3 2 8 4" xfId="20995" xr:uid="{A15869A7-6F86-4E49-8041-1B331D69A2DA}"/>
    <cellStyle name="20% - Accent3 2 9" xfId="4521" xr:uid="{00000000-0005-0000-0000-000091010000}"/>
    <cellStyle name="20% - Accent3 2 9 2" xfId="13847" xr:uid="{5E554FAF-ED39-4B3B-B234-AE02416A9124}"/>
    <cellStyle name="20% - Accent3 2 9 3" xfId="23146" xr:uid="{0CF26EA8-4043-4691-93E3-2480911AFFBF}"/>
    <cellStyle name="20% - Accent3 3" xfId="22" xr:uid="{00000000-0005-0000-0000-000092010000}"/>
    <cellStyle name="20% - Accent3 3 10" xfId="9634" xr:uid="{17C9CFDD-BC65-4556-8819-5E3844F5FFBC}"/>
    <cellStyle name="20% - Accent3 3 11" xfId="18933" xr:uid="{90B12B5D-9CD1-4684-A13B-AF299A0F9538}"/>
    <cellStyle name="20% - Accent3 3 2" xfId="23" xr:uid="{00000000-0005-0000-0000-000093010000}"/>
    <cellStyle name="20% - Accent3 3 2 10" xfId="18934" xr:uid="{197826A4-DB47-4207-840D-6C6C03DB2C86}"/>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295B27E5-48C2-4C51-8805-9D21BA3B2CFF}"/>
    <cellStyle name="20% - Accent3 3 2 2 2 2 3" xfId="25710" xr:uid="{78334260-ED64-4110-AF9B-2B978DB1F9DC}"/>
    <cellStyle name="20% - Accent3 3 2 2 2 3" xfId="12194" xr:uid="{4503A4F8-F82F-46DF-BC5E-A704A225A83E}"/>
    <cellStyle name="20% - Accent3 3 2 2 2 4" xfId="21493" xr:uid="{0C4AEF55-4EE1-4B1A-8364-4469B31F8C69}"/>
    <cellStyle name="20% - Accent3 3 2 2 3" xfId="4940" xr:uid="{00000000-0005-0000-0000-000097010000}"/>
    <cellStyle name="20% - Accent3 3 2 2 3 2" xfId="14266" xr:uid="{52EB7AA8-AA34-4531-AF39-F2639E3CCC09}"/>
    <cellStyle name="20% - Accent3 3 2 2 3 3" xfId="23565" xr:uid="{E18E94D8-288E-495C-9978-24B486FE1769}"/>
    <cellStyle name="20% - Accent3 3 2 2 4" xfId="9497" xr:uid="{43A0E151-F418-49A1-AF18-121DEB02B6D4}"/>
    <cellStyle name="20% - Accent3 3 2 2 4 2" xfId="18812" xr:uid="{D4EA5A54-7CF3-4C69-ABBE-0A57D00EFA04}"/>
    <cellStyle name="20% - Accent3 3 2 2 4 3" xfId="28109" xr:uid="{D1A354D0-B742-4123-8FC3-61AB262D3E0C}"/>
    <cellStyle name="20% - Accent3 3 2 2 5" xfId="10049" xr:uid="{17A4F471-296B-4FB8-9820-7FF60CF1509D}"/>
    <cellStyle name="20% - Accent3 3 2 2 6" xfId="19348" xr:uid="{798366BD-55E7-4C3F-9077-8E246D9379D2}"/>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BA23BD67-0A8D-45DF-9D36-A92DEE5CC3F4}"/>
    <cellStyle name="20% - Accent3 3 2 3 2 2 3" xfId="26123" xr:uid="{DE926CF2-17AE-4FB4-B8BA-3DB0A213D00F}"/>
    <cellStyle name="20% - Accent3 3 2 3 2 3" xfId="12607" xr:uid="{509C8F9A-FFDB-49A0-9465-D9CB07450259}"/>
    <cellStyle name="20% - Accent3 3 2 3 2 4" xfId="21906" xr:uid="{49CDDD0E-2CA5-423B-99F4-9EB59E9C03F1}"/>
    <cellStyle name="20% - Accent3 3 2 3 3" xfId="5353" xr:uid="{00000000-0005-0000-0000-00009B010000}"/>
    <cellStyle name="20% - Accent3 3 2 3 3 2" xfId="14679" xr:uid="{238021CD-941D-43BA-A153-F6634909C126}"/>
    <cellStyle name="20% - Accent3 3 2 3 3 3" xfId="23978" xr:uid="{AF481CA8-9D24-42EA-8C0C-5F6E6A2AA889}"/>
    <cellStyle name="20% - Accent3 3 2 3 4" xfId="10462" xr:uid="{B49B5210-1771-4903-9137-A8F711F55482}"/>
    <cellStyle name="20% - Accent3 3 2 3 5" xfId="19761" xr:uid="{1C8AF0E1-9BF7-429C-89F9-D2F8985DCA08}"/>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E8C9461A-9CEA-428A-8408-7DDB19098905}"/>
    <cellStyle name="20% - Accent3 3 2 4 2 2 3" xfId="26536" xr:uid="{FC5BF7FE-1D28-4FFA-B725-8A7F75583533}"/>
    <cellStyle name="20% - Accent3 3 2 4 2 3" xfId="13020" xr:uid="{03DB295E-6F3E-4994-8939-E5572BB8DAA9}"/>
    <cellStyle name="20% - Accent3 3 2 4 2 4" xfId="22319" xr:uid="{F92246E6-9DA2-4CE2-8D20-3610F8D0032D}"/>
    <cellStyle name="20% - Accent3 3 2 4 3" xfId="5766" xr:uid="{00000000-0005-0000-0000-00009F010000}"/>
    <cellStyle name="20% - Accent3 3 2 4 3 2" xfId="15092" xr:uid="{8536781A-A5DD-41D1-B912-78B23A09E5AA}"/>
    <cellStyle name="20% - Accent3 3 2 4 3 3" xfId="24391" xr:uid="{2334B88D-BA00-493D-8034-0BFAFA013E36}"/>
    <cellStyle name="20% - Accent3 3 2 4 4" xfId="10875" xr:uid="{99C21C4C-9C93-417F-861A-4C788BD7E9FB}"/>
    <cellStyle name="20% - Accent3 3 2 4 5" xfId="20174" xr:uid="{8A2DFDDE-E5C6-45BA-B0E8-C01225936702}"/>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32F2D48B-F231-478B-82B3-1551CEF0AB4D}"/>
    <cellStyle name="20% - Accent3 3 2 5 2 2 3" xfId="26949" xr:uid="{D77E29BD-C072-42F4-B4A5-5BDBDCB9630B}"/>
    <cellStyle name="20% - Accent3 3 2 5 2 3" xfId="13433" xr:uid="{503288B7-BF4F-42EA-9728-FF1A1285D812}"/>
    <cellStyle name="20% - Accent3 3 2 5 2 4" xfId="22732" xr:uid="{995E2991-A3F3-4A3F-AAA0-2E7A77BA9242}"/>
    <cellStyle name="20% - Accent3 3 2 5 3" xfId="6179" xr:uid="{00000000-0005-0000-0000-0000A3010000}"/>
    <cellStyle name="20% - Accent3 3 2 5 3 2" xfId="15505" xr:uid="{0B0FEB05-1ACF-4B47-B8D5-FA2F832A16CE}"/>
    <cellStyle name="20% - Accent3 3 2 5 3 3" xfId="24804" xr:uid="{C93096E3-F095-4091-A668-5850AD4EA89A}"/>
    <cellStyle name="20% - Accent3 3 2 5 4" xfId="11288" xr:uid="{637A6D0E-395E-436F-AEDF-B102DF772461}"/>
    <cellStyle name="20% - Accent3 3 2 5 5" xfId="20587" xr:uid="{E88EFADE-4D6C-481B-A3EA-3D5BB9CAB06B}"/>
    <cellStyle name="20% - Accent3 3 2 6" xfId="2286" xr:uid="{00000000-0005-0000-0000-0000A4010000}"/>
    <cellStyle name="20% - Accent3 3 2 6 2" xfId="6592" xr:uid="{00000000-0005-0000-0000-0000A5010000}"/>
    <cellStyle name="20% - Accent3 3 2 6 2 2" xfId="15918" xr:uid="{DCDC43DF-BACA-45E9-B829-F5A0274A1547}"/>
    <cellStyle name="20% - Accent3 3 2 6 2 3" xfId="25217" xr:uid="{052B672C-A8DF-4354-BE2E-BC2BD58B0AC5}"/>
    <cellStyle name="20% - Accent3 3 2 6 3" xfId="11701" xr:uid="{C13E615C-CE34-4A1F-88E1-5CB2EA2AF7E9}"/>
    <cellStyle name="20% - Accent3 3 2 6 4" xfId="21000" xr:uid="{BDF5CC14-181E-411B-B439-D53E123B7339}"/>
    <cellStyle name="20% - Accent3 3 2 7" xfId="4526" xr:uid="{00000000-0005-0000-0000-0000A6010000}"/>
    <cellStyle name="20% - Accent3 3 2 7 2" xfId="13852" xr:uid="{73DFF7D2-5655-4073-B3D7-85D593AE0222}"/>
    <cellStyle name="20% - Accent3 3 2 7 3" xfId="23151" xr:uid="{3A289DA9-291A-4151-AD28-ED8F7A2D6D51}"/>
    <cellStyle name="20% - Accent3 3 2 8" xfId="9072" xr:uid="{422EC144-F6F8-460E-8B93-316BBF9707FB}"/>
    <cellStyle name="20% - Accent3 3 2 8 2" xfId="18396" xr:uid="{033F1FA7-1CD2-49A5-A41F-79BDFAAE4DB7}"/>
    <cellStyle name="20% - Accent3 3 2 8 3" xfId="27694" xr:uid="{92495BAF-F913-45F8-9819-B47AB1E6E63C}"/>
    <cellStyle name="20% - Accent3 3 2 9" xfId="9635" xr:uid="{63541525-E52E-4F60-AF0D-4EF92209D202}"/>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11406401-7D72-4339-BEB8-5F72C8067737}"/>
    <cellStyle name="20% - Accent3 3 3 2 2 3" xfId="25709" xr:uid="{8DB30DB8-80FE-4789-B851-AF15D0110BE1}"/>
    <cellStyle name="20% - Accent3 3 3 2 3" xfId="12193" xr:uid="{62A1B153-6C82-4A17-98DF-9A4469CFEDBD}"/>
    <cellStyle name="20% - Accent3 3 3 2 4" xfId="21492" xr:uid="{856759A8-C300-41D8-95DA-7D74AC670913}"/>
    <cellStyle name="20% - Accent3 3 3 3" xfId="4939" xr:uid="{00000000-0005-0000-0000-0000AA010000}"/>
    <cellStyle name="20% - Accent3 3 3 3 2" xfId="14265" xr:uid="{74476DD6-ABFD-40EB-99C2-99309EDA6F38}"/>
    <cellStyle name="20% - Accent3 3 3 3 3" xfId="23564" xr:uid="{2EFB4A20-7FD4-4F79-92A3-C5B80A188B6D}"/>
    <cellStyle name="20% - Accent3 3 3 4" xfId="9290" xr:uid="{8511D0A3-BAF4-4D49-BFEA-2ED828678819}"/>
    <cellStyle name="20% - Accent3 3 3 4 2" xfId="18605" xr:uid="{013D0955-F150-4210-961D-C7A44CCAC607}"/>
    <cellStyle name="20% - Accent3 3 3 4 3" xfId="27902" xr:uid="{F4EC570F-BE4F-43EA-816C-A0B9CFEE810C}"/>
    <cellStyle name="20% - Accent3 3 3 5" xfId="10048" xr:uid="{7CA753DB-1724-4991-AA87-4811FEBF2F6E}"/>
    <cellStyle name="20% - Accent3 3 3 6" xfId="19347" xr:uid="{6EBCEDBC-8E55-407C-B8DB-1EFFD82C75D5}"/>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2380B47D-89E4-4564-9F55-E49F1D5F1071}"/>
    <cellStyle name="20% - Accent3 3 4 2 2 3" xfId="26122" xr:uid="{69B152CA-98C4-47EB-B2A3-3C8ECCCCC27B}"/>
    <cellStyle name="20% - Accent3 3 4 2 3" xfId="12606" xr:uid="{FEB0FD13-3B43-4914-9545-E8E4B3672B42}"/>
    <cellStyle name="20% - Accent3 3 4 2 4" xfId="21905" xr:uid="{2B41CD96-7AC7-4B4D-977A-1A4B547E97B4}"/>
    <cellStyle name="20% - Accent3 3 4 3" xfId="5352" xr:uid="{00000000-0005-0000-0000-0000AE010000}"/>
    <cellStyle name="20% - Accent3 3 4 3 2" xfId="14678" xr:uid="{8286A57A-FD6F-4A8A-BB83-4710E59CA9A5}"/>
    <cellStyle name="20% - Accent3 3 4 3 3" xfId="23977" xr:uid="{ACC0ED79-6D42-4AFA-9EF2-C1E4275B8B64}"/>
    <cellStyle name="20% - Accent3 3 4 4" xfId="10461" xr:uid="{E94296AA-55E6-415B-AC1A-45D4A8116BED}"/>
    <cellStyle name="20% - Accent3 3 4 5" xfId="19760" xr:uid="{7933F3E7-1E9B-4DCD-9107-F24E81A089FE}"/>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8C4033F9-692B-4402-AE0B-42CA9E2811AB}"/>
    <cellStyle name="20% - Accent3 3 5 2 2 3" xfId="26535" xr:uid="{EF1CE276-33BB-4E88-999A-27A38A4B9CED}"/>
    <cellStyle name="20% - Accent3 3 5 2 3" xfId="13019" xr:uid="{931769FE-9CAD-48A5-91FA-0859918D1D40}"/>
    <cellStyle name="20% - Accent3 3 5 2 4" xfId="22318" xr:uid="{BF7A67D7-8DF9-46F2-A9A7-B5CD859EDC36}"/>
    <cellStyle name="20% - Accent3 3 5 3" xfId="5765" xr:uid="{00000000-0005-0000-0000-0000B2010000}"/>
    <cellStyle name="20% - Accent3 3 5 3 2" xfId="15091" xr:uid="{01293D9C-B222-4E18-99CD-7FAAB441237F}"/>
    <cellStyle name="20% - Accent3 3 5 3 3" xfId="24390" xr:uid="{2F026937-A08F-418C-9DF2-449396910887}"/>
    <cellStyle name="20% - Accent3 3 5 4" xfId="10874" xr:uid="{799B4E64-27CC-49DA-A55B-9A929F1D8642}"/>
    <cellStyle name="20% - Accent3 3 5 5" xfId="20173" xr:uid="{D836C77A-F3CA-4775-B0B3-BF8E2EFA14D3}"/>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E31947D7-BA86-47A8-875D-4548712E67CC}"/>
    <cellStyle name="20% - Accent3 3 6 2 2 3" xfId="26948" xr:uid="{92DE2A82-317E-4E5A-A95C-921FFEB89048}"/>
    <cellStyle name="20% - Accent3 3 6 2 3" xfId="13432" xr:uid="{8938D167-9831-47B3-81ED-35151174E4B5}"/>
    <cellStyle name="20% - Accent3 3 6 2 4" xfId="22731" xr:uid="{29D8EB18-CC81-4138-8C0C-5B2EC8E1E61B}"/>
    <cellStyle name="20% - Accent3 3 6 3" xfId="6178" xr:uid="{00000000-0005-0000-0000-0000B6010000}"/>
    <cellStyle name="20% - Accent3 3 6 3 2" xfId="15504" xr:uid="{C6859D9D-D736-4BBC-94FC-08ABFB60FE5F}"/>
    <cellStyle name="20% - Accent3 3 6 3 3" xfId="24803" xr:uid="{A65CBE99-BE07-42B9-9BC2-A09A81C24956}"/>
    <cellStyle name="20% - Accent3 3 6 4" xfId="11287" xr:uid="{D057379B-6455-4F06-8F75-17F69902866F}"/>
    <cellStyle name="20% - Accent3 3 6 5" xfId="20586" xr:uid="{6BAA12AC-A4A8-4EB4-BBA6-464265A91BD3}"/>
    <cellStyle name="20% - Accent3 3 7" xfId="2285" xr:uid="{00000000-0005-0000-0000-0000B7010000}"/>
    <cellStyle name="20% - Accent3 3 7 2" xfId="6591" xr:uid="{00000000-0005-0000-0000-0000B8010000}"/>
    <cellStyle name="20% - Accent3 3 7 2 2" xfId="15917" xr:uid="{620B19BB-06E4-42CC-BD45-D429740A3BE1}"/>
    <cellStyle name="20% - Accent3 3 7 2 3" xfId="25216" xr:uid="{0D1669A1-F287-4D28-B8BA-0E79F1AC4222}"/>
    <cellStyle name="20% - Accent3 3 7 3" xfId="11700" xr:uid="{1AED37AE-E7E7-41C8-B000-678D4B5061A9}"/>
    <cellStyle name="20% - Accent3 3 7 4" xfId="20999" xr:uid="{67BB01E8-541B-49E2-BF12-8721A9FFDAF2}"/>
    <cellStyle name="20% - Accent3 3 8" xfId="4525" xr:uid="{00000000-0005-0000-0000-0000B9010000}"/>
    <cellStyle name="20% - Accent3 3 8 2" xfId="13851" xr:uid="{FB739A6D-EB2E-421C-A41B-32CA6DD4ACE8}"/>
    <cellStyle name="20% - Accent3 3 8 3" xfId="23150" xr:uid="{477A5C49-CBEA-4734-8428-6B86DDD6103D}"/>
    <cellStyle name="20% - Accent3 3 9" xfId="8865" xr:uid="{FFA3EBA3-F40D-47A2-8AA1-A3A9E7BB9A8E}"/>
    <cellStyle name="20% - Accent3 3 9 2" xfId="18189" xr:uid="{AC72CA8B-E13D-4CE0-AA3D-1F7D6A7B2218}"/>
    <cellStyle name="20% - Accent3 3 9 3" xfId="27487" xr:uid="{F0DC71FB-3553-4DDB-A1E6-9D2831AE71E9}"/>
    <cellStyle name="20% - Accent3 4" xfId="24" xr:uid="{00000000-0005-0000-0000-0000BA010000}"/>
    <cellStyle name="20% - Accent3 4 10" xfId="18935" xr:uid="{FDE5DD7F-DA96-4861-9A99-E212A676A1B6}"/>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61021C60-7BD1-4E3E-AC44-0ED77D001FF9}"/>
    <cellStyle name="20% - Accent3 4 2 2 2 3" xfId="25711" xr:uid="{06C04390-7C2E-4CC0-BCD9-0EA5DA6DC196}"/>
    <cellStyle name="20% - Accent3 4 2 2 3" xfId="12195" xr:uid="{3E3BBD1A-5374-439A-941B-111A2A6EB4EE}"/>
    <cellStyle name="20% - Accent3 4 2 2 4" xfId="21494" xr:uid="{8DF715A2-99C9-4BF7-BB81-9AC2CFDB350B}"/>
    <cellStyle name="20% - Accent3 4 2 3" xfId="4941" xr:uid="{00000000-0005-0000-0000-0000BE010000}"/>
    <cellStyle name="20% - Accent3 4 2 3 2" xfId="14267" xr:uid="{3FE5E15B-E123-4710-A474-77FE16B823FC}"/>
    <cellStyle name="20% - Accent3 4 2 3 3" xfId="23566" xr:uid="{B82F032C-DFE8-40D4-9983-F24482FFAD7A}"/>
    <cellStyle name="20% - Accent3 4 2 4" xfId="9376" xr:uid="{92AC27CA-0B0B-4AFE-8457-D3F19BE2837F}"/>
    <cellStyle name="20% - Accent3 4 2 4 2" xfId="18691" xr:uid="{30C203C4-DF0D-4289-83DF-971BD4A75A3D}"/>
    <cellStyle name="20% - Accent3 4 2 4 3" xfId="27988" xr:uid="{522ECACF-4115-48CD-AF2D-F99B2B5FAA8B}"/>
    <cellStyle name="20% - Accent3 4 2 5" xfId="10050" xr:uid="{37E25D67-4895-4393-A2C6-BA381BA965E0}"/>
    <cellStyle name="20% - Accent3 4 2 6" xfId="19349" xr:uid="{AD281762-A83C-4BA0-B015-32F891C1908B}"/>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C8110B59-9F2D-4E7E-8CAE-5E8AB50452CE}"/>
    <cellStyle name="20% - Accent3 4 3 2 2 3" xfId="26124" xr:uid="{E77FA7FB-A158-4E68-810E-952EFA237853}"/>
    <cellStyle name="20% - Accent3 4 3 2 3" xfId="12608" xr:uid="{80DCB247-D93B-4E3F-B9E1-BA3FAE531C21}"/>
    <cellStyle name="20% - Accent3 4 3 2 4" xfId="21907" xr:uid="{98E9C631-8248-483A-B658-406BE7385FAA}"/>
    <cellStyle name="20% - Accent3 4 3 3" xfId="5354" xr:uid="{00000000-0005-0000-0000-0000C2010000}"/>
    <cellStyle name="20% - Accent3 4 3 3 2" xfId="14680" xr:uid="{D969E70F-B5A3-4408-9D25-0D1CC60E83B6}"/>
    <cellStyle name="20% - Accent3 4 3 3 3" xfId="23979" xr:uid="{4BCB7EF9-2A25-4640-B3F4-0EF24EE64852}"/>
    <cellStyle name="20% - Accent3 4 3 4" xfId="10463" xr:uid="{57D3CF40-D58B-41B0-9EFA-173105028CD8}"/>
    <cellStyle name="20% - Accent3 4 3 5" xfId="19762" xr:uid="{BB8E12CB-5CF7-40DE-90E3-18405FF3B099}"/>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F92AEE14-6A6A-470F-81BA-1FAA1BF440D6}"/>
    <cellStyle name="20% - Accent3 4 4 2 2 3" xfId="26537" xr:uid="{2023B5CD-4FF7-4C71-86D0-DE7E91B02177}"/>
    <cellStyle name="20% - Accent3 4 4 2 3" xfId="13021" xr:uid="{B7A863C1-2760-434D-9554-15BAFA9ACCD4}"/>
    <cellStyle name="20% - Accent3 4 4 2 4" xfId="22320" xr:uid="{0BFCA483-1B6E-467E-92E1-F2CA136E6C9A}"/>
    <cellStyle name="20% - Accent3 4 4 3" xfId="5767" xr:uid="{00000000-0005-0000-0000-0000C6010000}"/>
    <cellStyle name="20% - Accent3 4 4 3 2" xfId="15093" xr:uid="{BE999FF1-8784-483E-91DA-01D509134F3C}"/>
    <cellStyle name="20% - Accent3 4 4 3 3" xfId="24392" xr:uid="{5ABD3B08-708B-41F4-841D-DB50F3AC33BA}"/>
    <cellStyle name="20% - Accent3 4 4 4" xfId="10876" xr:uid="{D951D3F1-8073-4045-A9E8-E56E8E90EBD8}"/>
    <cellStyle name="20% - Accent3 4 4 5" xfId="20175" xr:uid="{FEECF11F-CB75-437E-B7BC-B82F01CEBEA8}"/>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EB3AD088-D696-4C85-98B9-88550F8E3CDA}"/>
    <cellStyle name="20% - Accent3 4 5 2 2 3" xfId="26950" xr:uid="{ED4F6F88-2AD2-42FC-AFDE-59B3D7035016}"/>
    <cellStyle name="20% - Accent3 4 5 2 3" xfId="13434" xr:uid="{961A5A2F-678B-4DF5-BB6B-5A252FB0DC6F}"/>
    <cellStyle name="20% - Accent3 4 5 2 4" xfId="22733" xr:uid="{9BFBB976-5CC8-4AD9-87A7-A2296AC6EB23}"/>
    <cellStyle name="20% - Accent3 4 5 3" xfId="6180" xr:uid="{00000000-0005-0000-0000-0000CA010000}"/>
    <cellStyle name="20% - Accent3 4 5 3 2" xfId="15506" xr:uid="{7170BB2D-9F89-457C-9EDA-210C5AD5274C}"/>
    <cellStyle name="20% - Accent3 4 5 3 3" xfId="24805" xr:uid="{E981811A-168E-4300-98DE-77E42F42B115}"/>
    <cellStyle name="20% - Accent3 4 5 4" xfId="11289" xr:uid="{4A7F729A-D8A7-480A-9D3D-8DB37F45CEDB}"/>
    <cellStyle name="20% - Accent3 4 5 5" xfId="20588" xr:uid="{A682C630-3CCB-4A40-9F78-F5FEE353385E}"/>
    <cellStyle name="20% - Accent3 4 6" xfId="2287" xr:uid="{00000000-0005-0000-0000-0000CB010000}"/>
    <cellStyle name="20% - Accent3 4 6 2" xfId="6593" xr:uid="{00000000-0005-0000-0000-0000CC010000}"/>
    <cellStyle name="20% - Accent3 4 6 2 2" xfId="15919" xr:uid="{39E8A6F7-026C-44F0-83C8-6BC5E160BF23}"/>
    <cellStyle name="20% - Accent3 4 6 2 3" xfId="25218" xr:uid="{BF55D540-6AD4-47A8-8C57-FEBEAAC89576}"/>
    <cellStyle name="20% - Accent3 4 6 3" xfId="11702" xr:uid="{4875FEFD-894A-4E00-9A54-5B2D8D5152BF}"/>
    <cellStyle name="20% - Accent3 4 6 4" xfId="21001" xr:uid="{55BD5D7B-73F8-483E-8E66-473BED0E1B2D}"/>
    <cellStyle name="20% - Accent3 4 7" xfId="4527" xr:uid="{00000000-0005-0000-0000-0000CD010000}"/>
    <cellStyle name="20% - Accent3 4 7 2" xfId="13853" xr:uid="{457E06FD-BB67-4B24-9B97-924482EAFF6B}"/>
    <cellStyle name="20% - Accent3 4 7 3" xfId="23152" xr:uid="{6454320E-FEF2-40C8-81F7-F834EE2568A6}"/>
    <cellStyle name="20% - Accent3 4 8" xfId="8951" xr:uid="{3CB7770B-4F12-4C44-B65D-06C641FEE851}"/>
    <cellStyle name="20% - Accent3 4 8 2" xfId="18275" xr:uid="{A43904DC-1A20-4A11-83B4-CDB6B5CF5FA4}"/>
    <cellStyle name="20% - Accent3 4 8 3" xfId="27573" xr:uid="{D049C1D8-C4F3-4CBD-9E90-C62931842C5D}"/>
    <cellStyle name="20% - Accent3 4 9" xfId="9636" xr:uid="{C7D3A55A-2ACB-4CC1-9EA7-3DED34F5D26D}"/>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72F8DC49-1955-4DB0-A0B0-CF384F2311BD}"/>
    <cellStyle name="20% - Accent3 5 2 2 3" xfId="25704" xr:uid="{001A5C6B-E806-453E-920D-7BFE217F2AA5}"/>
    <cellStyle name="20% - Accent3 5 2 3" xfId="12188" xr:uid="{54D9E236-BF83-443C-8F13-A1D0E07FD46A}"/>
    <cellStyle name="20% - Accent3 5 2 4" xfId="21487" xr:uid="{422EA08E-D70D-4CD6-836A-6F4AD2A3E231}"/>
    <cellStyle name="20% - Accent3 5 3" xfId="4934" xr:uid="{00000000-0005-0000-0000-0000D1010000}"/>
    <cellStyle name="20% - Accent3 5 3 2" xfId="14260" xr:uid="{A9389E90-C6F0-49F2-907B-606091B98B16}"/>
    <cellStyle name="20% - Accent3 5 3 3" xfId="23559" xr:uid="{272FA87D-BDB0-42DA-A138-551899FC800A}"/>
    <cellStyle name="20% - Accent3 5 4" xfId="9184" xr:uid="{F51B2D95-9593-4370-A6D2-AFEF087D7920}"/>
    <cellStyle name="20% - Accent3 5 4 2" xfId="18502" xr:uid="{28B1A8C0-E396-468F-B6E8-130123FFC6E0}"/>
    <cellStyle name="20% - Accent3 5 4 3" xfId="27799" xr:uid="{3C478A70-5CBA-4C73-B542-B0F6E611D9D3}"/>
    <cellStyle name="20% - Accent3 5 5" xfId="10043" xr:uid="{4A05BF8C-4DE6-4FFE-94EF-06B09DD5E0A6}"/>
    <cellStyle name="20% - Accent3 5 6" xfId="19342" xr:uid="{4BDA4DD8-AB32-422D-825C-E96075DA4346}"/>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873F89A8-F0AD-4575-BBED-2EF2273378BA}"/>
    <cellStyle name="20% - Accent3 6 2 2 3" xfId="26117" xr:uid="{A5660CA6-4B23-42E3-A39C-9A504450471E}"/>
    <cellStyle name="20% - Accent3 6 2 3" xfId="12601" xr:uid="{5C3C3775-2D86-4D02-BDAA-21E139B03E43}"/>
    <cellStyle name="20% - Accent3 6 2 4" xfId="21900" xr:uid="{327FB227-94E1-4239-8B36-82F428E3AF35}"/>
    <cellStyle name="20% - Accent3 6 3" xfId="5347" xr:uid="{00000000-0005-0000-0000-0000D5010000}"/>
    <cellStyle name="20% - Accent3 6 3 2" xfId="14673" xr:uid="{32596861-8EF9-48EC-8ACC-FDA55E7EE4F6}"/>
    <cellStyle name="20% - Accent3 6 3 3" xfId="23972" xr:uid="{0723B21C-D34E-4F11-9252-7DC541E994B1}"/>
    <cellStyle name="20% - Accent3 6 4" xfId="10456" xr:uid="{B79CE064-E8BF-4022-8641-060889B179D7}"/>
    <cellStyle name="20% - Accent3 6 5" xfId="19755" xr:uid="{B477AC3C-F5E7-44B7-9351-EAE5F5FF8AB2}"/>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814D5EDE-553E-4D40-ACD1-A8D2A5AB91BE}"/>
    <cellStyle name="20% - Accent3 7 2 2 3" xfId="26530" xr:uid="{4C172A5E-AE2E-41F5-BD09-0CAEFD2935CB}"/>
    <cellStyle name="20% - Accent3 7 2 3" xfId="13014" xr:uid="{9EA83CF6-6BD1-4D95-96D6-0332AF9B6E54}"/>
    <cellStyle name="20% - Accent3 7 2 4" xfId="22313" xr:uid="{D1BE649F-8DE8-4413-A923-0D895D7B8E57}"/>
    <cellStyle name="20% - Accent3 7 3" xfId="5760" xr:uid="{00000000-0005-0000-0000-0000D9010000}"/>
    <cellStyle name="20% - Accent3 7 3 2" xfId="15086" xr:uid="{8DBB2C87-1DA4-4597-8046-93EB87AEAF27}"/>
    <cellStyle name="20% - Accent3 7 3 3" xfId="24385" xr:uid="{C8FA5976-6307-43CD-B75E-F200F8C9A00A}"/>
    <cellStyle name="20% - Accent3 7 4" xfId="10869" xr:uid="{EC8E6BE6-3661-4790-BFDB-4EDB7D0CE8F5}"/>
    <cellStyle name="20% - Accent3 7 5" xfId="20168" xr:uid="{7599C061-2A60-4E96-BA95-74BB13AD72AF}"/>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866BAB78-BB18-4163-8D82-3D8CD077E6DA}"/>
    <cellStyle name="20% - Accent3 8 2 2 3" xfId="26943" xr:uid="{221EE1AF-5E57-4ACF-A800-0E4E5950D488}"/>
    <cellStyle name="20% - Accent3 8 2 3" xfId="13427" xr:uid="{D4450635-F079-4976-B361-6750A99EA17F}"/>
    <cellStyle name="20% - Accent3 8 2 4" xfId="22726" xr:uid="{4DE04271-67BC-48DF-98A6-72B2C4459504}"/>
    <cellStyle name="20% - Accent3 8 3" xfId="6173" xr:uid="{00000000-0005-0000-0000-0000DD010000}"/>
    <cellStyle name="20% - Accent3 8 3 2" xfId="15499" xr:uid="{8829793A-0A2E-43D7-8377-A7E791CB4484}"/>
    <cellStyle name="20% - Accent3 8 3 3" xfId="24798" xr:uid="{89EA068E-D675-430C-A912-2EAE039EA5F3}"/>
    <cellStyle name="20% - Accent3 8 4" xfId="11282" xr:uid="{035F86A4-14C9-478A-9802-652836F881EA}"/>
    <cellStyle name="20% - Accent3 8 5" xfId="20581" xr:uid="{EDB55912-810C-4467-91CA-0F743F765E86}"/>
    <cellStyle name="20% - Accent3 9" xfId="2280" xr:uid="{00000000-0005-0000-0000-0000DE010000}"/>
    <cellStyle name="20% - Accent3 9 2" xfId="6586" xr:uid="{00000000-0005-0000-0000-0000DF010000}"/>
    <cellStyle name="20% - Accent3 9 2 2" xfId="15912" xr:uid="{4B3792CA-152A-4A15-9C1C-B3D7FAFDC2AA}"/>
    <cellStyle name="20% - Accent3 9 2 3" xfId="25211" xr:uid="{08CA180F-4EBA-48B2-8B8A-E337BE086AB6}"/>
    <cellStyle name="20% - Accent3 9 3" xfId="11695" xr:uid="{91510DD1-523B-4241-8A06-0604D787BA43}"/>
    <cellStyle name="20% - Accent3 9 4" xfId="20994" xr:uid="{3ED3DECC-C193-4A9A-A981-AE3FE8F50513}"/>
    <cellStyle name="20% - Accent4" xfId="25" builtinId="42" customBuiltin="1"/>
    <cellStyle name="20% - Accent4 10" xfId="4528" xr:uid="{00000000-0005-0000-0000-0000E1010000}"/>
    <cellStyle name="20% - Accent4 10 2" xfId="13854" xr:uid="{4F532714-94F7-405D-9E97-37FC08786B58}"/>
    <cellStyle name="20% - Accent4 10 3" xfId="23153" xr:uid="{0543580A-338D-4F0C-B58C-9D6A77CAD3FB}"/>
    <cellStyle name="20% - Accent4 11" xfId="8764" xr:uid="{4A9BF508-806C-496D-AEC5-5842E4A62892}"/>
    <cellStyle name="20% - Accent4 11 2" xfId="18088" xr:uid="{6B096A5F-701B-4D4F-8E7F-77DE9D5479F9}"/>
    <cellStyle name="20% - Accent4 11 3" xfId="27386" xr:uid="{40E56A76-4576-4BBC-8C8E-327875668517}"/>
    <cellStyle name="20% - Accent4 12" xfId="9637" xr:uid="{43AAB1C0-440C-4291-BEF3-02A77DD3ED62}"/>
    <cellStyle name="20% - Accent4 13" xfId="18936" xr:uid="{2892D9E6-304F-485B-9869-B4960F84E1AE}"/>
    <cellStyle name="20% - Accent4 2" xfId="26" xr:uid="{00000000-0005-0000-0000-0000E2010000}"/>
    <cellStyle name="20% - Accent4 2 10" xfId="8794" xr:uid="{31A2F477-5237-45C2-B43F-25AC049A95FF}"/>
    <cellStyle name="20% - Accent4 2 10 2" xfId="18118" xr:uid="{CE401C3F-93D6-40C9-908F-134F38D0BF4E}"/>
    <cellStyle name="20% - Accent4 2 10 3" xfId="27416" xr:uid="{FC9F0C0D-CC11-495B-B566-8387754A6E72}"/>
    <cellStyle name="20% - Accent4 2 11" xfId="9638" xr:uid="{F498E951-B7BE-4D92-A1C3-110DD484DBBA}"/>
    <cellStyle name="20% - Accent4 2 12" xfId="18937" xr:uid="{790D7BAA-C7DF-4E61-AB4E-579C8841FEF1}"/>
    <cellStyle name="20% - Accent4 2 2" xfId="27" xr:uid="{00000000-0005-0000-0000-0000E3010000}"/>
    <cellStyle name="20% - Accent4 2 2 10" xfId="9639" xr:uid="{6288BB3C-C722-4525-A028-4D24C8E265C4}"/>
    <cellStyle name="20% - Accent4 2 2 11" xfId="18938" xr:uid="{26420BA8-39EB-4023-8777-9D8B5989CB16}"/>
    <cellStyle name="20% - Accent4 2 2 2" xfId="28" xr:uid="{00000000-0005-0000-0000-0000E4010000}"/>
    <cellStyle name="20% - Accent4 2 2 2 10" xfId="18939" xr:uid="{CA72C902-A793-4912-9647-2390630D2D17}"/>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D86660F1-9854-4E86-AD83-D22C437C43BC}"/>
    <cellStyle name="20% - Accent4 2 2 2 2 2 2 3" xfId="25715" xr:uid="{38BAB5AC-5820-465F-89B6-69F61C2F20D4}"/>
    <cellStyle name="20% - Accent4 2 2 2 2 2 3" xfId="12199" xr:uid="{BEA72C9D-FC0B-476D-9EC8-34A42EFA9A1D}"/>
    <cellStyle name="20% - Accent4 2 2 2 2 2 4" xfId="21498" xr:uid="{0237CD2F-2B7F-4FC9-BCD8-A81842BCEC0B}"/>
    <cellStyle name="20% - Accent4 2 2 2 2 3" xfId="4945" xr:uid="{00000000-0005-0000-0000-0000E8010000}"/>
    <cellStyle name="20% - Accent4 2 2 2 2 3 2" xfId="14271" xr:uid="{7EFA9C7A-71F8-4E1C-88A7-5486BC366844}"/>
    <cellStyle name="20% - Accent4 2 2 2 2 3 3" xfId="23570" xr:uid="{1CE63450-D747-4C9D-9AE0-0658FA0F2E55}"/>
    <cellStyle name="20% - Accent4 2 2 2 2 4" xfId="9529" xr:uid="{0C40CE19-1873-4316-818D-CC943AAFBB7B}"/>
    <cellStyle name="20% - Accent4 2 2 2 2 4 2" xfId="18844" xr:uid="{E5679D23-033C-4D22-B5E2-2D06C2F66850}"/>
    <cellStyle name="20% - Accent4 2 2 2 2 4 3" xfId="28141" xr:uid="{9835D4D7-1EDA-4505-847B-10C452BB8872}"/>
    <cellStyle name="20% - Accent4 2 2 2 2 5" xfId="10054" xr:uid="{5ABC0D69-53FE-415C-B2BF-1A05F321FA10}"/>
    <cellStyle name="20% - Accent4 2 2 2 2 6" xfId="19353" xr:uid="{7FD985B6-F7F2-4AD1-A922-2DCA995D5F5A}"/>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3010734B-DCF3-4A89-9A99-D62308DAF790}"/>
    <cellStyle name="20% - Accent4 2 2 2 3 2 2 3" xfId="26128" xr:uid="{DC3E10FA-873E-49ED-89E3-C8AF13B087CF}"/>
    <cellStyle name="20% - Accent4 2 2 2 3 2 3" xfId="12612" xr:uid="{4D09CED1-613D-46D3-B17A-206D8F5BA144}"/>
    <cellStyle name="20% - Accent4 2 2 2 3 2 4" xfId="21911" xr:uid="{F44814C8-A01D-4B24-A9A2-853282E91D52}"/>
    <cellStyle name="20% - Accent4 2 2 2 3 3" xfId="5358" xr:uid="{00000000-0005-0000-0000-0000EC010000}"/>
    <cellStyle name="20% - Accent4 2 2 2 3 3 2" xfId="14684" xr:uid="{FA69646B-8DBB-4069-B505-F4901886A570}"/>
    <cellStyle name="20% - Accent4 2 2 2 3 3 3" xfId="23983" xr:uid="{A1FB0469-8EF7-4933-B86B-2073792FDD55}"/>
    <cellStyle name="20% - Accent4 2 2 2 3 4" xfId="10467" xr:uid="{4E6F5FB4-D1DD-4D62-AD61-634D25A2380D}"/>
    <cellStyle name="20% - Accent4 2 2 2 3 5" xfId="19766" xr:uid="{D36B9930-5159-4401-AD1E-A979EA790EB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40AD959E-F4CC-4339-9EA3-85A25C5DF69E}"/>
    <cellStyle name="20% - Accent4 2 2 2 4 2 2 3" xfId="26541" xr:uid="{4BA91A6D-5059-420B-8A4C-C77D76C63858}"/>
    <cellStyle name="20% - Accent4 2 2 2 4 2 3" xfId="13025" xr:uid="{111816B6-C999-4E41-9A72-4E79D9A10704}"/>
    <cellStyle name="20% - Accent4 2 2 2 4 2 4" xfId="22324" xr:uid="{47EE497F-C5E1-44E8-BEEB-986E02848049}"/>
    <cellStyle name="20% - Accent4 2 2 2 4 3" xfId="5771" xr:uid="{00000000-0005-0000-0000-0000F0010000}"/>
    <cellStyle name="20% - Accent4 2 2 2 4 3 2" xfId="15097" xr:uid="{B55735CF-0586-4050-BDDB-94C9E873A759}"/>
    <cellStyle name="20% - Accent4 2 2 2 4 3 3" xfId="24396" xr:uid="{AE937D74-FACD-4131-BA13-0CD58DB9E4D2}"/>
    <cellStyle name="20% - Accent4 2 2 2 4 4" xfId="10880" xr:uid="{9E2C97A0-84C2-49AD-BDF6-D7E024DF7656}"/>
    <cellStyle name="20% - Accent4 2 2 2 4 5" xfId="20179" xr:uid="{48674AF5-3F69-43A5-90F7-25E06DF87909}"/>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975B5601-2E7A-4730-8C9A-4864995C71A2}"/>
    <cellStyle name="20% - Accent4 2 2 2 5 2 2 3" xfId="26954" xr:uid="{B052CEA0-08E9-4810-8E3A-DD19F4357B3F}"/>
    <cellStyle name="20% - Accent4 2 2 2 5 2 3" xfId="13438" xr:uid="{2B54B84A-1B31-41AA-AA0D-4E47E470B096}"/>
    <cellStyle name="20% - Accent4 2 2 2 5 2 4" xfId="22737" xr:uid="{F544F5B8-CB05-4EBD-A6F6-D401243B3322}"/>
    <cellStyle name="20% - Accent4 2 2 2 5 3" xfId="6184" xr:uid="{00000000-0005-0000-0000-0000F4010000}"/>
    <cellStyle name="20% - Accent4 2 2 2 5 3 2" xfId="15510" xr:uid="{E34AD6BC-01E3-45A5-9430-C7A371A79D7F}"/>
    <cellStyle name="20% - Accent4 2 2 2 5 3 3" xfId="24809" xr:uid="{EB3C2E72-1203-47E8-8DE1-17C4C29825C4}"/>
    <cellStyle name="20% - Accent4 2 2 2 5 4" xfId="11293" xr:uid="{C969CF1D-F94F-48CC-9747-5507CE04C43F}"/>
    <cellStyle name="20% - Accent4 2 2 2 5 5" xfId="20592" xr:uid="{F883CBA4-0730-4D0A-8E1C-7286E7CD939A}"/>
    <cellStyle name="20% - Accent4 2 2 2 6" xfId="2291" xr:uid="{00000000-0005-0000-0000-0000F5010000}"/>
    <cellStyle name="20% - Accent4 2 2 2 6 2" xfId="6597" xr:uid="{00000000-0005-0000-0000-0000F6010000}"/>
    <cellStyle name="20% - Accent4 2 2 2 6 2 2" xfId="15923" xr:uid="{E174AC95-EF12-4E8E-A5C5-464AA1E5EAFD}"/>
    <cellStyle name="20% - Accent4 2 2 2 6 2 3" xfId="25222" xr:uid="{E463F354-D32E-45C8-BCAA-CC51D45BF2E6}"/>
    <cellStyle name="20% - Accent4 2 2 2 6 3" xfId="11706" xr:uid="{CA6C98AA-1751-4AAE-8413-94F48B458871}"/>
    <cellStyle name="20% - Accent4 2 2 2 6 4" xfId="21005" xr:uid="{19E3568B-BCFA-4633-8D63-383EDDC3F6AB}"/>
    <cellStyle name="20% - Accent4 2 2 2 7" xfId="4531" xr:uid="{00000000-0005-0000-0000-0000F7010000}"/>
    <cellStyle name="20% - Accent4 2 2 2 7 2" xfId="13857" xr:uid="{2CBFDDCB-61BF-4AD2-8803-1D1995C81E5A}"/>
    <cellStyle name="20% - Accent4 2 2 2 7 3" xfId="23156" xr:uid="{D822A450-92DB-4B1E-B942-C9331D061083}"/>
    <cellStyle name="20% - Accent4 2 2 2 8" xfId="9104" xr:uid="{526BE306-22BA-4A85-81B2-34AEB56F0D90}"/>
    <cellStyle name="20% - Accent4 2 2 2 8 2" xfId="18428" xr:uid="{FB43E756-39EC-4E6C-B4FD-05CD7D6F78D9}"/>
    <cellStyle name="20% - Accent4 2 2 2 8 3" xfId="27726" xr:uid="{1AC511BC-184A-448C-9450-5358A7E81CAD}"/>
    <cellStyle name="20% - Accent4 2 2 2 9" xfId="9640" xr:uid="{07D41614-BF6A-4E5C-AE16-95DC89FE75CD}"/>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B5A7C3C5-F287-4135-9FC7-B563C760DA1B}"/>
    <cellStyle name="20% - Accent4 2 2 3 2 2 3" xfId="25714" xr:uid="{742E1959-C0DE-4E34-B144-92BAA11D1B2E}"/>
    <cellStyle name="20% - Accent4 2 2 3 2 3" xfId="12198" xr:uid="{41EAD20F-BCD1-4E30-A362-FD6C5CA8FEB4}"/>
    <cellStyle name="20% - Accent4 2 2 3 2 4" xfId="21497" xr:uid="{D357866F-9399-451B-928E-18363C971583}"/>
    <cellStyle name="20% - Accent4 2 2 3 3" xfId="4944" xr:uid="{00000000-0005-0000-0000-0000FB010000}"/>
    <cellStyle name="20% - Accent4 2 2 3 3 2" xfId="14270" xr:uid="{0FF941F3-B51E-4A12-B4C9-8BE1956B2DC3}"/>
    <cellStyle name="20% - Accent4 2 2 3 3 3" xfId="23569" xr:uid="{BDB8A415-C263-4C90-931D-9DCF643E0CF6}"/>
    <cellStyle name="20% - Accent4 2 2 3 4" xfId="9322" xr:uid="{003BBE99-27AA-4036-A373-4475953A88F4}"/>
    <cellStyle name="20% - Accent4 2 2 3 4 2" xfId="18637" xr:uid="{58C2F5B8-B721-4DD0-B00D-5B08DEDD45F7}"/>
    <cellStyle name="20% - Accent4 2 2 3 4 3" xfId="27934" xr:uid="{8C243C52-F5A9-466C-B2B7-035A3ABCDD5A}"/>
    <cellStyle name="20% - Accent4 2 2 3 5" xfId="10053" xr:uid="{A072051F-3949-408E-96EE-9022531BC094}"/>
    <cellStyle name="20% - Accent4 2 2 3 6" xfId="19352" xr:uid="{0D405E32-F700-4E2D-8D76-081821E1E5C9}"/>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0649EDAD-34EC-4D78-8124-5104B9674547}"/>
    <cellStyle name="20% - Accent4 2 2 4 2 2 3" xfId="26127" xr:uid="{A4E0CCC1-66CC-4033-B017-A231CC81B1C7}"/>
    <cellStyle name="20% - Accent4 2 2 4 2 3" xfId="12611" xr:uid="{9D2C348C-1564-441E-843C-7EABAB07D278}"/>
    <cellStyle name="20% - Accent4 2 2 4 2 4" xfId="21910" xr:uid="{AA493E44-62BD-4825-9C53-1D1900853F74}"/>
    <cellStyle name="20% - Accent4 2 2 4 3" xfId="5357" xr:uid="{00000000-0005-0000-0000-0000FF010000}"/>
    <cellStyle name="20% - Accent4 2 2 4 3 2" xfId="14683" xr:uid="{E116298A-CD4B-4C87-B84F-98A330FA9019}"/>
    <cellStyle name="20% - Accent4 2 2 4 3 3" xfId="23982" xr:uid="{C0670616-CDD7-48D3-822A-354C4444E205}"/>
    <cellStyle name="20% - Accent4 2 2 4 4" xfId="10466" xr:uid="{35919744-7EE3-4B6C-B0B2-13A29AA6363C}"/>
    <cellStyle name="20% - Accent4 2 2 4 5" xfId="19765" xr:uid="{F72FF94C-D7AD-4C45-B397-1A207C1A9D56}"/>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42FACB1F-1A67-4F21-9B7D-4421EAA7F9E6}"/>
    <cellStyle name="20% - Accent4 2 2 5 2 2 3" xfId="26540" xr:uid="{7190780D-F3C9-4372-A519-643F7D13F3C5}"/>
    <cellStyle name="20% - Accent4 2 2 5 2 3" xfId="13024" xr:uid="{AAF5E639-9F74-4C2A-85F0-DE523217273C}"/>
    <cellStyle name="20% - Accent4 2 2 5 2 4" xfId="22323" xr:uid="{7954B998-E43C-4724-A414-F67110E2A77B}"/>
    <cellStyle name="20% - Accent4 2 2 5 3" xfId="5770" xr:uid="{00000000-0005-0000-0000-000003020000}"/>
    <cellStyle name="20% - Accent4 2 2 5 3 2" xfId="15096" xr:uid="{8ADE8B08-7116-4278-9A5A-C41B8C21A08D}"/>
    <cellStyle name="20% - Accent4 2 2 5 3 3" xfId="24395" xr:uid="{860C939E-FA73-469E-8692-4313F0F60989}"/>
    <cellStyle name="20% - Accent4 2 2 5 4" xfId="10879" xr:uid="{AA67B5C6-B62B-4645-9F99-3D8DA009DFF2}"/>
    <cellStyle name="20% - Accent4 2 2 5 5" xfId="20178" xr:uid="{E8E6B93D-68CE-4FEE-97ED-6F190C3958E9}"/>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D6F36697-0562-4299-A858-EC6C225D1D23}"/>
    <cellStyle name="20% - Accent4 2 2 6 2 2 3" xfId="26953" xr:uid="{D8DB2F6D-2538-408C-8914-D24B432837F4}"/>
    <cellStyle name="20% - Accent4 2 2 6 2 3" xfId="13437" xr:uid="{90FD3D41-62CD-420C-8718-4C5342BB42BB}"/>
    <cellStyle name="20% - Accent4 2 2 6 2 4" xfId="22736" xr:uid="{B2DDDCD0-F6B9-4CBC-9E36-6D5248F98C09}"/>
    <cellStyle name="20% - Accent4 2 2 6 3" xfId="6183" xr:uid="{00000000-0005-0000-0000-000007020000}"/>
    <cellStyle name="20% - Accent4 2 2 6 3 2" xfId="15509" xr:uid="{764BDDFB-5B05-4E59-82F8-2AA50BB040C4}"/>
    <cellStyle name="20% - Accent4 2 2 6 3 3" xfId="24808" xr:uid="{315A2121-6676-43E5-A241-E6C6D528B0C7}"/>
    <cellStyle name="20% - Accent4 2 2 6 4" xfId="11292" xr:uid="{3BC268E0-7040-4434-A9D5-E7BCB8952AD9}"/>
    <cellStyle name="20% - Accent4 2 2 6 5" xfId="20591" xr:uid="{57060F8B-20B0-434B-A4BC-1AEB9917B831}"/>
    <cellStyle name="20% - Accent4 2 2 7" xfId="2290" xr:uid="{00000000-0005-0000-0000-000008020000}"/>
    <cellStyle name="20% - Accent4 2 2 7 2" xfId="6596" xr:uid="{00000000-0005-0000-0000-000009020000}"/>
    <cellStyle name="20% - Accent4 2 2 7 2 2" xfId="15922" xr:uid="{BB4A7DE8-595E-4535-88B1-93A8FE9585EC}"/>
    <cellStyle name="20% - Accent4 2 2 7 2 3" xfId="25221" xr:uid="{7C3E9F8E-FCDA-4C73-AE5B-18581E40135B}"/>
    <cellStyle name="20% - Accent4 2 2 7 3" xfId="11705" xr:uid="{337B70AC-A3E5-493E-85E9-BDE06DBB9576}"/>
    <cellStyle name="20% - Accent4 2 2 7 4" xfId="21004" xr:uid="{99470B9C-CD6D-4B2C-BE1F-DB034D018F3E}"/>
    <cellStyle name="20% - Accent4 2 2 8" xfId="4530" xr:uid="{00000000-0005-0000-0000-00000A020000}"/>
    <cellStyle name="20% - Accent4 2 2 8 2" xfId="13856" xr:uid="{08B43983-A430-4E29-994A-A31093EF06DE}"/>
    <cellStyle name="20% - Accent4 2 2 8 3" xfId="23155" xr:uid="{E518EA76-34E9-4957-88CF-B8EFB5048AED}"/>
    <cellStyle name="20% - Accent4 2 2 9" xfId="8897" xr:uid="{3A58A73C-0193-4EAC-8E12-5BF8743CE9BA}"/>
    <cellStyle name="20% - Accent4 2 2 9 2" xfId="18221" xr:uid="{5B510B92-97C8-4856-A80B-5790FD7C48D1}"/>
    <cellStyle name="20% - Accent4 2 2 9 3" xfId="27519" xr:uid="{DBFECD22-8A80-40CD-BF51-2ACD3F220D52}"/>
    <cellStyle name="20% - Accent4 2 3" xfId="29" xr:uid="{00000000-0005-0000-0000-00000B020000}"/>
    <cellStyle name="20% - Accent4 2 3 10" xfId="18940" xr:uid="{7AA55EBF-D4F7-41A6-B9F1-FDED4F9827D6}"/>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72DD38DE-EABA-47A6-83DE-1DD3EA7C450F}"/>
    <cellStyle name="20% - Accent4 2 3 2 2 2 3" xfId="25716" xr:uid="{0E9C8166-57E2-4626-BB5E-81C65D648E5F}"/>
    <cellStyle name="20% - Accent4 2 3 2 2 3" xfId="12200" xr:uid="{8C91FEE8-BE7D-498B-AA7A-5371405F51F3}"/>
    <cellStyle name="20% - Accent4 2 3 2 2 4" xfId="21499" xr:uid="{FAC22AC3-2CFA-4BD8-BD63-3BC4301611A7}"/>
    <cellStyle name="20% - Accent4 2 3 2 3" xfId="4946" xr:uid="{00000000-0005-0000-0000-00000F020000}"/>
    <cellStyle name="20% - Accent4 2 3 2 3 2" xfId="14272" xr:uid="{9CE44396-1882-48F4-99BE-F2BBBB01B42A}"/>
    <cellStyle name="20% - Accent4 2 3 2 3 3" xfId="23571" xr:uid="{B9EF63A5-CC06-4E87-A571-017211096556}"/>
    <cellStyle name="20% - Accent4 2 3 2 4" xfId="9426" xr:uid="{5B247D51-FBFD-4799-8395-E3F1C04297B8}"/>
    <cellStyle name="20% - Accent4 2 3 2 4 2" xfId="18741" xr:uid="{931D0AB6-34A1-43CC-9E22-FEC21B3E4D9D}"/>
    <cellStyle name="20% - Accent4 2 3 2 4 3" xfId="28038" xr:uid="{32C9DF7B-D60B-46CE-B218-7FD4BE262F20}"/>
    <cellStyle name="20% - Accent4 2 3 2 5" xfId="10055" xr:uid="{3464DDA8-7B1B-413B-9B32-C93120FB68C4}"/>
    <cellStyle name="20% - Accent4 2 3 2 6" xfId="19354" xr:uid="{F4E389EE-7D0D-4F5C-9CE6-B43506A1FF31}"/>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4DA7880F-6EC0-44E2-8502-D26CA69EA373}"/>
    <cellStyle name="20% - Accent4 2 3 3 2 2 3" xfId="26129" xr:uid="{238D6C3D-9B32-443F-8094-DAD683DA505E}"/>
    <cellStyle name="20% - Accent4 2 3 3 2 3" xfId="12613" xr:uid="{D20BC9E5-B3FD-4EB5-B633-7878EA15EFDB}"/>
    <cellStyle name="20% - Accent4 2 3 3 2 4" xfId="21912" xr:uid="{A1F2B4B3-DB8C-4498-A985-F51F0D68BA0B}"/>
    <cellStyle name="20% - Accent4 2 3 3 3" xfId="5359" xr:uid="{00000000-0005-0000-0000-000013020000}"/>
    <cellStyle name="20% - Accent4 2 3 3 3 2" xfId="14685" xr:uid="{1BBF3E73-9F29-4B0C-A06C-B4AC79127982}"/>
    <cellStyle name="20% - Accent4 2 3 3 3 3" xfId="23984" xr:uid="{2ABCF697-7640-45D0-8EF5-2BC8C0328403}"/>
    <cellStyle name="20% - Accent4 2 3 3 4" xfId="10468" xr:uid="{0167D6B5-5632-4AD1-9E5A-88EE27C18014}"/>
    <cellStyle name="20% - Accent4 2 3 3 5" xfId="19767" xr:uid="{BF671E90-7658-47B0-96E8-AE5D842CA67C}"/>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099293DE-8A82-42CF-AB4F-FA2C96FC3806}"/>
    <cellStyle name="20% - Accent4 2 3 4 2 2 3" xfId="26542" xr:uid="{88969B6F-3479-43FA-8CB9-EB3F01312A0A}"/>
    <cellStyle name="20% - Accent4 2 3 4 2 3" xfId="13026" xr:uid="{FDA26EB1-6089-4937-833E-4003640D6BF0}"/>
    <cellStyle name="20% - Accent4 2 3 4 2 4" xfId="22325" xr:uid="{C447211E-7C5F-42B9-8C70-85D3EB1AC86B}"/>
    <cellStyle name="20% - Accent4 2 3 4 3" xfId="5772" xr:uid="{00000000-0005-0000-0000-000017020000}"/>
    <cellStyle name="20% - Accent4 2 3 4 3 2" xfId="15098" xr:uid="{C5862A41-2B33-4035-9BDF-C0E2B4A222B6}"/>
    <cellStyle name="20% - Accent4 2 3 4 3 3" xfId="24397" xr:uid="{A1958F37-849E-4000-AEE8-9A268EF2849A}"/>
    <cellStyle name="20% - Accent4 2 3 4 4" xfId="10881" xr:uid="{ACFB0E34-1E33-4599-9847-D4220A0833D7}"/>
    <cellStyle name="20% - Accent4 2 3 4 5" xfId="20180" xr:uid="{3E00529E-9136-461F-A5D7-5B37633A442F}"/>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B25B418A-6429-44C7-A992-0FA5E1A1B145}"/>
    <cellStyle name="20% - Accent4 2 3 5 2 2 3" xfId="26955" xr:uid="{8D636F72-2006-4E39-AF3C-2C5DA8182F1D}"/>
    <cellStyle name="20% - Accent4 2 3 5 2 3" xfId="13439" xr:uid="{6228819A-B87D-47EE-8EEE-EEDA7685BA27}"/>
    <cellStyle name="20% - Accent4 2 3 5 2 4" xfId="22738" xr:uid="{49CEE59A-AB2D-45C2-9BF3-59418C139ED4}"/>
    <cellStyle name="20% - Accent4 2 3 5 3" xfId="6185" xr:uid="{00000000-0005-0000-0000-00001B020000}"/>
    <cellStyle name="20% - Accent4 2 3 5 3 2" xfId="15511" xr:uid="{4ACFDFEA-50D0-4453-8237-5DFCCB04BAEE}"/>
    <cellStyle name="20% - Accent4 2 3 5 3 3" xfId="24810" xr:uid="{69CFDE67-689D-49E8-A41F-0AA46D85A8DD}"/>
    <cellStyle name="20% - Accent4 2 3 5 4" xfId="11294" xr:uid="{DFD89203-800A-48E2-9954-D350B670F024}"/>
    <cellStyle name="20% - Accent4 2 3 5 5" xfId="20593" xr:uid="{E4CCBEF5-737C-41F1-A017-E93D2E83188B}"/>
    <cellStyle name="20% - Accent4 2 3 6" xfId="2292" xr:uid="{00000000-0005-0000-0000-00001C020000}"/>
    <cellStyle name="20% - Accent4 2 3 6 2" xfId="6598" xr:uid="{00000000-0005-0000-0000-00001D020000}"/>
    <cellStyle name="20% - Accent4 2 3 6 2 2" xfId="15924" xr:uid="{D22F864A-26C2-4092-8FBF-78169D7FA6F5}"/>
    <cellStyle name="20% - Accent4 2 3 6 2 3" xfId="25223" xr:uid="{136D265E-7912-4FB3-8280-9383B16F62C4}"/>
    <cellStyle name="20% - Accent4 2 3 6 3" xfId="11707" xr:uid="{7334063E-26FB-43B4-99D0-EF78E96C7684}"/>
    <cellStyle name="20% - Accent4 2 3 6 4" xfId="21006" xr:uid="{D799B281-2E6E-4857-A013-1A6F5E81D5AF}"/>
    <cellStyle name="20% - Accent4 2 3 7" xfId="4532" xr:uid="{00000000-0005-0000-0000-00001E020000}"/>
    <cellStyle name="20% - Accent4 2 3 7 2" xfId="13858" xr:uid="{6BA29A30-E29E-42D6-9207-9FE964C72C9C}"/>
    <cellStyle name="20% - Accent4 2 3 7 3" xfId="23157" xr:uid="{F25F5AC6-6BEA-42DB-8256-F7EAD297928E}"/>
    <cellStyle name="20% - Accent4 2 3 8" xfId="9001" xr:uid="{B9DE6BBA-06E2-4FC8-B645-F20E60244072}"/>
    <cellStyle name="20% - Accent4 2 3 8 2" xfId="18325" xr:uid="{201EEA0D-6E72-4DA8-AF96-98152BCD471C}"/>
    <cellStyle name="20% - Accent4 2 3 8 3" xfId="27623" xr:uid="{17946422-31A9-4B5A-954F-164181CCEF38}"/>
    <cellStyle name="20% - Accent4 2 3 9" xfId="9641" xr:uid="{C34A9F19-3F8D-4ACA-AA40-FBD75BB43FBE}"/>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ED77A379-D606-4EB8-9AEF-41CD86643C46}"/>
    <cellStyle name="20% - Accent4 2 4 2 2 3" xfId="25713" xr:uid="{FB4D2256-A2D3-42BC-91DB-26DFA7A1F9A9}"/>
    <cellStyle name="20% - Accent4 2 4 2 3" xfId="12197" xr:uid="{07FF6FA1-5BD4-4276-9169-86FD7D4EA298}"/>
    <cellStyle name="20% - Accent4 2 4 2 4" xfId="21496" xr:uid="{BFEA626F-3B19-49AA-B950-62064E18DF47}"/>
    <cellStyle name="20% - Accent4 2 4 3" xfId="4943" xr:uid="{00000000-0005-0000-0000-000022020000}"/>
    <cellStyle name="20% - Accent4 2 4 3 2" xfId="14269" xr:uid="{23DB9AEA-0D26-48B3-B87A-DCAD4A31E992}"/>
    <cellStyle name="20% - Accent4 2 4 3 3" xfId="23568" xr:uid="{7CB9B4B0-7FFC-494C-8527-CEEBCB97BA46}"/>
    <cellStyle name="20% - Accent4 2 4 4" xfId="9218" xr:uid="{EEA9CEE5-7B27-41EB-B571-13D0ADC44445}"/>
    <cellStyle name="20% - Accent4 2 4 4 2" xfId="18534" xr:uid="{607B53AB-3586-465D-86A6-C7E624BDFE27}"/>
    <cellStyle name="20% - Accent4 2 4 4 3" xfId="27831" xr:uid="{92F87D94-8295-46F0-9085-D320AD749678}"/>
    <cellStyle name="20% - Accent4 2 4 5" xfId="10052" xr:uid="{6F641BB6-854C-4DC4-9E08-D7208F9E4C17}"/>
    <cellStyle name="20% - Accent4 2 4 6" xfId="19351" xr:uid="{C0B331E7-EB60-4D6B-9ED1-647544340F58}"/>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AEC4ABBE-8426-4E1B-8215-CAFA0EC8BCBD}"/>
    <cellStyle name="20% - Accent4 2 5 2 2 3" xfId="26126" xr:uid="{01C42884-E134-4095-8201-D6DF306F86A7}"/>
    <cellStyle name="20% - Accent4 2 5 2 3" xfId="12610" xr:uid="{3093B8E7-B9CD-4649-988E-49B76E173A4C}"/>
    <cellStyle name="20% - Accent4 2 5 2 4" xfId="21909" xr:uid="{9B4B185F-AAEA-4986-AFB5-30B99FEC8E4C}"/>
    <cellStyle name="20% - Accent4 2 5 3" xfId="5356" xr:uid="{00000000-0005-0000-0000-000026020000}"/>
    <cellStyle name="20% - Accent4 2 5 3 2" xfId="14682" xr:uid="{E9055C45-6D5F-4242-9623-EB61F3D2BBAD}"/>
    <cellStyle name="20% - Accent4 2 5 3 3" xfId="23981" xr:uid="{79AF302A-0809-4B80-8C3C-D9B96F612CA8}"/>
    <cellStyle name="20% - Accent4 2 5 4" xfId="10465" xr:uid="{ED10ECDF-0177-40A0-A6D2-0F82A98EA297}"/>
    <cellStyle name="20% - Accent4 2 5 5" xfId="19764" xr:uid="{9EA93D1A-327B-4A88-B555-B9B8CABA6D34}"/>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5BE984BB-9E63-4256-A6FD-D1B6B4C30C1B}"/>
    <cellStyle name="20% - Accent4 2 6 2 2 3" xfId="26539" xr:uid="{684CF524-3141-4920-A80A-3BF32B268475}"/>
    <cellStyle name="20% - Accent4 2 6 2 3" xfId="13023" xr:uid="{5CDA53BC-2DCB-4FC3-A23E-D6FD266CB7A2}"/>
    <cellStyle name="20% - Accent4 2 6 2 4" xfId="22322" xr:uid="{6CF9D038-59D8-49E9-9FE3-1C8B1D1426DF}"/>
    <cellStyle name="20% - Accent4 2 6 3" xfId="5769" xr:uid="{00000000-0005-0000-0000-00002A020000}"/>
    <cellStyle name="20% - Accent4 2 6 3 2" xfId="15095" xr:uid="{BA166F90-3E56-42B2-BD55-D1FA0163B64D}"/>
    <cellStyle name="20% - Accent4 2 6 3 3" xfId="24394" xr:uid="{35EB59A6-900A-4FA2-80D7-B06C44C8A840}"/>
    <cellStyle name="20% - Accent4 2 6 4" xfId="10878" xr:uid="{62F6D64E-062F-4CDF-B1FD-7180CC2CDDDE}"/>
    <cellStyle name="20% - Accent4 2 6 5" xfId="20177" xr:uid="{17CE8BC0-6CF5-41AE-803D-D50F731823D4}"/>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04E577A3-A5D9-4830-ABF9-3339382A2775}"/>
    <cellStyle name="20% - Accent4 2 7 2 2 3" xfId="26952" xr:uid="{326A615D-872F-4A3E-9783-198912FBF426}"/>
    <cellStyle name="20% - Accent4 2 7 2 3" xfId="13436" xr:uid="{F311DE44-EDE6-4B43-A693-034A0A036B2B}"/>
    <cellStyle name="20% - Accent4 2 7 2 4" xfId="22735" xr:uid="{6918E084-2FF3-45E4-AAC0-D846F93E45FF}"/>
    <cellStyle name="20% - Accent4 2 7 3" xfId="6182" xr:uid="{00000000-0005-0000-0000-00002E020000}"/>
    <cellStyle name="20% - Accent4 2 7 3 2" xfId="15508" xr:uid="{DFA6D4B4-3547-47F1-83A0-353C04B3DFD1}"/>
    <cellStyle name="20% - Accent4 2 7 3 3" xfId="24807" xr:uid="{7B4ACD9E-9118-4785-9A45-456EA84A6C0C}"/>
    <cellStyle name="20% - Accent4 2 7 4" xfId="11291" xr:uid="{E248A32F-9BDD-479B-8C16-BFEC2BC92064}"/>
    <cellStyle name="20% - Accent4 2 7 5" xfId="20590" xr:uid="{B6EF18F0-B373-4800-8446-FB4FA29C2ED0}"/>
    <cellStyle name="20% - Accent4 2 8" xfId="2289" xr:uid="{00000000-0005-0000-0000-00002F020000}"/>
    <cellStyle name="20% - Accent4 2 8 2" xfId="6595" xr:uid="{00000000-0005-0000-0000-000030020000}"/>
    <cellStyle name="20% - Accent4 2 8 2 2" xfId="15921" xr:uid="{4F88B170-EFDD-40D5-BC06-3960B9BFCB7F}"/>
    <cellStyle name="20% - Accent4 2 8 2 3" xfId="25220" xr:uid="{5E7EA312-75A5-4502-9040-044002D1A38E}"/>
    <cellStyle name="20% - Accent4 2 8 3" xfId="11704" xr:uid="{AA013ADF-5DA9-4ADD-9D13-07FA46A425EB}"/>
    <cellStyle name="20% - Accent4 2 8 4" xfId="21003" xr:uid="{6B7EF586-C613-414A-A851-EE88F10C2774}"/>
    <cellStyle name="20% - Accent4 2 9" xfId="4529" xr:uid="{00000000-0005-0000-0000-000031020000}"/>
    <cellStyle name="20% - Accent4 2 9 2" xfId="13855" xr:uid="{A83AE25F-0020-4E28-A37F-874D44B1B907}"/>
    <cellStyle name="20% - Accent4 2 9 3" xfId="23154" xr:uid="{664F614B-F0EB-4DF1-AB50-0FD278DBCE7E}"/>
    <cellStyle name="20% - Accent4 3" xfId="30" xr:uid="{00000000-0005-0000-0000-000032020000}"/>
    <cellStyle name="20% - Accent4 3 10" xfId="9642" xr:uid="{D798B9D8-243B-429B-A7A6-3C96EE041D04}"/>
    <cellStyle name="20% - Accent4 3 11" xfId="18941" xr:uid="{276356D7-4B56-402B-8169-A502D8233071}"/>
    <cellStyle name="20% - Accent4 3 2" xfId="31" xr:uid="{00000000-0005-0000-0000-000033020000}"/>
    <cellStyle name="20% - Accent4 3 2 10" xfId="18942" xr:uid="{2D1559B7-3A4E-4A4C-A926-AD830A488C55}"/>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3E20E3F5-278F-4730-8109-232D4F5D5539}"/>
    <cellStyle name="20% - Accent4 3 2 2 2 2 3" xfId="25718" xr:uid="{FA074734-E491-4D74-B328-89661A0A7836}"/>
    <cellStyle name="20% - Accent4 3 2 2 2 3" xfId="12202" xr:uid="{4A45BF77-EB21-4E32-9358-85A79BAA9484}"/>
    <cellStyle name="20% - Accent4 3 2 2 2 4" xfId="21501" xr:uid="{D97302EE-492D-48D0-8593-4B5F504E830A}"/>
    <cellStyle name="20% - Accent4 3 2 2 3" xfId="4948" xr:uid="{00000000-0005-0000-0000-000037020000}"/>
    <cellStyle name="20% - Accent4 3 2 2 3 2" xfId="14274" xr:uid="{9BD380A2-1E75-42E3-AFEE-5EB003AA56F9}"/>
    <cellStyle name="20% - Accent4 3 2 2 3 3" xfId="23573" xr:uid="{01F4F239-C222-4819-A2BA-1742173DEB00}"/>
    <cellStyle name="20% - Accent4 3 2 2 4" xfId="9499" xr:uid="{019308F4-938B-408B-A627-483AF94276A0}"/>
    <cellStyle name="20% - Accent4 3 2 2 4 2" xfId="18814" xr:uid="{6E034863-6467-4D7C-96A1-4EF5F5C4F93D}"/>
    <cellStyle name="20% - Accent4 3 2 2 4 3" xfId="28111" xr:uid="{52EDDBAE-E419-46F3-B196-0794F338502A}"/>
    <cellStyle name="20% - Accent4 3 2 2 5" xfId="10057" xr:uid="{69AF3219-8A20-49B4-AE78-5D380CE91155}"/>
    <cellStyle name="20% - Accent4 3 2 2 6" xfId="19356" xr:uid="{5317604C-CD53-4C0A-9DC6-35D601A929FC}"/>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4772B06E-28D4-4D8A-99E3-8379EAC1515C}"/>
    <cellStyle name="20% - Accent4 3 2 3 2 2 3" xfId="26131" xr:uid="{12EC5DE4-1F6D-47BB-B843-67237E1A1A11}"/>
    <cellStyle name="20% - Accent4 3 2 3 2 3" xfId="12615" xr:uid="{25B74B03-77B5-40C5-8F8D-93E1C9434BE9}"/>
    <cellStyle name="20% - Accent4 3 2 3 2 4" xfId="21914" xr:uid="{3CB31AA7-F8CD-4054-AD4A-41979EEA732E}"/>
    <cellStyle name="20% - Accent4 3 2 3 3" xfId="5361" xr:uid="{00000000-0005-0000-0000-00003B020000}"/>
    <cellStyle name="20% - Accent4 3 2 3 3 2" xfId="14687" xr:uid="{AD462669-3B76-451A-A428-675AB441078D}"/>
    <cellStyle name="20% - Accent4 3 2 3 3 3" xfId="23986" xr:uid="{83A0A5CE-2EC6-4500-BFAB-B74C46CE7896}"/>
    <cellStyle name="20% - Accent4 3 2 3 4" xfId="10470" xr:uid="{1BF7FBB3-5FC0-4D63-9539-007CA2955260}"/>
    <cellStyle name="20% - Accent4 3 2 3 5" xfId="19769" xr:uid="{E31EED21-1685-498A-97B7-79AAB1D62308}"/>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1E688AC2-126A-4766-9907-9D4859F8C507}"/>
    <cellStyle name="20% - Accent4 3 2 4 2 2 3" xfId="26544" xr:uid="{A617CD76-B437-4371-A59B-130C0A80977D}"/>
    <cellStyle name="20% - Accent4 3 2 4 2 3" xfId="13028" xr:uid="{90B74C16-1D49-4A1C-A932-F750D10EFBFC}"/>
    <cellStyle name="20% - Accent4 3 2 4 2 4" xfId="22327" xr:uid="{2B41882F-517D-4850-ABD1-E1E57040D010}"/>
    <cellStyle name="20% - Accent4 3 2 4 3" xfId="5774" xr:uid="{00000000-0005-0000-0000-00003F020000}"/>
    <cellStyle name="20% - Accent4 3 2 4 3 2" xfId="15100" xr:uid="{F77353F4-5C5C-4687-A122-2480E8D07C29}"/>
    <cellStyle name="20% - Accent4 3 2 4 3 3" xfId="24399" xr:uid="{BB70894F-ACE9-433A-BC55-3A5305F492DC}"/>
    <cellStyle name="20% - Accent4 3 2 4 4" xfId="10883" xr:uid="{2442F154-7CF8-4B0D-9CC7-EA4E91BACDE6}"/>
    <cellStyle name="20% - Accent4 3 2 4 5" xfId="20182" xr:uid="{57DD165D-4018-479D-B782-F743CA81188B}"/>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FCBB5EDB-C1BC-4873-AF18-BC7D29C844E0}"/>
    <cellStyle name="20% - Accent4 3 2 5 2 2 3" xfId="26957" xr:uid="{83503CA2-AD13-4A12-8BDC-E556D33EEB3B}"/>
    <cellStyle name="20% - Accent4 3 2 5 2 3" xfId="13441" xr:uid="{8D241B6B-E9B6-4832-9F52-298494B6C4DD}"/>
    <cellStyle name="20% - Accent4 3 2 5 2 4" xfId="22740" xr:uid="{FC3E85E5-D8FB-4F32-9FE7-35C88A2CEFCB}"/>
    <cellStyle name="20% - Accent4 3 2 5 3" xfId="6187" xr:uid="{00000000-0005-0000-0000-000043020000}"/>
    <cellStyle name="20% - Accent4 3 2 5 3 2" xfId="15513" xr:uid="{BAF7B5FD-E23F-4EDE-9B57-35773620C10B}"/>
    <cellStyle name="20% - Accent4 3 2 5 3 3" xfId="24812" xr:uid="{421208E8-8367-4F00-9341-A9D008A58392}"/>
    <cellStyle name="20% - Accent4 3 2 5 4" xfId="11296" xr:uid="{5A6C131C-ABF7-4744-85B7-69FA6C2F7148}"/>
    <cellStyle name="20% - Accent4 3 2 5 5" xfId="20595" xr:uid="{E8159AEE-7987-49AA-A5DB-E2EDB67D04F9}"/>
    <cellStyle name="20% - Accent4 3 2 6" xfId="2294" xr:uid="{00000000-0005-0000-0000-000044020000}"/>
    <cellStyle name="20% - Accent4 3 2 6 2" xfId="6600" xr:uid="{00000000-0005-0000-0000-000045020000}"/>
    <cellStyle name="20% - Accent4 3 2 6 2 2" xfId="15926" xr:uid="{F618708D-6446-4AA2-AFE1-F0A8C7F9D883}"/>
    <cellStyle name="20% - Accent4 3 2 6 2 3" xfId="25225" xr:uid="{1C04E9B8-14AA-4F8C-8D34-A9856AA3C4E9}"/>
    <cellStyle name="20% - Accent4 3 2 6 3" xfId="11709" xr:uid="{095EDEE6-ADB5-4936-A327-11F08E2A155F}"/>
    <cellStyle name="20% - Accent4 3 2 6 4" xfId="21008" xr:uid="{6990F927-7093-4AB3-A415-C22284490B3B}"/>
    <cellStyle name="20% - Accent4 3 2 7" xfId="4534" xr:uid="{00000000-0005-0000-0000-000046020000}"/>
    <cellStyle name="20% - Accent4 3 2 7 2" xfId="13860" xr:uid="{37AB40FB-E5D6-4356-89A4-4F8074C76FB4}"/>
    <cellStyle name="20% - Accent4 3 2 7 3" xfId="23159" xr:uid="{64065AA1-727D-43FC-9CC2-4FDEC56BBB57}"/>
    <cellStyle name="20% - Accent4 3 2 8" xfId="9074" xr:uid="{BA25EAA8-2B5F-4309-91A3-FC61FCEF209C}"/>
    <cellStyle name="20% - Accent4 3 2 8 2" xfId="18398" xr:uid="{CDC17180-E2A1-44DC-8BC7-FD2DB8DE4588}"/>
    <cellStyle name="20% - Accent4 3 2 8 3" xfId="27696" xr:uid="{43EFB739-954F-4F7F-9EFC-F25DB9AF1681}"/>
    <cellStyle name="20% - Accent4 3 2 9" xfId="9643" xr:uid="{A5833830-610E-4D08-8170-450FF5BC68B8}"/>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6723F612-07A6-4B3D-99AF-A540C4E0A664}"/>
    <cellStyle name="20% - Accent4 3 3 2 2 3" xfId="25717" xr:uid="{454DD763-086D-4B19-905A-95CA54991C19}"/>
    <cellStyle name="20% - Accent4 3 3 2 3" xfId="12201" xr:uid="{F2AA55C8-3606-424E-A4DB-B99E73BE510F}"/>
    <cellStyle name="20% - Accent4 3 3 2 4" xfId="21500" xr:uid="{E084A5AE-1276-4FC2-B460-4A7314A71D62}"/>
    <cellStyle name="20% - Accent4 3 3 3" xfId="4947" xr:uid="{00000000-0005-0000-0000-00004A020000}"/>
    <cellStyle name="20% - Accent4 3 3 3 2" xfId="14273" xr:uid="{38304D9B-002D-4EFE-825D-3A8EE1A714EC}"/>
    <cellStyle name="20% - Accent4 3 3 3 3" xfId="23572" xr:uid="{7CA99A07-EEF9-418F-9786-961612FE228D}"/>
    <cellStyle name="20% - Accent4 3 3 4" xfId="9292" xr:uid="{E33AB5E9-A8F9-45CB-AD95-0E461E901C30}"/>
    <cellStyle name="20% - Accent4 3 3 4 2" xfId="18607" xr:uid="{E44F4164-0F1D-4369-A560-61F34CA04652}"/>
    <cellStyle name="20% - Accent4 3 3 4 3" xfId="27904" xr:uid="{734EE929-6BAE-4205-A37D-85D46884DF5F}"/>
    <cellStyle name="20% - Accent4 3 3 5" xfId="10056" xr:uid="{F47B822F-453B-47FD-A47E-8D47F5749342}"/>
    <cellStyle name="20% - Accent4 3 3 6" xfId="19355" xr:uid="{461282EB-0952-49AC-98DA-60C7AA20812E}"/>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6CEF5024-6EB4-4D18-85C8-77BF892EBBD8}"/>
    <cellStyle name="20% - Accent4 3 4 2 2 3" xfId="26130" xr:uid="{916F96BE-0B58-4BF1-8F66-51F59049C36E}"/>
    <cellStyle name="20% - Accent4 3 4 2 3" xfId="12614" xr:uid="{CB9A8A4B-8A2E-4AFF-86D6-D137DA1B2736}"/>
    <cellStyle name="20% - Accent4 3 4 2 4" xfId="21913" xr:uid="{D098241B-B1BB-474C-9782-DA7E199E1E3E}"/>
    <cellStyle name="20% - Accent4 3 4 3" xfId="5360" xr:uid="{00000000-0005-0000-0000-00004E020000}"/>
    <cellStyle name="20% - Accent4 3 4 3 2" xfId="14686" xr:uid="{86C37918-24EE-43C6-91E3-E2D1EC111898}"/>
    <cellStyle name="20% - Accent4 3 4 3 3" xfId="23985" xr:uid="{DD6FD74F-18FF-430A-9B36-4DFAC0121464}"/>
    <cellStyle name="20% - Accent4 3 4 4" xfId="10469" xr:uid="{C024699B-85C4-4CDF-A3B4-58744A6642A3}"/>
    <cellStyle name="20% - Accent4 3 4 5" xfId="19768" xr:uid="{9D49B89D-E326-4AE5-95A1-80712D2DF461}"/>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01D64215-9552-41A3-AD1C-896EE0584ED3}"/>
    <cellStyle name="20% - Accent4 3 5 2 2 3" xfId="26543" xr:uid="{10C0A9FC-3605-4EA3-82E1-F59C1662106B}"/>
    <cellStyle name="20% - Accent4 3 5 2 3" xfId="13027" xr:uid="{7FD9E38A-40B5-45C6-B55C-4195B3809D04}"/>
    <cellStyle name="20% - Accent4 3 5 2 4" xfId="22326" xr:uid="{D8787251-D8AF-4EC0-B79A-7FD98E1ABF55}"/>
    <cellStyle name="20% - Accent4 3 5 3" xfId="5773" xr:uid="{00000000-0005-0000-0000-000052020000}"/>
    <cellStyle name="20% - Accent4 3 5 3 2" xfId="15099" xr:uid="{C424ABD4-5FB4-4795-8C08-E823AE8931B2}"/>
    <cellStyle name="20% - Accent4 3 5 3 3" xfId="24398" xr:uid="{65E4A956-57DD-45D4-8C41-D228C51C107A}"/>
    <cellStyle name="20% - Accent4 3 5 4" xfId="10882" xr:uid="{A4D626FB-5F9B-48A1-BB1C-151FB3917A78}"/>
    <cellStyle name="20% - Accent4 3 5 5" xfId="20181" xr:uid="{E8D18C53-79C7-413E-801B-995DAF400B3B}"/>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AED12ED3-B40F-43C8-8FD2-3EA2D14AA205}"/>
    <cellStyle name="20% - Accent4 3 6 2 2 3" xfId="26956" xr:uid="{68483193-8652-4C4D-9DF3-775BD6B1CBDA}"/>
    <cellStyle name="20% - Accent4 3 6 2 3" xfId="13440" xr:uid="{B3B50D92-2CBE-4C05-BD8C-A4F1EF007AAC}"/>
    <cellStyle name="20% - Accent4 3 6 2 4" xfId="22739" xr:uid="{13E54985-15B4-4BAC-9CC4-C273FA2DCC91}"/>
    <cellStyle name="20% - Accent4 3 6 3" xfId="6186" xr:uid="{00000000-0005-0000-0000-000056020000}"/>
    <cellStyle name="20% - Accent4 3 6 3 2" xfId="15512" xr:uid="{0A580055-6FBB-46DF-A539-EA4D8331A9C6}"/>
    <cellStyle name="20% - Accent4 3 6 3 3" xfId="24811" xr:uid="{CDBD715F-74A3-4CFA-9BEB-91895608F5C4}"/>
    <cellStyle name="20% - Accent4 3 6 4" xfId="11295" xr:uid="{AA820291-A457-47CC-A131-EC5B97F9737C}"/>
    <cellStyle name="20% - Accent4 3 6 5" xfId="20594" xr:uid="{D635973C-CA65-4C21-AC50-7BD6374E11A6}"/>
    <cellStyle name="20% - Accent4 3 7" xfId="2293" xr:uid="{00000000-0005-0000-0000-000057020000}"/>
    <cellStyle name="20% - Accent4 3 7 2" xfId="6599" xr:uid="{00000000-0005-0000-0000-000058020000}"/>
    <cellStyle name="20% - Accent4 3 7 2 2" xfId="15925" xr:uid="{150028EE-4353-46C7-A748-9D6ADEB8CC2F}"/>
    <cellStyle name="20% - Accent4 3 7 2 3" xfId="25224" xr:uid="{ECEE09FE-6A6D-4C74-A8F1-11E547DB7F28}"/>
    <cellStyle name="20% - Accent4 3 7 3" xfId="11708" xr:uid="{94172333-663B-44DF-BEC6-C9DC418C5EF5}"/>
    <cellStyle name="20% - Accent4 3 7 4" xfId="21007" xr:uid="{8122D25D-0F65-4F15-A753-6C52E36F2427}"/>
    <cellStyle name="20% - Accent4 3 8" xfId="4533" xr:uid="{00000000-0005-0000-0000-000059020000}"/>
    <cellStyle name="20% - Accent4 3 8 2" xfId="13859" xr:uid="{DFEC1709-1FDF-400B-873E-277DF931AFAF}"/>
    <cellStyle name="20% - Accent4 3 8 3" xfId="23158" xr:uid="{ADE7D4B2-7A50-4FA3-9E31-31643472AE8A}"/>
    <cellStyle name="20% - Accent4 3 9" xfId="8867" xr:uid="{27FB4CEF-7F56-4AEC-B5AC-6B6A1477FBD8}"/>
    <cellStyle name="20% - Accent4 3 9 2" xfId="18191" xr:uid="{04EBFB31-71F9-4159-8A90-C8AC43C9E4E1}"/>
    <cellStyle name="20% - Accent4 3 9 3" xfId="27489" xr:uid="{4B36B0FB-2D8D-4154-99A5-7B7F9ECEDA9C}"/>
    <cellStyle name="20% - Accent4 4" xfId="32" xr:uid="{00000000-0005-0000-0000-00005A020000}"/>
    <cellStyle name="20% - Accent4 4 10" xfId="18943" xr:uid="{82362515-5507-4F03-A5E7-C4AB58E8A42A}"/>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299F65F0-E30D-490A-857C-F62EB219D824}"/>
    <cellStyle name="20% - Accent4 4 2 2 2 3" xfId="25719" xr:uid="{13D07928-5121-4D67-AA50-3FEE97974581}"/>
    <cellStyle name="20% - Accent4 4 2 2 3" xfId="12203" xr:uid="{A53CDAD3-1830-47AC-80E0-D96A437042BE}"/>
    <cellStyle name="20% - Accent4 4 2 2 4" xfId="21502" xr:uid="{0927B4E1-06BD-4C6A-A2F7-BF6567F2B14E}"/>
    <cellStyle name="20% - Accent4 4 2 3" xfId="4949" xr:uid="{00000000-0005-0000-0000-00005E020000}"/>
    <cellStyle name="20% - Accent4 4 2 3 2" xfId="14275" xr:uid="{2374B217-BD0B-4A95-8BCB-5C1E5CBCE5A4}"/>
    <cellStyle name="20% - Accent4 4 2 3 3" xfId="23574" xr:uid="{A0B1333C-2FFB-4BDD-B9E3-7E926AA36EB2}"/>
    <cellStyle name="20% - Accent4 4 2 4" xfId="9378" xr:uid="{761B3D4A-2751-4646-8A50-05A0DD408525}"/>
    <cellStyle name="20% - Accent4 4 2 4 2" xfId="18693" xr:uid="{27210D9C-0DCC-4201-BD8A-E45F719B4230}"/>
    <cellStyle name="20% - Accent4 4 2 4 3" xfId="27990" xr:uid="{5EE28FE5-4452-405C-B5FB-2D25788DC8ED}"/>
    <cellStyle name="20% - Accent4 4 2 5" xfId="10058" xr:uid="{E0E994EE-4F6C-43D4-9775-E511365198A0}"/>
    <cellStyle name="20% - Accent4 4 2 6" xfId="19357" xr:uid="{9D622959-0EC7-426D-9163-4ECA2CC40CDA}"/>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852AA381-F327-4EC5-BC11-81CF69B47C20}"/>
    <cellStyle name="20% - Accent4 4 3 2 2 3" xfId="26132" xr:uid="{1D8B70B5-0362-452B-9A93-CC154CCCE37A}"/>
    <cellStyle name="20% - Accent4 4 3 2 3" xfId="12616" xr:uid="{30CB83DE-0CEE-48A4-B8A3-E8A603E0DD1E}"/>
    <cellStyle name="20% - Accent4 4 3 2 4" xfId="21915" xr:uid="{00576038-B09D-45E8-BC9E-69E3D7F6140A}"/>
    <cellStyle name="20% - Accent4 4 3 3" xfId="5362" xr:uid="{00000000-0005-0000-0000-000062020000}"/>
    <cellStyle name="20% - Accent4 4 3 3 2" xfId="14688" xr:uid="{6FC63FC5-3B1C-4290-8167-1EA9EEB34C42}"/>
    <cellStyle name="20% - Accent4 4 3 3 3" xfId="23987" xr:uid="{492DE7F7-658D-4C0D-BAA4-206F9CE44272}"/>
    <cellStyle name="20% - Accent4 4 3 4" xfId="10471" xr:uid="{A64D127E-A4AE-4A58-9EA3-9E8694C90F8C}"/>
    <cellStyle name="20% - Accent4 4 3 5" xfId="19770" xr:uid="{2F9B7578-847F-470D-A378-348525B34038}"/>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337ECFD2-8208-49A6-B5D8-47152BA6B0A9}"/>
    <cellStyle name="20% - Accent4 4 4 2 2 3" xfId="26545" xr:uid="{EA32A652-E7A8-4EDF-8D25-2453B3894B7D}"/>
    <cellStyle name="20% - Accent4 4 4 2 3" xfId="13029" xr:uid="{EC4C395E-0747-4BE2-8861-4D24AED9FDC8}"/>
    <cellStyle name="20% - Accent4 4 4 2 4" xfId="22328" xr:uid="{A33D2429-EF0E-45FC-AEBF-65E0CDB6D9A6}"/>
    <cellStyle name="20% - Accent4 4 4 3" xfId="5775" xr:uid="{00000000-0005-0000-0000-000066020000}"/>
    <cellStyle name="20% - Accent4 4 4 3 2" xfId="15101" xr:uid="{19CB2A6A-02AA-4334-B4B5-0A68999E60E5}"/>
    <cellStyle name="20% - Accent4 4 4 3 3" xfId="24400" xr:uid="{3463ECB3-52AB-4B0F-938D-9169B607D43A}"/>
    <cellStyle name="20% - Accent4 4 4 4" xfId="10884" xr:uid="{C0C37BE8-1C37-413A-9614-BBC61007F701}"/>
    <cellStyle name="20% - Accent4 4 4 5" xfId="20183" xr:uid="{7DA536EC-67B8-43A1-BB1A-CF9F137302C6}"/>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98493D24-A2F6-4237-8455-B78CA89C152D}"/>
    <cellStyle name="20% - Accent4 4 5 2 2 3" xfId="26958" xr:uid="{72FCAC1D-3252-4D62-961E-F5602B75239D}"/>
    <cellStyle name="20% - Accent4 4 5 2 3" xfId="13442" xr:uid="{39C71506-946A-43F8-BB70-0E416A25D3CE}"/>
    <cellStyle name="20% - Accent4 4 5 2 4" xfId="22741" xr:uid="{A0CA5FCF-9A6F-46BF-832E-3F16D8C40A7E}"/>
    <cellStyle name="20% - Accent4 4 5 3" xfId="6188" xr:uid="{00000000-0005-0000-0000-00006A020000}"/>
    <cellStyle name="20% - Accent4 4 5 3 2" xfId="15514" xr:uid="{B6282DD8-F25D-4A8F-B2F4-5E667227FA4C}"/>
    <cellStyle name="20% - Accent4 4 5 3 3" xfId="24813" xr:uid="{E62A41DA-BF7F-4741-871C-55419D48DADA}"/>
    <cellStyle name="20% - Accent4 4 5 4" xfId="11297" xr:uid="{608BBA61-F5A6-462D-9F17-558A8B810AC3}"/>
    <cellStyle name="20% - Accent4 4 5 5" xfId="20596" xr:uid="{EE3A6354-282C-4A9D-AAE1-A90BF9BF73E8}"/>
    <cellStyle name="20% - Accent4 4 6" xfId="2295" xr:uid="{00000000-0005-0000-0000-00006B020000}"/>
    <cellStyle name="20% - Accent4 4 6 2" xfId="6601" xr:uid="{00000000-0005-0000-0000-00006C020000}"/>
    <cellStyle name="20% - Accent4 4 6 2 2" xfId="15927" xr:uid="{CDCB18F2-98BB-4A05-876A-930904C873F0}"/>
    <cellStyle name="20% - Accent4 4 6 2 3" xfId="25226" xr:uid="{B3775285-FFE1-4DA9-B814-33A34419E88E}"/>
    <cellStyle name="20% - Accent4 4 6 3" xfId="11710" xr:uid="{AA4BB5AA-E3D8-4C79-9C86-39B1D2220CC3}"/>
    <cellStyle name="20% - Accent4 4 6 4" xfId="21009" xr:uid="{2C3F4E78-420E-41CA-9631-2CA99E266C30}"/>
    <cellStyle name="20% - Accent4 4 7" xfId="4535" xr:uid="{00000000-0005-0000-0000-00006D020000}"/>
    <cellStyle name="20% - Accent4 4 7 2" xfId="13861" xr:uid="{781441A1-B4E6-4960-8EF6-826E811175ED}"/>
    <cellStyle name="20% - Accent4 4 7 3" xfId="23160" xr:uid="{1ABFA7B2-2171-440B-BB90-FDA2D133434E}"/>
    <cellStyle name="20% - Accent4 4 8" xfId="8953" xr:uid="{66D1590A-BB3A-4B79-BA94-169F97E79370}"/>
    <cellStyle name="20% - Accent4 4 8 2" xfId="18277" xr:uid="{0690FB95-7211-4250-BAD8-77B140B772C6}"/>
    <cellStyle name="20% - Accent4 4 8 3" xfId="27575" xr:uid="{31E5F40D-CC74-4C70-A4A8-7706DA64B48B}"/>
    <cellStyle name="20% - Accent4 4 9" xfId="9644" xr:uid="{78EE5E3E-7A60-4943-BFB6-8A236EAB8F46}"/>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D2061F56-C2A8-4323-A6C4-C0BE86845CAE}"/>
    <cellStyle name="20% - Accent4 5 2 2 3" xfId="25712" xr:uid="{96684D04-2C94-4AF1-B641-4DDBE500AB4D}"/>
    <cellStyle name="20% - Accent4 5 2 3" xfId="12196" xr:uid="{E94FAF24-4493-4650-9747-C453DAD915A1}"/>
    <cellStyle name="20% - Accent4 5 2 4" xfId="21495" xr:uid="{7B5C0DF1-9047-4801-8F54-09648A161450}"/>
    <cellStyle name="20% - Accent4 5 3" xfId="4942" xr:uid="{00000000-0005-0000-0000-000071020000}"/>
    <cellStyle name="20% - Accent4 5 3 2" xfId="14268" xr:uid="{2C7F5B69-3858-41C2-B36C-21C0D571E169}"/>
    <cellStyle name="20% - Accent4 5 3 3" xfId="23567" xr:uid="{9E24B963-497C-454A-A905-C168D8703EFA}"/>
    <cellStyle name="20% - Accent4 5 4" xfId="9186" xr:uid="{E62ED282-F767-404B-ADA1-4F8E5B4D01EB}"/>
    <cellStyle name="20% - Accent4 5 4 2" xfId="18504" xr:uid="{F2DF219D-296B-4262-9918-FA6938073EBD}"/>
    <cellStyle name="20% - Accent4 5 4 3" xfId="27801" xr:uid="{29B8AA7A-B071-4F5A-9D5B-9D96582FC6A1}"/>
    <cellStyle name="20% - Accent4 5 5" xfId="10051" xr:uid="{A366E67A-5C91-4027-B602-85E32E63F847}"/>
    <cellStyle name="20% - Accent4 5 6" xfId="19350" xr:uid="{94E579C4-DA79-4258-9A85-7A37040752B9}"/>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6386A665-6904-41D0-97BD-309B8C2E6736}"/>
    <cellStyle name="20% - Accent4 6 2 2 3" xfId="26125" xr:uid="{162599A5-36EB-4477-BF5C-D970748BBABA}"/>
    <cellStyle name="20% - Accent4 6 2 3" xfId="12609" xr:uid="{C53A6C00-A295-4108-BF44-183875888C14}"/>
    <cellStyle name="20% - Accent4 6 2 4" xfId="21908" xr:uid="{41C20516-DFDB-43C7-B89A-68A3C59A2450}"/>
    <cellStyle name="20% - Accent4 6 3" xfId="5355" xr:uid="{00000000-0005-0000-0000-000075020000}"/>
    <cellStyle name="20% - Accent4 6 3 2" xfId="14681" xr:uid="{74252827-F387-4386-8F6E-3C43A651C2B6}"/>
    <cellStyle name="20% - Accent4 6 3 3" xfId="23980" xr:uid="{BFE0310F-C530-4732-8AA7-5CD6CE28E7F7}"/>
    <cellStyle name="20% - Accent4 6 4" xfId="10464" xr:uid="{EBD7339C-4F9D-4727-AFED-FC04816DD94B}"/>
    <cellStyle name="20% - Accent4 6 5" xfId="19763" xr:uid="{E11B9B5C-5B97-4D15-947F-6D4713A84721}"/>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04AA7CCA-4BD9-4BA0-A2B2-A2D8BE6B4637}"/>
    <cellStyle name="20% - Accent4 7 2 2 3" xfId="26538" xr:uid="{BFB739FA-302D-4F28-AA4C-9DD6EBF295A0}"/>
    <cellStyle name="20% - Accent4 7 2 3" xfId="13022" xr:uid="{2AAC459D-CD94-42B3-9B49-FFCC99EBC212}"/>
    <cellStyle name="20% - Accent4 7 2 4" xfId="22321" xr:uid="{D7A13A88-7D9E-4528-85A1-82C4EE35DD28}"/>
    <cellStyle name="20% - Accent4 7 3" xfId="5768" xr:uid="{00000000-0005-0000-0000-000079020000}"/>
    <cellStyle name="20% - Accent4 7 3 2" xfId="15094" xr:uid="{E5770914-2AE0-4B98-AEC7-7AA420F0B574}"/>
    <cellStyle name="20% - Accent4 7 3 3" xfId="24393" xr:uid="{4B1D6BAF-F4E0-45BF-A324-8C235AFADAD4}"/>
    <cellStyle name="20% - Accent4 7 4" xfId="10877" xr:uid="{196F4CA9-F845-4977-B33B-A32E522DEC88}"/>
    <cellStyle name="20% - Accent4 7 5" xfId="20176" xr:uid="{AFB5CCFC-D787-48FE-9E02-73A371A6C779}"/>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D0BB2CEB-67E9-40FB-9893-1774ED0391DC}"/>
    <cellStyle name="20% - Accent4 8 2 2 3" xfId="26951" xr:uid="{694B9A2A-7EAC-4050-B9F3-9FC95F1CF18A}"/>
    <cellStyle name="20% - Accent4 8 2 3" xfId="13435" xr:uid="{0A67C6FB-0318-4193-BC51-5B18BBE60400}"/>
    <cellStyle name="20% - Accent4 8 2 4" xfId="22734" xr:uid="{F448E9F8-189D-4CB7-A280-D4FF7C84E0CE}"/>
    <cellStyle name="20% - Accent4 8 3" xfId="6181" xr:uid="{00000000-0005-0000-0000-00007D020000}"/>
    <cellStyle name="20% - Accent4 8 3 2" xfId="15507" xr:uid="{6890C41B-A96F-48A4-907C-5FCAA04A618C}"/>
    <cellStyle name="20% - Accent4 8 3 3" xfId="24806" xr:uid="{DBDB54D1-D1C6-4070-A6BF-806483FC4BBD}"/>
    <cellStyle name="20% - Accent4 8 4" xfId="11290" xr:uid="{542A840A-F44A-464B-93EF-88C107A32340}"/>
    <cellStyle name="20% - Accent4 8 5" xfId="20589" xr:uid="{9A934893-39B7-4BEC-8C23-DAE72227870B}"/>
    <cellStyle name="20% - Accent4 9" xfId="2288" xr:uid="{00000000-0005-0000-0000-00007E020000}"/>
    <cellStyle name="20% - Accent4 9 2" xfId="6594" xr:uid="{00000000-0005-0000-0000-00007F020000}"/>
    <cellStyle name="20% - Accent4 9 2 2" xfId="15920" xr:uid="{532895EF-279E-4A89-BF96-E8BA90D08FAB}"/>
    <cellStyle name="20% - Accent4 9 2 3" xfId="25219" xr:uid="{C56036E7-761C-4E55-A4EF-38413DE7BEA0}"/>
    <cellStyle name="20% - Accent4 9 3" xfId="11703" xr:uid="{F354A650-62A9-46F1-B572-AB6188FBF14B}"/>
    <cellStyle name="20% - Accent4 9 4" xfId="21002" xr:uid="{6BFBA411-FA30-4FC8-B190-C5F0F4840ED1}"/>
    <cellStyle name="20% - Accent5" xfId="33" builtinId="46" customBuiltin="1"/>
    <cellStyle name="20% - Accent5 10" xfId="4536" xr:uid="{00000000-0005-0000-0000-000081020000}"/>
    <cellStyle name="20% - Accent5 10 2" xfId="13862" xr:uid="{30C5FCBE-9DEB-4AB9-9C03-8B395A07D23E}"/>
    <cellStyle name="20% - Accent5 10 3" xfId="23161" xr:uid="{A82DB616-76CD-419D-8EDF-4B3DA28088F1}"/>
    <cellStyle name="20% - Accent5 11" xfId="8766" xr:uid="{A87C980D-48BC-4AA3-98F7-53B2F02F228C}"/>
    <cellStyle name="20% - Accent5 11 2" xfId="18090" xr:uid="{A8FFD0C7-2782-4477-B0A7-89B575A66D95}"/>
    <cellStyle name="20% - Accent5 11 3" xfId="27388" xr:uid="{EBF8446A-AEF5-400E-A936-A39B04C313FF}"/>
    <cellStyle name="20% - Accent5 12" xfId="9645" xr:uid="{0DF80478-0001-4467-B111-E7F9A901B723}"/>
    <cellStyle name="20% - Accent5 13" xfId="18944" xr:uid="{80285757-EEBC-4E19-B40E-18B08572FA14}"/>
    <cellStyle name="20% - Accent5 2" xfId="34" xr:uid="{00000000-0005-0000-0000-000082020000}"/>
    <cellStyle name="20% - Accent5 2 10" xfId="8796" xr:uid="{5BBF4372-A7B1-47A0-AC3D-4A60EDC1A5F8}"/>
    <cellStyle name="20% - Accent5 2 10 2" xfId="18120" xr:uid="{50CE0DB2-3942-4AB9-9DC9-3B1D84019397}"/>
    <cellStyle name="20% - Accent5 2 10 3" xfId="27418" xr:uid="{CA5FA545-C66F-4602-907E-38CF31C9626B}"/>
    <cellStyle name="20% - Accent5 2 11" xfId="9646" xr:uid="{142C5D39-0CFE-4D5F-9E7C-ED0731DBDBCE}"/>
    <cellStyle name="20% - Accent5 2 12" xfId="18945" xr:uid="{CBBF1B38-7FCA-4F56-B54F-0ACFABCFD379}"/>
    <cellStyle name="20% - Accent5 2 2" xfId="35" xr:uid="{00000000-0005-0000-0000-000083020000}"/>
    <cellStyle name="20% - Accent5 2 2 10" xfId="9647" xr:uid="{F65BEAEC-68C1-4A3E-B29C-A8677635840D}"/>
    <cellStyle name="20% - Accent5 2 2 11" xfId="18946" xr:uid="{3565EC9A-861C-460D-8377-1A143600DDEC}"/>
    <cellStyle name="20% - Accent5 2 2 2" xfId="36" xr:uid="{00000000-0005-0000-0000-000084020000}"/>
    <cellStyle name="20% - Accent5 2 2 2 10" xfId="18947" xr:uid="{6831703F-AE66-4D20-A25C-355D7EEB1042}"/>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DDBEE43F-1796-4A7A-B08F-23CC8D34D0E7}"/>
    <cellStyle name="20% - Accent5 2 2 2 2 2 2 3" xfId="25723" xr:uid="{9F390585-FA88-4335-BC2D-C7511ECFDCE3}"/>
    <cellStyle name="20% - Accent5 2 2 2 2 2 3" xfId="12207" xr:uid="{439EF6B1-CA44-466C-B221-34377BF0546A}"/>
    <cellStyle name="20% - Accent5 2 2 2 2 2 4" xfId="21506" xr:uid="{346A65EB-E7E2-4010-84CD-11570EE1FB33}"/>
    <cellStyle name="20% - Accent5 2 2 2 2 3" xfId="4953" xr:uid="{00000000-0005-0000-0000-000088020000}"/>
    <cellStyle name="20% - Accent5 2 2 2 2 3 2" xfId="14279" xr:uid="{574860BC-8974-44D0-830B-6D1712A95C01}"/>
    <cellStyle name="20% - Accent5 2 2 2 2 3 3" xfId="23578" xr:uid="{E745E40B-8205-45DB-A8B2-46BBC4912CE4}"/>
    <cellStyle name="20% - Accent5 2 2 2 2 4" xfId="9531" xr:uid="{5DC5F027-F767-49FB-B9DE-2ACABCF8AC5A}"/>
    <cellStyle name="20% - Accent5 2 2 2 2 4 2" xfId="18846" xr:uid="{50CB02EA-654F-4C14-824A-78207F5B5767}"/>
    <cellStyle name="20% - Accent5 2 2 2 2 4 3" xfId="28143" xr:uid="{0C950750-7E99-40E5-B00C-54CA1D271F55}"/>
    <cellStyle name="20% - Accent5 2 2 2 2 5" xfId="10062" xr:uid="{0953CA48-6E5B-4120-8668-00E92DDCA900}"/>
    <cellStyle name="20% - Accent5 2 2 2 2 6" xfId="19361" xr:uid="{27975160-924D-4972-A925-6016A3A7C7D6}"/>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1CE6D5F1-E9EE-41CE-9F86-16FCDC5E2953}"/>
    <cellStyle name="20% - Accent5 2 2 2 3 2 2 3" xfId="26136" xr:uid="{90CFE0D2-85BA-4286-9DC3-C7F797B7C0E3}"/>
    <cellStyle name="20% - Accent5 2 2 2 3 2 3" xfId="12620" xr:uid="{FB2F4E1D-68C6-4C39-BC51-4CF91EF771E5}"/>
    <cellStyle name="20% - Accent5 2 2 2 3 2 4" xfId="21919" xr:uid="{084665F8-415D-4A3E-876C-2258B9817080}"/>
    <cellStyle name="20% - Accent5 2 2 2 3 3" xfId="5366" xr:uid="{00000000-0005-0000-0000-00008C020000}"/>
    <cellStyle name="20% - Accent5 2 2 2 3 3 2" xfId="14692" xr:uid="{9A7DDC0E-6A2C-42AB-BA2B-2443A83E39B2}"/>
    <cellStyle name="20% - Accent5 2 2 2 3 3 3" xfId="23991" xr:uid="{6692EF83-2580-4F37-B627-023EF24EA013}"/>
    <cellStyle name="20% - Accent5 2 2 2 3 4" xfId="10475" xr:uid="{8F7D944F-720A-4041-8304-2EBC45D44156}"/>
    <cellStyle name="20% - Accent5 2 2 2 3 5" xfId="19774" xr:uid="{A95A8004-8565-4C07-B627-6E72C13D3C8D}"/>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B92AA856-D44F-4617-92BC-539B422A3423}"/>
    <cellStyle name="20% - Accent5 2 2 2 4 2 2 3" xfId="26549" xr:uid="{B18BD50E-3E65-4EEB-B032-7EDAA17C24B8}"/>
    <cellStyle name="20% - Accent5 2 2 2 4 2 3" xfId="13033" xr:uid="{2DB00AD2-C97C-4999-8A6C-02CEDB3BA1C0}"/>
    <cellStyle name="20% - Accent5 2 2 2 4 2 4" xfId="22332" xr:uid="{B0CFCA3A-0203-4672-A3BD-06D9EC46E60E}"/>
    <cellStyle name="20% - Accent5 2 2 2 4 3" xfId="5779" xr:uid="{00000000-0005-0000-0000-000090020000}"/>
    <cellStyle name="20% - Accent5 2 2 2 4 3 2" xfId="15105" xr:uid="{4BFC0D89-6006-4C1E-A110-C246260CB10B}"/>
    <cellStyle name="20% - Accent5 2 2 2 4 3 3" xfId="24404" xr:uid="{C3B2B6F5-31C6-49B8-85AD-1618275AE9D2}"/>
    <cellStyle name="20% - Accent5 2 2 2 4 4" xfId="10888" xr:uid="{0760A56C-209D-4436-9737-36F410729502}"/>
    <cellStyle name="20% - Accent5 2 2 2 4 5" xfId="20187" xr:uid="{0070E024-0E23-4752-8C9A-7B2C8EB7277D}"/>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6095AC5D-5A57-43B9-9CDC-26DB882FA30D}"/>
    <cellStyle name="20% - Accent5 2 2 2 5 2 2 3" xfId="26962" xr:uid="{5080C80A-F7BE-4822-9ED0-E73710794B34}"/>
    <cellStyle name="20% - Accent5 2 2 2 5 2 3" xfId="13446" xr:uid="{00FD008F-BA97-4F23-ABE7-08D197465BA2}"/>
    <cellStyle name="20% - Accent5 2 2 2 5 2 4" xfId="22745" xr:uid="{2F8A2B04-25BC-43AB-86A3-666FBCB8B2B4}"/>
    <cellStyle name="20% - Accent5 2 2 2 5 3" xfId="6192" xr:uid="{00000000-0005-0000-0000-000094020000}"/>
    <cellStyle name="20% - Accent5 2 2 2 5 3 2" xfId="15518" xr:uid="{26CAC4DD-4C05-4D74-BC0E-44D2ED06E39A}"/>
    <cellStyle name="20% - Accent5 2 2 2 5 3 3" xfId="24817" xr:uid="{B32DD095-E164-4CB0-A417-B7A9D04547F8}"/>
    <cellStyle name="20% - Accent5 2 2 2 5 4" xfId="11301" xr:uid="{B7B0EAE4-DE18-47E4-9D8F-B8446ADA41E6}"/>
    <cellStyle name="20% - Accent5 2 2 2 5 5" xfId="20600" xr:uid="{F0512557-9549-4EDC-A9B9-E38048AA6720}"/>
    <cellStyle name="20% - Accent5 2 2 2 6" xfId="2299" xr:uid="{00000000-0005-0000-0000-000095020000}"/>
    <cellStyle name="20% - Accent5 2 2 2 6 2" xfId="6605" xr:uid="{00000000-0005-0000-0000-000096020000}"/>
    <cellStyle name="20% - Accent5 2 2 2 6 2 2" xfId="15931" xr:uid="{AC02DE68-039C-4754-BA25-564284B0F1C8}"/>
    <cellStyle name="20% - Accent5 2 2 2 6 2 3" xfId="25230" xr:uid="{F9995194-87B9-47C4-89DE-47F959BC5DFD}"/>
    <cellStyle name="20% - Accent5 2 2 2 6 3" xfId="11714" xr:uid="{E238098C-94ED-4A66-AA74-7E4470B663F7}"/>
    <cellStyle name="20% - Accent5 2 2 2 6 4" xfId="21013" xr:uid="{9A3F4046-5469-4768-9E83-B99E17B1EAD7}"/>
    <cellStyle name="20% - Accent5 2 2 2 7" xfId="4539" xr:uid="{00000000-0005-0000-0000-000097020000}"/>
    <cellStyle name="20% - Accent5 2 2 2 7 2" xfId="13865" xr:uid="{E630B36C-D8F2-4A2E-85E6-7A1E2927C93D}"/>
    <cellStyle name="20% - Accent5 2 2 2 7 3" xfId="23164" xr:uid="{CAE61B94-8906-45C5-B734-A8CC1AEB5271}"/>
    <cellStyle name="20% - Accent5 2 2 2 8" xfId="9106" xr:uid="{E7B219CB-83A9-494A-83ED-783719A0F1D9}"/>
    <cellStyle name="20% - Accent5 2 2 2 8 2" xfId="18430" xr:uid="{05EBADB5-5DA3-4A8A-9540-4692FF733019}"/>
    <cellStyle name="20% - Accent5 2 2 2 8 3" xfId="27728" xr:uid="{E0B13EC1-8EF6-4E23-AC0A-9216BD17FD69}"/>
    <cellStyle name="20% - Accent5 2 2 2 9" xfId="9648" xr:uid="{77BADD75-2FB2-4B6D-8694-817F94AFD014}"/>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5D15813C-6488-4845-BE63-9E05CDF8A7E2}"/>
    <cellStyle name="20% - Accent5 2 2 3 2 2 3" xfId="25722" xr:uid="{1BCB7984-4438-467D-9180-0970749CBABA}"/>
    <cellStyle name="20% - Accent5 2 2 3 2 3" xfId="12206" xr:uid="{CD2A407B-D018-4C67-B9F4-52CC8D66D5E5}"/>
    <cellStyle name="20% - Accent5 2 2 3 2 4" xfId="21505" xr:uid="{9C2653AE-AB87-4FE6-A295-12546A5A1082}"/>
    <cellStyle name="20% - Accent5 2 2 3 3" xfId="4952" xr:uid="{00000000-0005-0000-0000-00009B020000}"/>
    <cellStyle name="20% - Accent5 2 2 3 3 2" xfId="14278" xr:uid="{8B47F950-9C4B-46F0-ACED-9829A2BFDDD0}"/>
    <cellStyle name="20% - Accent5 2 2 3 3 3" xfId="23577" xr:uid="{4AC2C88C-0AB5-4041-B06C-FB17D6BEE4EA}"/>
    <cellStyle name="20% - Accent5 2 2 3 4" xfId="9324" xr:uid="{6094FEE1-8E2A-466F-9CDF-43EB9EE581FF}"/>
    <cellStyle name="20% - Accent5 2 2 3 4 2" xfId="18639" xr:uid="{6A06DDA7-6000-418E-B0CF-892BE18E21D3}"/>
    <cellStyle name="20% - Accent5 2 2 3 4 3" xfId="27936" xr:uid="{F6D0985F-DFF7-4525-A8D8-5BD2F5860D1E}"/>
    <cellStyle name="20% - Accent5 2 2 3 5" xfId="10061" xr:uid="{4F734ACE-9529-49A2-A8F6-3853D73838A9}"/>
    <cellStyle name="20% - Accent5 2 2 3 6" xfId="19360" xr:uid="{29D34D75-8782-4A3C-8E14-A6ACA43582ED}"/>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4DE672D4-9272-4BA0-A2A9-56995F615D12}"/>
    <cellStyle name="20% - Accent5 2 2 4 2 2 3" xfId="26135" xr:uid="{3251B6DC-CB7B-4705-A8B3-67AB423DC122}"/>
    <cellStyle name="20% - Accent5 2 2 4 2 3" xfId="12619" xr:uid="{54FCB230-8D26-458B-9681-D9E4F1940202}"/>
    <cellStyle name="20% - Accent5 2 2 4 2 4" xfId="21918" xr:uid="{D1E0F766-1A16-42EE-8E99-700E1F5E9EA3}"/>
    <cellStyle name="20% - Accent5 2 2 4 3" xfId="5365" xr:uid="{00000000-0005-0000-0000-00009F020000}"/>
    <cellStyle name="20% - Accent5 2 2 4 3 2" xfId="14691" xr:uid="{19A601FC-2C5A-400C-8CEE-33E2C981FAE2}"/>
    <cellStyle name="20% - Accent5 2 2 4 3 3" xfId="23990" xr:uid="{7B6980C8-988A-44B1-B060-50D32D5D3129}"/>
    <cellStyle name="20% - Accent5 2 2 4 4" xfId="10474" xr:uid="{CF99E132-2666-4DB2-B6F7-7DA111645A58}"/>
    <cellStyle name="20% - Accent5 2 2 4 5" xfId="19773" xr:uid="{B00022EA-FB1D-439D-91AD-1EAA15F8490E}"/>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ABFC3155-3338-4969-B4CF-51B5D251E7D9}"/>
    <cellStyle name="20% - Accent5 2 2 5 2 2 3" xfId="26548" xr:uid="{9569BC9D-AA8D-459F-B1A8-A6AEC268C20C}"/>
    <cellStyle name="20% - Accent5 2 2 5 2 3" xfId="13032" xr:uid="{24CCD592-FAE1-4332-921E-64BFB03ECAF5}"/>
    <cellStyle name="20% - Accent5 2 2 5 2 4" xfId="22331" xr:uid="{1839A7FA-FF0F-416B-B5D8-2FA6E59435D8}"/>
    <cellStyle name="20% - Accent5 2 2 5 3" xfId="5778" xr:uid="{00000000-0005-0000-0000-0000A3020000}"/>
    <cellStyle name="20% - Accent5 2 2 5 3 2" xfId="15104" xr:uid="{2AE7E575-8740-4D49-95EB-88FA8B6008A2}"/>
    <cellStyle name="20% - Accent5 2 2 5 3 3" xfId="24403" xr:uid="{696C8282-EE01-48AE-9015-09AE399DB7B0}"/>
    <cellStyle name="20% - Accent5 2 2 5 4" xfId="10887" xr:uid="{2EDDB0B5-0639-456C-BB89-87E84CD75531}"/>
    <cellStyle name="20% - Accent5 2 2 5 5" xfId="20186" xr:uid="{D5B7C1A8-BF0E-4864-9839-2EDF534EDC90}"/>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0D842CE8-B32C-43C8-8652-4FEAB0F58C15}"/>
    <cellStyle name="20% - Accent5 2 2 6 2 2 3" xfId="26961" xr:uid="{C0CBF508-6A67-424A-A34A-8E73C4EB0C66}"/>
    <cellStyle name="20% - Accent5 2 2 6 2 3" xfId="13445" xr:uid="{4EEC1215-738E-4E05-BF97-4B3EB076E531}"/>
    <cellStyle name="20% - Accent5 2 2 6 2 4" xfId="22744" xr:uid="{D27A7875-DC4D-46D5-AEBE-AAAB0665DD26}"/>
    <cellStyle name="20% - Accent5 2 2 6 3" xfId="6191" xr:uid="{00000000-0005-0000-0000-0000A7020000}"/>
    <cellStyle name="20% - Accent5 2 2 6 3 2" xfId="15517" xr:uid="{FCD37DB4-3EBF-4A2E-8E0C-8CBA85EC6711}"/>
    <cellStyle name="20% - Accent5 2 2 6 3 3" xfId="24816" xr:uid="{DBC1A1BF-0DD1-45AF-8FC2-97BF56CF0346}"/>
    <cellStyle name="20% - Accent5 2 2 6 4" xfId="11300" xr:uid="{C570CB79-CC6D-46A5-85CB-6A19E9AD4DDD}"/>
    <cellStyle name="20% - Accent5 2 2 6 5" xfId="20599" xr:uid="{EA10300C-FDF7-4267-9BC0-46FD0B557881}"/>
    <cellStyle name="20% - Accent5 2 2 7" xfId="2298" xr:uid="{00000000-0005-0000-0000-0000A8020000}"/>
    <cellStyle name="20% - Accent5 2 2 7 2" xfId="6604" xr:uid="{00000000-0005-0000-0000-0000A9020000}"/>
    <cellStyle name="20% - Accent5 2 2 7 2 2" xfId="15930" xr:uid="{3DC38D3A-5654-4097-B5CC-8471A22F48B7}"/>
    <cellStyle name="20% - Accent5 2 2 7 2 3" xfId="25229" xr:uid="{A35A3C41-8ABB-49BB-982D-C2689A565F50}"/>
    <cellStyle name="20% - Accent5 2 2 7 3" xfId="11713" xr:uid="{8D0162BE-CAB0-4FF9-AD13-D56F2B41300C}"/>
    <cellStyle name="20% - Accent5 2 2 7 4" xfId="21012" xr:uid="{0AC87844-4C64-4F65-9F8F-853FF6C60AD2}"/>
    <cellStyle name="20% - Accent5 2 2 8" xfId="4538" xr:uid="{00000000-0005-0000-0000-0000AA020000}"/>
    <cellStyle name="20% - Accent5 2 2 8 2" xfId="13864" xr:uid="{D3FA55CE-FF5A-4A05-9224-7B84BD5C568E}"/>
    <cellStyle name="20% - Accent5 2 2 8 3" xfId="23163" xr:uid="{C53EA065-B594-4BDC-B383-D8F9A8385797}"/>
    <cellStyle name="20% - Accent5 2 2 9" xfId="8899" xr:uid="{0E8F9EC8-D565-41C9-B716-FF597FFF35B9}"/>
    <cellStyle name="20% - Accent5 2 2 9 2" xfId="18223" xr:uid="{B4A00A13-24A6-4BC3-89D2-8ECA9598FDA2}"/>
    <cellStyle name="20% - Accent5 2 2 9 3" xfId="27521" xr:uid="{6E424833-CE6E-41BD-8B71-A7AB57AC12B3}"/>
    <cellStyle name="20% - Accent5 2 3" xfId="37" xr:uid="{00000000-0005-0000-0000-0000AB020000}"/>
    <cellStyle name="20% - Accent5 2 3 10" xfId="18948" xr:uid="{A6E54E08-BF36-4D55-967D-520497407C2A}"/>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BE6A59CD-C2AE-46BC-852D-FF32C2BF4E10}"/>
    <cellStyle name="20% - Accent5 2 3 2 2 2 3" xfId="25724" xr:uid="{2EA8019B-333C-4679-A8C4-E9C3421B0CDB}"/>
    <cellStyle name="20% - Accent5 2 3 2 2 3" xfId="12208" xr:uid="{A641A31A-3EC3-47CB-A025-389F58122427}"/>
    <cellStyle name="20% - Accent5 2 3 2 2 4" xfId="21507" xr:uid="{3F8D9059-EA64-4874-B698-C6A5F8455402}"/>
    <cellStyle name="20% - Accent5 2 3 2 3" xfId="4954" xr:uid="{00000000-0005-0000-0000-0000AF020000}"/>
    <cellStyle name="20% - Accent5 2 3 2 3 2" xfId="14280" xr:uid="{861E6CF5-657D-4A21-B8EB-DC4828A17F3D}"/>
    <cellStyle name="20% - Accent5 2 3 2 3 3" xfId="23579" xr:uid="{E38A9ABB-8937-46DF-B905-031EEFC8FBA2}"/>
    <cellStyle name="20% - Accent5 2 3 2 4" xfId="9428" xr:uid="{B7820ACF-E1F3-4653-B5DD-FD829B169E84}"/>
    <cellStyle name="20% - Accent5 2 3 2 4 2" xfId="18743" xr:uid="{90FB3479-9F62-4B7F-A839-3605107335FA}"/>
    <cellStyle name="20% - Accent5 2 3 2 4 3" xfId="28040" xr:uid="{29123C87-9CB7-47ED-AC8B-5CBD2AF62D10}"/>
    <cellStyle name="20% - Accent5 2 3 2 5" xfId="10063" xr:uid="{A5D999EC-DE00-4BBD-8AE1-4B73BEB081CC}"/>
    <cellStyle name="20% - Accent5 2 3 2 6" xfId="19362" xr:uid="{B697B508-42BC-47DA-9111-5D87B7861928}"/>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DB7808D3-B780-4D4A-AD96-455515D50ADD}"/>
    <cellStyle name="20% - Accent5 2 3 3 2 2 3" xfId="26137" xr:uid="{B65D1DED-4725-409F-A6BC-4A9D3BFF24BE}"/>
    <cellStyle name="20% - Accent5 2 3 3 2 3" xfId="12621" xr:uid="{E6846C1F-4FAC-49E0-87E9-928D2A73FE91}"/>
    <cellStyle name="20% - Accent5 2 3 3 2 4" xfId="21920" xr:uid="{7A720B22-F7EC-47F0-97EA-B326A95D43F7}"/>
    <cellStyle name="20% - Accent5 2 3 3 3" xfId="5367" xr:uid="{00000000-0005-0000-0000-0000B3020000}"/>
    <cellStyle name="20% - Accent5 2 3 3 3 2" xfId="14693" xr:uid="{DE437864-F9CE-4F17-8862-2368137D6E3A}"/>
    <cellStyle name="20% - Accent5 2 3 3 3 3" xfId="23992" xr:uid="{5037DFFE-D9D1-4653-844D-61B23FE13A19}"/>
    <cellStyle name="20% - Accent5 2 3 3 4" xfId="10476" xr:uid="{11662DB1-A61E-4927-B41E-6D3FC660FEDA}"/>
    <cellStyle name="20% - Accent5 2 3 3 5" xfId="19775" xr:uid="{A42D1670-FFAE-4870-B78C-D71E3E059257}"/>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FAEC7A16-7E15-41D3-9EF1-DFEB5CD0B452}"/>
    <cellStyle name="20% - Accent5 2 3 4 2 2 3" xfId="26550" xr:uid="{602A69BF-319D-4C7D-BFFE-8E0B6B9F8F34}"/>
    <cellStyle name="20% - Accent5 2 3 4 2 3" xfId="13034" xr:uid="{FE5DC05D-2D0E-4766-AC34-BBB00E53CFF2}"/>
    <cellStyle name="20% - Accent5 2 3 4 2 4" xfId="22333" xr:uid="{BE31BDE2-7D5F-4ECD-AE83-37A44071946D}"/>
    <cellStyle name="20% - Accent5 2 3 4 3" xfId="5780" xr:uid="{00000000-0005-0000-0000-0000B7020000}"/>
    <cellStyle name="20% - Accent5 2 3 4 3 2" xfId="15106" xr:uid="{3CD20197-E78B-40B6-97FD-B5884DD68001}"/>
    <cellStyle name="20% - Accent5 2 3 4 3 3" xfId="24405" xr:uid="{559264B9-EE73-4DAF-A7B1-EAAC839A5F5A}"/>
    <cellStyle name="20% - Accent5 2 3 4 4" xfId="10889" xr:uid="{1EA27CF1-CF22-4DA0-ADB7-2B4F72DFEC43}"/>
    <cellStyle name="20% - Accent5 2 3 4 5" xfId="20188" xr:uid="{547FB190-600C-4FB7-8D33-9C5ADB5865E9}"/>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7AE46229-0787-40A9-B3C3-6C7DAABD9C28}"/>
    <cellStyle name="20% - Accent5 2 3 5 2 2 3" xfId="26963" xr:uid="{47AE2A6E-03DA-44D2-9F2A-2796BF236E8F}"/>
    <cellStyle name="20% - Accent5 2 3 5 2 3" xfId="13447" xr:uid="{F1E1996A-1079-432A-A776-F6D213ABFABF}"/>
    <cellStyle name="20% - Accent5 2 3 5 2 4" xfId="22746" xr:uid="{912D15B1-D0E3-41CD-8C2B-26E3FBD53F1F}"/>
    <cellStyle name="20% - Accent5 2 3 5 3" xfId="6193" xr:uid="{00000000-0005-0000-0000-0000BB020000}"/>
    <cellStyle name="20% - Accent5 2 3 5 3 2" xfId="15519" xr:uid="{10C8E89B-F300-4C5F-BFE8-4AC3A5D4EEF6}"/>
    <cellStyle name="20% - Accent5 2 3 5 3 3" xfId="24818" xr:uid="{187D5887-0013-4AF5-8850-7CE99B858BF6}"/>
    <cellStyle name="20% - Accent5 2 3 5 4" xfId="11302" xr:uid="{9496B94D-E923-4CD5-B31D-8E0AA0695872}"/>
    <cellStyle name="20% - Accent5 2 3 5 5" xfId="20601" xr:uid="{768C5D89-D04B-4573-91CA-B32E32FDDAE2}"/>
    <cellStyle name="20% - Accent5 2 3 6" xfId="2300" xr:uid="{00000000-0005-0000-0000-0000BC020000}"/>
    <cellStyle name="20% - Accent5 2 3 6 2" xfId="6606" xr:uid="{00000000-0005-0000-0000-0000BD020000}"/>
    <cellStyle name="20% - Accent5 2 3 6 2 2" xfId="15932" xr:uid="{F9899429-756C-4898-AE26-4E2A742F531C}"/>
    <cellStyle name="20% - Accent5 2 3 6 2 3" xfId="25231" xr:uid="{940E0720-6692-4B05-9DFA-B432ECA934EF}"/>
    <cellStyle name="20% - Accent5 2 3 6 3" xfId="11715" xr:uid="{983C2EEC-E8E6-4824-8C21-933072DC9B73}"/>
    <cellStyle name="20% - Accent5 2 3 6 4" xfId="21014" xr:uid="{398677E7-6AE9-4334-A757-0703C81FF54F}"/>
    <cellStyle name="20% - Accent5 2 3 7" xfId="4540" xr:uid="{00000000-0005-0000-0000-0000BE020000}"/>
    <cellStyle name="20% - Accent5 2 3 7 2" xfId="13866" xr:uid="{C98EF304-006A-4E2D-A595-85F2EC415EA6}"/>
    <cellStyle name="20% - Accent5 2 3 7 3" xfId="23165" xr:uid="{D91CE35A-EDC0-47E2-967F-4A1F79F586E2}"/>
    <cellStyle name="20% - Accent5 2 3 8" xfId="9003" xr:uid="{9830E7D1-E361-4BA3-A986-3DCE647EEF8E}"/>
    <cellStyle name="20% - Accent5 2 3 8 2" xfId="18327" xr:uid="{BB82BE61-9D66-432D-9813-9B389BDB8754}"/>
    <cellStyle name="20% - Accent5 2 3 8 3" xfId="27625" xr:uid="{C2F92EE2-8C90-424F-8BBD-8B7F21D8878B}"/>
    <cellStyle name="20% - Accent5 2 3 9" xfId="9649" xr:uid="{63B1D94F-C031-4EC4-8F19-84319FF07083}"/>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61D2F79B-742D-432A-B5A4-F45E71883FEA}"/>
    <cellStyle name="20% - Accent5 2 4 2 2 3" xfId="25721" xr:uid="{4D9034E7-7940-4E40-87FE-FE65DF89059B}"/>
    <cellStyle name="20% - Accent5 2 4 2 3" xfId="12205" xr:uid="{46C151E6-CA03-44C8-BF83-60C21AC44AA8}"/>
    <cellStyle name="20% - Accent5 2 4 2 4" xfId="21504" xr:uid="{8347F5BC-8601-4267-AF1C-7F458468D6C6}"/>
    <cellStyle name="20% - Accent5 2 4 3" xfId="4951" xr:uid="{00000000-0005-0000-0000-0000C2020000}"/>
    <cellStyle name="20% - Accent5 2 4 3 2" xfId="14277" xr:uid="{AC3DC09C-9229-44C7-A4BC-29B0AD9963F0}"/>
    <cellStyle name="20% - Accent5 2 4 3 3" xfId="23576" xr:uid="{0990271C-B74A-433D-9D80-F432A9F01766}"/>
    <cellStyle name="20% - Accent5 2 4 4" xfId="9220" xr:uid="{A7B88928-FE72-4C1B-B74E-3CA76DBA84CC}"/>
    <cellStyle name="20% - Accent5 2 4 4 2" xfId="18536" xr:uid="{F9AD7D9F-D0F4-4206-BD5A-3150C15EF08D}"/>
    <cellStyle name="20% - Accent5 2 4 4 3" xfId="27833" xr:uid="{26EC534A-BE82-48ED-91F1-96652A9ACFF3}"/>
    <cellStyle name="20% - Accent5 2 4 5" xfId="10060" xr:uid="{2EF6F756-5E4B-4551-AD3B-773B387ABB28}"/>
    <cellStyle name="20% - Accent5 2 4 6" xfId="19359" xr:uid="{5AB2C833-BD7E-4E21-BB1B-A2EEE8A5CE93}"/>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167231A6-FD59-4583-AC07-7067B3507300}"/>
    <cellStyle name="20% - Accent5 2 5 2 2 3" xfId="26134" xr:uid="{4DFEB77E-8983-4BFE-921E-F4EF1E5064E1}"/>
    <cellStyle name="20% - Accent5 2 5 2 3" xfId="12618" xr:uid="{680E716E-EE27-404B-A2A0-4EA03BC38ED1}"/>
    <cellStyle name="20% - Accent5 2 5 2 4" xfId="21917" xr:uid="{67581F65-6B99-4717-A655-FA21629096A4}"/>
    <cellStyle name="20% - Accent5 2 5 3" xfId="5364" xr:uid="{00000000-0005-0000-0000-0000C6020000}"/>
    <cellStyle name="20% - Accent5 2 5 3 2" xfId="14690" xr:uid="{3E1270CE-4D3E-4E09-B8CA-9992277C2F64}"/>
    <cellStyle name="20% - Accent5 2 5 3 3" xfId="23989" xr:uid="{2D15E3BB-04FF-4CC9-897A-9B0FAD528463}"/>
    <cellStyle name="20% - Accent5 2 5 4" xfId="10473" xr:uid="{4452F7EE-1496-425A-B983-59E625780D6F}"/>
    <cellStyle name="20% - Accent5 2 5 5" xfId="19772" xr:uid="{8B97CFFA-C762-4B29-86D3-F8016BB756F2}"/>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8FB4A0AA-6FD9-43FC-B36F-0F1C0C5CF729}"/>
    <cellStyle name="20% - Accent5 2 6 2 2 3" xfId="26547" xr:uid="{5AD06C48-80EB-4543-8B30-DF9EB0ADABE1}"/>
    <cellStyle name="20% - Accent5 2 6 2 3" xfId="13031" xr:uid="{8A203A1F-631E-4673-A6D2-DD5D0D4ABA31}"/>
    <cellStyle name="20% - Accent5 2 6 2 4" xfId="22330" xr:uid="{6D4C0599-6C0A-4AB6-BE12-51F34EF002E1}"/>
    <cellStyle name="20% - Accent5 2 6 3" xfId="5777" xr:uid="{00000000-0005-0000-0000-0000CA020000}"/>
    <cellStyle name="20% - Accent5 2 6 3 2" xfId="15103" xr:uid="{C69DAAD1-8669-4639-9FF2-94F9AF9AE7A5}"/>
    <cellStyle name="20% - Accent5 2 6 3 3" xfId="24402" xr:uid="{CD1E4FEA-20D1-4E53-99D9-F3D2676FE0D6}"/>
    <cellStyle name="20% - Accent5 2 6 4" xfId="10886" xr:uid="{45AF5B9D-FACE-4B07-BCC2-0ED7F6AB56AE}"/>
    <cellStyle name="20% - Accent5 2 6 5" xfId="20185" xr:uid="{D62666E3-EF8A-4902-9E3B-924AC7FA276B}"/>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58CCE516-F170-446F-8B4B-D7EA66221B61}"/>
    <cellStyle name="20% - Accent5 2 7 2 2 3" xfId="26960" xr:uid="{3BC7A413-5D7B-4D3D-8519-6E6B5A4BF523}"/>
    <cellStyle name="20% - Accent5 2 7 2 3" xfId="13444" xr:uid="{F297A8B8-42B3-41F4-8346-B6F9B3C3C15E}"/>
    <cellStyle name="20% - Accent5 2 7 2 4" xfId="22743" xr:uid="{7043ADD8-E949-4C89-A740-025859FE926D}"/>
    <cellStyle name="20% - Accent5 2 7 3" xfId="6190" xr:uid="{00000000-0005-0000-0000-0000CE020000}"/>
    <cellStyle name="20% - Accent5 2 7 3 2" xfId="15516" xr:uid="{A558941D-4624-4B98-9A22-51F71882C16A}"/>
    <cellStyle name="20% - Accent5 2 7 3 3" xfId="24815" xr:uid="{2D8432AB-911C-49DE-8451-A4B637E39438}"/>
    <cellStyle name="20% - Accent5 2 7 4" xfId="11299" xr:uid="{5115554C-6ED0-4C9E-B809-954E2321E3F1}"/>
    <cellStyle name="20% - Accent5 2 7 5" xfId="20598" xr:uid="{D10DF8A4-B18B-4D9B-A0EB-31FBF53206A2}"/>
    <cellStyle name="20% - Accent5 2 8" xfId="2297" xr:uid="{00000000-0005-0000-0000-0000CF020000}"/>
    <cellStyle name="20% - Accent5 2 8 2" xfId="6603" xr:uid="{00000000-0005-0000-0000-0000D0020000}"/>
    <cellStyle name="20% - Accent5 2 8 2 2" xfId="15929" xr:uid="{1238DC11-8FFE-45F1-9979-B39FF0D512E5}"/>
    <cellStyle name="20% - Accent5 2 8 2 3" xfId="25228" xr:uid="{1FADD6DB-6651-49B7-914B-544B1E234ECF}"/>
    <cellStyle name="20% - Accent5 2 8 3" xfId="11712" xr:uid="{D13422A1-AA7E-4778-AB10-8A603849A91D}"/>
    <cellStyle name="20% - Accent5 2 8 4" xfId="21011" xr:uid="{FCC6BBE4-6C35-4A65-962D-8E3CE0B6F74D}"/>
    <cellStyle name="20% - Accent5 2 9" xfId="4537" xr:uid="{00000000-0005-0000-0000-0000D1020000}"/>
    <cellStyle name="20% - Accent5 2 9 2" xfId="13863" xr:uid="{267B6545-8019-4A24-B33D-3E724EA66069}"/>
    <cellStyle name="20% - Accent5 2 9 3" xfId="23162" xr:uid="{869761CC-A122-4740-BFE5-94AD639D8E09}"/>
    <cellStyle name="20% - Accent5 3" xfId="38" xr:uid="{00000000-0005-0000-0000-0000D2020000}"/>
    <cellStyle name="20% - Accent5 3 10" xfId="9650" xr:uid="{9DDF04A7-76D0-4F83-B2F1-F83B9121D32A}"/>
    <cellStyle name="20% - Accent5 3 11" xfId="18949" xr:uid="{F43E570F-0775-4909-A599-8C52C1316C4E}"/>
    <cellStyle name="20% - Accent5 3 2" xfId="39" xr:uid="{00000000-0005-0000-0000-0000D3020000}"/>
    <cellStyle name="20% - Accent5 3 2 10" xfId="18950" xr:uid="{703564F1-3D9B-4FEB-92B5-018B436418F5}"/>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0E115F99-B8AD-4A00-B1B7-7B5699609009}"/>
    <cellStyle name="20% - Accent5 3 2 2 2 2 3" xfId="25726" xr:uid="{54599EA2-CCBA-4FB4-8298-585CB54016F7}"/>
    <cellStyle name="20% - Accent5 3 2 2 2 3" xfId="12210" xr:uid="{C486AA6B-95D0-48C4-A4B3-7ADE537B4B91}"/>
    <cellStyle name="20% - Accent5 3 2 2 2 4" xfId="21509" xr:uid="{A6E8947C-934A-4FE6-BDA0-8BB98B533DFB}"/>
    <cellStyle name="20% - Accent5 3 2 2 3" xfId="4956" xr:uid="{00000000-0005-0000-0000-0000D7020000}"/>
    <cellStyle name="20% - Accent5 3 2 2 3 2" xfId="14282" xr:uid="{9D123C3F-321E-4BAF-B534-29F15E5697F8}"/>
    <cellStyle name="20% - Accent5 3 2 2 3 3" xfId="23581" xr:uid="{F01228CD-24C2-4260-8D69-40E0389CE79B}"/>
    <cellStyle name="20% - Accent5 3 2 2 4" xfId="9501" xr:uid="{82A590A5-96D4-476E-8E6F-D81EEE08C409}"/>
    <cellStyle name="20% - Accent5 3 2 2 4 2" xfId="18816" xr:uid="{72D7E9DA-8520-4C7C-B1E0-70849A8C59A3}"/>
    <cellStyle name="20% - Accent5 3 2 2 4 3" xfId="28113" xr:uid="{72B137F5-D767-4878-94B5-1F57A7B3FF64}"/>
    <cellStyle name="20% - Accent5 3 2 2 5" xfId="10065" xr:uid="{0F8AC947-CBC0-417C-9F4D-6EC606670B95}"/>
    <cellStyle name="20% - Accent5 3 2 2 6" xfId="19364" xr:uid="{25C594A7-C6B2-4F78-A590-1062F768ABC6}"/>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A22E7DC7-BCCB-4594-B5E2-841CA81B72A3}"/>
    <cellStyle name="20% - Accent5 3 2 3 2 2 3" xfId="26139" xr:uid="{CBDFE8D2-FBBE-49AD-9E14-F9060B18A0A4}"/>
    <cellStyle name="20% - Accent5 3 2 3 2 3" xfId="12623" xr:uid="{50896819-0203-4D72-B4AB-E9C810C4B166}"/>
    <cellStyle name="20% - Accent5 3 2 3 2 4" xfId="21922" xr:uid="{2189AB0B-6684-4A1C-82BB-31364FBC6027}"/>
    <cellStyle name="20% - Accent5 3 2 3 3" xfId="5369" xr:uid="{00000000-0005-0000-0000-0000DB020000}"/>
    <cellStyle name="20% - Accent5 3 2 3 3 2" xfId="14695" xr:uid="{68F62B29-58A6-4137-A21F-5B3BD0ADBB2A}"/>
    <cellStyle name="20% - Accent5 3 2 3 3 3" xfId="23994" xr:uid="{38263706-ADD6-41C2-9AB7-AFC66A30957B}"/>
    <cellStyle name="20% - Accent5 3 2 3 4" xfId="10478" xr:uid="{504AF2DD-CDED-4D9A-B68F-2BE1139B219C}"/>
    <cellStyle name="20% - Accent5 3 2 3 5" xfId="19777" xr:uid="{24E70395-B4AB-4A0F-AEA6-9952FDDA9FA9}"/>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260CB12C-AD67-4BCD-B502-B619C7E54ADA}"/>
    <cellStyle name="20% - Accent5 3 2 4 2 2 3" xfId="26552" xr:uid="{C417D335-153E-4368-88F9-1168E06E7F50}"/>
    <cellStyle name="20% - Accent5 3 2 4 2 3" xfId="13036" xr:uid="{B73A873C-660A-4C93-A42B-2B0805A63DE5}"/>
    <cellStyle name="20% - Accent5 3 2 4 2 4" xfId="22335" xr:uid="{BCACA9F7-0989-44AE-8A25-C439B6681108}"/>
    <cellStyle name="20% - Accent5 3 2 4 3" xfId="5782" xr:uid="{00000000-0005-0000-0000-0000DF020000}"/>
    <cellStyle name="20% - Accent5 3 2 4 3 2" xfId="15108" xr:uid="{2E882D96-6B95-450F-A519-8F9784DEA3CB}"/>
    <cellStyle name="20% - Accent5 3 2 4 3 3" xfId="24407" xr:uid="{286325B6-9381-4C45-9B83-60548BF99C44}"/>
    <cellStyle name="20% - Accent5 3 2 4 4" xfId="10891" xr:uid="{11B6F676-1AF1-44A5-882A-C1FCB50F1134}"/>
    <cellStyle name="20% - Accent5 3 2 4 5" xfId="20190" xr:uid="{553B783A-A1C2-40AE-9BBD-74F3CB48021D}"/>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B5CCA87F-0396-44B5-99AF-D11FD1039C2C}"/>
    <cellStyle name="20% - Accent5 3 2 5 2 2 3" xfId="26965" xr:uid="{6A1FC4A4-1835-443D-AA02-AAE9DFDD49DB}"/>
    <cellStyle name="20% - Accent5 3 2 5 2 3" xfId="13449" xr:uid="{599A6577-8B1A-41E5-BDFC-4985F0C38272}"/>
    <cellStyle name="20% - Accent5 3 2 5 2 4" xfId="22748" xr:uid="{66F56758-2276-479C-9498-F9B23B2F3F08}"/>
    <cellStyle name="20% - Accent5 3 2 5 3" xfId="6195" xr:uid="{00000000-0005-0000-0000-0000E3020000}"/>
    <cellStyle name="20% - Accent5 3 2 5 3 2" xfId="15521" xr:uid="{76F35467-AC53-4996-BE1A-97C6F5AF266B}"/>
    <cellStyle name="20% - Accent5 3 2 5 3 3" xfId="24820" xr:uid="{1BCCDDB8-9817-4DA6-9150-C55AEC184AEE}"/>
    <cellStyle name="20% - Accent5 3 2 5 4" xfId="11304" xr:uid="{8094EB48-789F-4468-A308-12556AD81585}"/>
    <cellStyle name="20% - Accent5 3 2 5 5" xfId="20603" xr:uid="{111D8186-CF80-4A8B-BCF9-F276CC1CD422}"/>
    <cellStyle name="20% - Accent5 3 2 6" xfId="2302" xr:uid="{00000000-0005-0000-0000-0000E4020000}"/>
    <cellStyle name="20% - Accent5 3 2 6 2" xfId="6608" xr:uid="{00000000-0005-0000-0000-0000E5020000}"/>
    <cellStyle name="20% - Accent5 3 2 6 2 2" xfId="15934" xr:uid="{2812BBD1-A115-4593-B019-007AF29F6E8A}"/>
    <cellStyle name="20% - Accent5 3 2 6 2 3" xfId="25233" xr:uid="{FB7A84EA-CCA4-41A9-A206-43D4F98BEF0C}"/>
    <cellStyle name="20% - Accent5 3 2 6 3" xfId="11717" xr:uid="{687BB45F-E655-48F0-975D-D49201C0A5D4}"/>
    <cellStyle name="20% - Accent5 3 2 6 4" xfId="21016" xr:uid="{511529FD-7B3A-4768-95E8-94FC057A082E}"/>
    <cellStyle name="20% - Accent5 3 2 7" xfId="4542" xr:uid="{00000000-0005-0000-0000-0000E6020000}"/>
    <cellStyle name="20% - Accent5 3 2 7 2" xfId="13868" xr:uid="{CC6D60D5-F376-4575-B382-D7E2366449C7}"/>
    <cellStyle name="20% - Accent5 3 2 7 3" xfId="23167" xr:uid="{CC7AD180-F614-4D34-BC9E-E4ABFD222A17}"/>
    <cellStyle name="20% - Accent5 3 2 8" xfId="9076" xr:uid="{BEDF1D01-35A3-4513-9363-9C1AFC748168}"/>
    <cellStyle name="20% - Accent5 3 2 8 2" xfId="18400" xr:uid="{61B2F268-C69F-4D8A-A54A-3D3400CCDC03}"/>
    <cellStyle name="20% - Accent5 3 2 8 3" xfId="27698" xr:uid="{AD226662-143C-4B7B-B5E3-2EEA019F042A}"/>
    <cellStyle name="20% - Accent5 3 2 9" xfId="9651" xr:uid="{BC6DA75B-BB65-423D-93B0-28466EB2C25B}"/>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ADB5E954-37BB-4C73-9FDB-D2801238C702}"/>
    <cellStyle name="20% - Accent5 3 3 2 2 3" xfId="25725" xr:uid="{AB9F86DB-86AC-479C-A580-69939C007051}"/>
    <cellStyle name="20% - Accent5 3 3 2 3" xfId="12209" xr:uid="{1277C3E9-1163-4A2B-AB55-92E458600CFF}"/>
    <cellStyle name="20% - Accent5 3 3 2 4" xfId="21508" xr:uid="{4149E69C-FC10-40F1-AF0D-30B47DF2EB70}"/>
    <cellStyle name="20% - Accent5 3 3 3" xfId="4955" xr:uid="{00000000-0005-0000-0000-0000EA020000}"/>
    <cellStyle name="20% - Accent5 3 3 3 2" xfId="14281" xr:uid="{D8823036-27F3-4763-9031-6094ACD0AED4}"/>
    <cellStyle name="20% - Accent5 3 3 3 3" xfId="23580" xr:uid="{BC8C189F-4C8B-48CA-AE14-FC786421C0DC}"/>
    <cellStyle name="20% - Accent5 3 3 4" xfId="9294" xr:uid="{124960EA-C7A4-4686-BF67-47D6C57F7EEB}"/>
    <cellStyle name="20% - Accent5 3 3 4 2" xfId="18609" xr:uid="{5D98804D-6211-464E-B3A6-DFCEFB92E143}"/>
    <cellStyle name="20% - Accent5 3 3 4 3" xfId="27906" xr:uid="{785D8364-2B25-48CC-805C-8732789A5DD7}"/>
    <cellStyle name="20% - Accent5 3 3 5" xfId="10064" xr:uid="{EBB6D86F-2F47-4AA8-917D-F53098E19076}"/>
    <cellStyle name="20% - Accent5 3 3 6" xfId="19363" xr:uid="{0E405EC9-60E9-4C45-AB4F-89DE7B71C335}"/>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B29FD061-AFA5-4B07-A5ED-041AC4931A55}"/>
    <cellStyle name="20% - Accent5 3 4 2 2 3" xfId="26138" xr:uid="{2B57516C-BA86-43E7-94E2-4FE4B8CE1235}"/>
    <cellStyle name="20% - Accent5 3 4 2 3" xfId="12622" xr:uid="{36FA761B-B713-446C-99FC-66B712465F08}"/>
    <cellStyle name="20% - Accent5 3 4 2 4" xfId="21921" xr:uid="{7C0DC2FC-39A4-4A49-AF85-817DE8B75DDB}"/>
    <cellStyle name="20% - Accent5 3 4 3" xfId="5368" xr:uid="{00000000-0005-0000-0000-0000EE020000}"/>
    <cellStyle name="20% - Accent5 3 4 3 2" xfId="14694" xr:uid="{36DEA13A-6E3E-49CA-88CF-7E4176DB45AE}"/>
    <cellStyle name="20% - Accent5 3 4 3 3" xfId="23993" xr:uid="{7643C6E3-ABE6-4A78-BFB9-CFE7F4015B23}"/>
    <cellStyle name="20% - Accent5 3 4 4" xfId="10477" xr:uid="{05BE0D9F-6F57-47B0-991D-014B060DC526}"/>
    <cellStyle name="20% - Accent5 3 4 5" xfId="19776" xr:uid="{32F2B457-CC3A-4082-821C-01CBF4EA351A}"/>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C73186F4-C250-4E16-BB4B-3BFF8D88B6AB}"/>
    <cellStyle name="20% - Accent5 3 5 2 2 3" xfId="26551" xr:uid="{6EAE1B3F-8646-49F0-8B29-D6ACA3EA802C}"/>
    <cellStyle name="20% - Accent5 3 5 2 3" xfId="13035" xr:uid="{11CECB1C-8724-49FE-B40E-FADF08476C1E}"/>
    <cellStyle name="20% - Accent5 3 5 2 4" xfId="22334" xr:uid="{9F8E3D74-934E-418C-B028-1E25FEBC9312}"/>
    <cellStyle name="20% - Accent5 3 5 3" xfId="5781" xr:uid="{00000000-0005-0000-0000-0000F2020000}"/>
    <cellStyle name="20% - Accent5 3 5 3 2" xfId="15107" xr:uid="{C76CD71B-8E37-47D7-A1DF-0BCD7C82CE4F}"/>
    <cellStyle name="20% - Accent5 3 5 3 3" xfId="24406" xr:uid="{830805C8-D970-468F-AC0A-DCD41FD75EC2}"/>
    <cellStyle name="20% - Accent5 3 5 4" xfId="10890" xr:uid="{02354EE4-14E2-44FD-90F6-0DAF08CD15C7}"/>
    <cellStyle name="20% - Accent5 3 5 5" xfId="20189" xr:uid="{4AB9658E-9A3F-4AD3-9108-C30222C8C9B2}"/>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DFE36F6D-569A-49A6-9B48-BCD4F46AFFDA}"/>
    <cellStyle name="20% - Accent5 3 6 2 2 3" xfId="26964" xr:uid="{34D3A754-9C1E-48A1-B592-B05CF7459DCF}"/>
    <cellStyle name="20% - Accent5 3 6 2 3" xfId="13448" xr:uid="{B96382C5-CB20-4287-90B9-3BBEC6A3C13A}"/>
    <cellStyle name="20% - Accent5 3 6 2 4" xfId="22747" xr:uid="{98382817-0A32-4376-9FC3-DAFD54B80635}"/>
    <cellStyle name="20% - Accent5 3 6 3" xfId="6194" xr:uid="{00000000-0005-0000-0000-0000F6020000}"/>
    <cellStyle name="20% - Accent5 3 6 3 2" xfId="15520" xr:uid="{92435D6D-4062-462E-ADAF-470C043B5546}"/>
    <cellStyle name="20% - Accent5 3 6 3 3" xfId="24819" xr:uid="{0DA0D185-5FFA-40EB-A70C-A6994148D698}"/>
    <cellStyle name="20% - Accent5 3 6 4" xfId="11303" xr:uid="{29859135-60A2-4715-8083-3A45D8B9FB29}"/>
    <cellStyle name="20% - Accent5 3 6 5" xfId="20602" xr:uid="{8E6526A6-27A2-48F9-AC1A-6E13DEAD263E}"/>
    <cellStyle name="20% - Accent5 3 7" xfId="2301" xr:uid="{00000000-0005-0000-0000-0000F7020000}"/>
    <cellStyle name="20% - Accent5 3 7 2" xfId="6607" xr:uid="{00000000-0005-0000-0000-0000F8020000}"/>
    <cellStyle name="20% - Accent5 3 7 2 2" xfId="15933" xr:uid="{A31DF586-AFF7-47C4-A6BB-EF53484EAE71}"/>
    <cellStyle name="20% - Accent5 3 7 2 3" xfId="25232" xr:uid="{4E7C3D65-A0FD-4840-954E-D0D51766C899}"/>
    <cellStyle name="20% - Accent5 3 7 3" xfId="11716" xr:uid="{E68B2B5C-C1E7-4951-945B-D92DD4C181EB}"/>
    <cellStyle name="20% - Accent5 3 7 4" xfId="21015" xr:uid="{A060600C-CEE5-455A-8A25-A1AE242BB15D}"/>
    <cellStyle name="20% - Accent5 3 8" xfId="4541" xr:uid="{00000000-0005-0000-0000-0000F9020000}"/>
    <cellStyle name="20% - Accent5 3 8 2" xfId="13867" xr:uid="{63371196-F2FB-4134-A5A2-498CE5513016}"/>
    <cellStyle name="20% - Accent5 3 8 3" xfId="23166" xr:uid="{D48F3D9C-E743-4BB1-97FB-9CBD6E267F31}"/>
    <cellStyle name="20% - Accent5 3 9" xfId="8869" xr:uid="{43CC8A87-AEEB-4E51-98E7-F8AE8D86AD2B}"/>
    <cellStyle name="20% - Accent5 3 9 2" xfId="18193" xr:uid="{291298FC-C52B-47B9-9921-2887FD64020C}"/>
    <cellStyle name="20% - Accent5 3 9 3" xfId="27491" xr:uid="{3AD1E1FC-814B-4B43-BF7B-CE3E44AAD819}"/>
    <cellStyle name="20% - Accent5 4" xfId="40" xr:uid="{00000000-0005-0000-0000-0000FA020000}"/>
    <cellStyle name="20% - Accent5 4 10" xfId="18951" xr:uid="{78007DD4-E0E8-443D-84B8-55D30EBC19E9}"/>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B0D3782B-7779-4902-9C1B-BF00F2327090}"/>
    <cellStyle name="20% - Accent5 4 2 2 2 3" xfId="25727" xr:uid="{0DA5725B-DE34-4B27-B3D1-A41D6EBD8BD8}"/>
    <cellStyle name="20% - Accent5 4 2 2 3" xfId="12211" xr:uid="{08EE8608-7446-4F6A-A66F-274650C6C777}"/>
    <cellStyle name="20% - Accent5 4 2 2 4" xfId="21510" xr:uid="{503AD8FD-1966-4808-AF1D-9A2B03B13114}"/>
    <cellStyle name="20% - Accent5 4 2 3" xfId="4957" xr:uid="{00000000-0005-0000-0000-0000FE020000}"/>
    <cellStyle name="20% - Accent5 4 2 3 2" xfId="14283" xr:uid="{2D3A570E-8704-4298-A8A1-B71A0B3E9496}"/>
    <cellStyle name="20% - Accent5 4 2 3 3" xfId="23582" xr:uid="{AB5E27D9-7470-4BA9-92E4-649197C714E6}"/>
    <cellStyle name="20% - Accent5 4 2 4" xfId="9380" xr:uid="{1C764D65-D71C-4646-AD86-15F83BDBF498}"/>
    <cellStyle name="20% - Accent5 4 2 4 2" xfId="18695" xr:uid="{43C326F1-0A46-4FB0-9928-190A4A73539B}"/>
    <cellStyle name="20% - Accent5 4 2 4 3" xfId="27992" xr:uid="{CA028A3F-6D3D-4DB8-8FFA-68D64CFFC945}"/>
    <cellStyle name="20% - Accent5 4 2 5" xfId="10066" xr:uid="{3E538D6A-5DB7-4B47-9114-8ADBC879737E}"/>
    <cellStyle name="20% - Accent5 4 2 6" xfId="19365" xr:uid="{0EEC99C7-9EB9-4CDA-A62D-8AA88059A8F2}"/>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E68073C1-B317-4F5E-BA2B-AFA01138938A}"/>
    <cellStyle name="20% - Accent5 4 3 2 2 3" xfId="26140" xr:uid="{CDA08A39-B0AD-4273-B14D-2DBC4E3DD29A}"/>
    <cellStyle name="20% - Accent5 4 3 2 3" xfId="12624" xr:uid="{47E99198-0625-4CF6-A27C-3AD36B1E14FF}"/>
    <cellStyle name="20% - Accent5 4 3 2 4" xfId="21923" xr:uid="{A0A5D41E-1343-4F7D-B98B-F736B1F37B0E}"/>
    <cellStyle name="20% - Accent5 4 3 3" xfId="5370" xr:uid="{00000000-0005-0000-0000-000002030000}"/>
    <cellStyle name="20% - Accent5 4 3 3 2" xfId="14696" xr:uid="{80196760-43C3-4BE5-AEFF-8CCD8ACF7C46}"/>
    <cellStyle name="20% - Accent5 4 3 3 3" xfId="23995" xr:uid="{26DA311A-896B-4AEE-B1B2-013EE7F2C4C5}"/>
    <cellStyle name="20% - Accent5 4 3 4" xfId="10479" xr:uid="{2277B4AC-DA81-463F-85D2-EAD88FDF1386}"/>
    <cellStyle name="20% - Accent5 4 3 5" xfId="19778" xr:uid="{C929CA8B-60EF-4809-93D2-6E2DB43EEC7D}"/>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1BBB8988-37B2-4A37-874B-CBBBA8749AFF}"/>
    <cellStyle name="20% - Accent5 4 4 2 2 3" xfId="26553" xr:uid="{2E5C46DD-A2C8-42FD-B90E-552AB62C7440}"/>
    <cellStyle name="20% - Accent5 4 4 2 3" xfId="13037" xr:uid="{9AF5BFF2-23B8-4C9C-B444-5B7DDBCED737}"/>
    <cellStyle name="20% - Accent5 4 4 2 4" xfId="22336" xr:uid="{C0559661-AA76-43CC-8935-26424C8C56C7}"/>
    <cellStyle name="20% - Accent5 4 4 3" xfId="5783" xr:uid="{00000000-0005-0000-0000-000006030000}"/>
    <cellStyle name="20% - Accent5 4 4 3 2" xfId="15109" xr:uid="{4D858746-07D1-43DB-ABC8-B4E7AE45C05B}"/>
    <cellStyle name="20% - Accent5 4 4 3 3" xfId="24408" xr:uid="{18444ABF-FFF4-49E3-A19D-B1E8B257FE98}"/>
    <cellStyle name="20% - Accent5 4 4 4" xfId="10892" xr:uid="{C6979DDD-3B91-4C3C-9831-72BDCF85C6E3}"/>
    <cellStyle name="20% - Accent5 4 4 5" xfId="20191" xr:uid="{66566551-7537-46ED-8649-3AD1E399935A}"/>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41AEF600-59EF-42AE-AB4A-D89C806D7019}"/>
    <cellStyle name="20% - Accent5 4 5 2 2 3" xfId="26966" xr:uid="{E4606A19-E42E-4A47-A2C1-D2614CCF484A}"/>
    <cellStyle name="20% - Accent5 4 5 2 3" xfId="13450" xr:uid="{BE6031DE-E5FB-4346-B4C4-F099FA9FC9B2}"/>
    <cellStyle name="20% - Accent5 4 5 2 4" xfId="22749" xr:uid="{FBEE9936-91D0-4D6B-A3F6-83BE1FC3FA6D}"/>
    <cellStyle name="20% - Accent5 4 5 3" xfId="6196" xr:uid="{00000000-0005-0000-0000-00000A030000}"/>
    <cellStyle name="20% - Accent5 4 5 3 2" xfId="15522" xr:uid="{FEE3DF84-345A-4AC0-8FE3-F76CFC857C8E}"/>
    <cellStyle name="20% - Accent5 4 5 3 3" xfId="24821" xr:uid="{7FC1834C-BF15-46E1-ADA7-883588ECADA5}"/>
    <cellStyle name="20% - Accent5 4 5 4" xfId="11305" xr:uid="{824332C6-9E05-4EEC-A953-0D08ACD2B70A}"/>
    <cellStyle name="20% - Accent5 4 5 5" xfId="20604" xr:uid="{010C151D-6A75-41D0-BBA0-A28829BAB75A}"/>
    <cellStyle name="20% - Accent5 4 6" xfId="2303" xr:uid="{00000000-0005-0000-0000-00000B030000}"/>
    <cellStyle name="20% - Accent5 4 6 2" xfId="6609" xr:uid="{00000000-0005-0000-0000-00000C030000}"/>
    <cellStyle name="20% - Accent5 4 6 2 2" xfId="15935" xr:uid="{A7D69C87-E493-4FFE-AE73-C038EDBED424}"/>
    <cellStyle name="20% - Accent5 4 6 2 3" xfId="25234" xr:uid="{14F3815E-39EC-4B0D-9CD2-9301CBEB3B52}"/>
    <cellStyle name="20% - Accent5 4 6 3" xfId="11718" xr:uid="{1B41BF7D-0B3B-4F99-AB17-9C1B2D6DC8FC}"/>
    <cellStyle name="20% - Accent5 4 6 4" xfId="21017" xr:uid="{8148BF7E-A84C-4980-A816-BAB42680DB67}"/>
    <cellStyle name="20% - Accent5 4 7" xfId="4543" xr:uid="{00000000-0005-0000-0000-00000D030000}"/>
    <cellStyle name="20% - Accent5 4 7 2" xfId="13869" xr:uid="{D56010BD-29B5-4FE8-B750-4B8694733252}"/>
    <cellStyle name="20% - Accent5 4 7 3" xfId="23168" xr:uid="{9FAB2683-7326-4FE5-AB87-E3CAAF376198}"/>
    <cellStyle name="20% - Accent5 4 8" xfId="8955" xr:uid="{8AD43D76-8747-44EC-8D3B-2720ADF9D1B1}"/>
    <cellStyle name="20% - Accent5 4 8 2" xfId="18279" xr:uid="{7070B1EB-8D58-4778-910F-10BD47CB25BA}"/>
    <cellStyle name="20% - Accent5 4 8 3" xfId="27577" xr:uid="{97259921-7373-4C77-AFFD-E56F5CF586B3}"/>
    <cellStyle name="20% - Accent5 4 9" xfId="9652" xr:uid="{708B5455-DB7A-4DAD-89D0-BD602217F468}"/>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88C1D0E0-97D3-47F0-98D1-931E512B007D}"/>
    <cellStyle name="20% - Accent5 5 2 2 3" xfId="25720" xr:uid="{23ECA071-DEFE-4FBA-821F-D3EEAB7A3B96}"/>
    <cellStyle name="20% - Accent5 5 2 3" xfId="12204" xr:uid="{663C8C9E-B5D9-4A59-9B23-328956F60B97}"/>
    <cellStyle name="20% - Accent5 5 2 4" xfId="21503" xr:uid="{79FFBFF4-F291-42F2-92B1-AA0404A310CA}"/>
    <cellStyle name="20% - Accent5 5 3" xfId="4950" xr:uid="{00000000-0005-0000-0000-000011030000}"/>
    <cellStyle name="20% - Accent5 5 3 2" xfId="14276" xr:uid="{295F7837-8713-4528-990B-A74A64A216B4}"/>
    <cellStyle name="20% - Accent5 5 3 3" xfId="23575" xr:uid="{A236C51E-7637-41CC-8582-744EAE286A72}"/>
    <cellStyle name="20% - Accent5 5 4" xfId="9188" xr:uid="{164CF7CE-7706-426C-90AA-4867A06E28BD}"/>
    <cellStyle name="20% - Accent5 5 4 2" xfId="18506" xr:uid="{11ADD5C5-DBEA-4798-9D46-FA6FACA74776}"/>
    <cellStyle name="20% - Accent5 5 4 3" xfId="27803" xr:uid="{E7BB4193-6A0F-4122-93CD-B495C26D43BA}"/>
    <cellStyle name="20% - Accent5 5 5" xfId="10059" xr:uid="{5955EC9B-366B-4CEE-BADA-B486B40E56BA}"/>
    <cellStyle name="20% - Accent5 5 6" xfId="19358" xr:uid="{02693C87-0219-4F5D-BC10-BC3CE97AE70A}"/>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CE807600-AD18-4F6E-8F75-DEFADDF7BF86}"/>
    <cellStyle name="20% - Accent5 6 2 2 3" xfId="26133" xr:uid="{88CAC7B8-145C-4A8B-B5B6-EC13B6A81370}"/>
    <cellStyle name="20% - Accent5 6 2 3" xfId="12617" xr:uid="{ABAF58B2-C98C-4CF6-A1AE-322DC602B21D}"/>
    <cellStyle name="20% - Accent5 6 2 4" xfId="21916" xr:uid="{295C2226-A2F6-4EBA-904D-4C8642CF234A}"/>
    <cellStyle name="20% - Accent5 6 3" xfId="5363" xr:uid="{00000000-0005-0000-0000-000015030000}"/>
    <cellStyle name="20% - Accent5 6 3 2" xfId="14689" xr:uid="{77C5BB07-C131-42F3-B312-4FF6523F098B}"/>
    <cellStyle name="20% - Accent5 6 3 3" xfId="23988" xr:uid="{1F70C2EA-1E57-408E-8B83-79C86588BFA7}"/>
    <cellStyle name="20% - Accent5 6 4" xfId="10472" xr:uid="{E47FE69F-EF7F-4BDA-900D-4DC1210A242B}"/>
    <cellStyle name="20% - Accent5 6 5" xfId="19771" xr:uid="{1CBA1A70-EF89-453E-A53D-10CAB3D00246}"/>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D4D46996-6336-40C8-B337-E0FF1FBCB892}"/>
    <cellStyle name="20% - Accent5 7 2 2 3" xfId="26546" xr:uid="{B5AD3218-ED18-4D2D-B543-12D326FE2419}"/>
    <cellStyle name="20% - Accent5 7 2 3" xfId="13030" xr:uid="{A5B594D2-7061-43AC-97C2-5DFAD25C6EB9}"/>
    <cellStyle name="20% - Accent5 7 2 4" xfId="22329" xr:uid="{63303862-6993-4B89-8A8C-50C8651D2CB8}"/>
    <cellStyle name="20% - Accent5 7 3" xfId="5776" xr:uid="{00000000-0005-0000-0000-000019030000}"/>
    <cellStyle name="20% - Accent5 7 3 2" xfId="15102" xr:uid="{27E4B159-A5B9-49C2-B64B-D00D980ACE37}"/>
    <cellStyle name="20% - Accent5 7 3 3" xfId="24401" xr:uid="{7908CD17-2526-407A-B4DE-D7C651B3A14B}"/>
    <cellStyle name="20% - Accent5 7 4" xfId="10885" xr:uid="{0ECE25A9-84B9-4A51-AA35-AF302DE1386A}"/>
    <cellStyle name="20% - Accent5 7 5" xfId="20184" xr:uid="{7D7F5AED-CDB0-4D0D-9DE1-4794DAA94301}"/>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C42787CC-5E3F-4A15-A607-45B3E70172B9}"/>
    <cellStyle name="20% - Accent5 8 2 2 3" xfId="26959" xr:uid="{D34DFE1B-315E-459E-A1EA-96AEC9C24008}"/>
    <cellStyle name="20% - Accent5 8 2 3" xfId="13443" xr:uid="{43738CFA-64ED-4D7A-9EAA-3BF3555BF113}"/>
    <cellStyle name="20% - Accent5 8 2 4" xfId="22742" xr:uid="{8E9C16A3-C051-4CF7-A950-0FE9F92DDEA4}"/>
    <cellStyle name="20% - Accent5 8 3" xfId="6189" xr:uid="{00000000-0005-0000-0000-00001D030000}"/>
    <cellStyle name="20% - Accent5 8 3 2" xfId="15515" xr:uid="{01C31AD1-7F8E-41B1-BEE0-EB7E4C36A01B}"/>
    <cellStyle name="20% - Accent5 8 3 3" xfId="24814" xr:uid="{7C4624A1-55B5-4978-8605-CB0456C9F746}"/>
    <cellStyle name="20% - Accent5 8 4" xfId="11298" xr:uid="{35B385A0-928F-47AE-A97B-B20BD8379EAF}"/>
    <cellStyle name="20% - Accent5 8 5" xfId="20597" xr:uid="{CDCCAB70-A437-4991-9C2F-47C1294BEE48}"/>
    <cellStyle name="20% - Accent5 9" xfId="2296" xr:uid="{00000000-0005-0000-0000-00001E030000}"/>
    <cellStyle name="20% - Accent5 9 2" xfId="6602" xr:uid="{00000000-0005-0000-0000-00001F030000}"/>
    <cellStyle name="20% - Accent5 9 2 2" xfId="15928" xr:uid="{E2501795-F5DE-4580-B5B9-D5867DA0CDD7}"/>
    <cellStyle name="20% - Accent5 9 2 3" xfId="25227" xr:uid="{A2AEE5DF-F8FA-4CC5-9379-F57BD51D930C}"/>
    <cellStyle name="20% - Accent5 9 3" xfId="11711" xr:uid="{08B051EC-2F42-4AA0-93CB-30085B0644D8}"/>
    <cellStyle name="20% - Accent5 9 4" xfId="21010" xr:uid="{49BC7092-598B-40E5-BC28-B355265EB84C}"/>
    <cellStyle name="20% - Accent6" xfId="41" builtinId="50" customBuiltin="1"/>
    <cellStyle name="20% - Accent6 10" xfId="4544" xr:uid="{00000000-0005-0000-0000-000021030000}"/>
    <cellStyle name="20% - Accent6 10 2" xfId="13870" xr:uid="{D8522D14-F81D-4131-9C6C-F5F8A1AE4D84}"/>
    <cellStyle name="20% - Accent6 10 3" xfId="23169" xr:uid="{0CF8ACA5-EBB7-424B-9D32-E8CB558482F9}"/>
    <cellStyle name="20% - Accent6 11" xfId="8768" xr:uid="{5A1F1293-A19F-445F-908A-D9DBB6265CA0}"/>
    <cellStyle name="20% - Accent6 11 2" xfId="18092" xr:uid="{9547FC69-B02C-4F0C-9B45-72ABCA0B474F}"/>
    <cellStyle name="20% - Accent6 11 3" xfId="27390" xr:uid="{D453F578-3C0A-40DA-80BF-8BE227533297}"/>
    <cellStyle name="20% - Accent6 12" xfId="9653" xr:uid="{6F2D9A41-0ED4-4A4F-AFB2-D73CFE60B4FF}"/>
    <cellStyle name="20% - Accent6 13" xfId="18952" xr:uid="{F4B9A970-5857-4F1F-9F1C-5F65B9369BB4}"/>
    <cellStyle name="20% - Accent6 2" xfId="42" xr:uid="{00000000-0005-0000-0000-000022030000}"/>
    <cellStyle name="20% - Accent6 2 10" xfId="8795" xr:uid="{9A35B19E-8802-437A-ABDC-7B06A4E07F58}"/>
    <cellStyle name="20% - Accent6 2 10 2" xfId="18119" xr:uid="{49A29D0E-479C-4CB0-84C2-C5C92B3A1639}"/>
    <cellStyle name="20% - Accent6 2 10 3" xfId="27417" xr:uid="{668E4CB2-DDB0-4EDA-B89D-06964844BC85}"/>
    <cellStyle name="20% - Accent6 2 11" xfId="9654" xr:uid="{BFBEA42E-9060-46F6-AB49-6958E5518459}"/>
    <cellStyle name="20% - Accent6 2 12" xfId="18953" xr:uid="{005C5927-2705-40A5-B9FE-E39162B56304}"/>
    <cellStyle name="20% - Accent6 2 2" xfId="43" xr:uid="{00000000-0005-0000-0000-000023030000}"/>
    <cellStyle name="20% - Accent6 2 2 10" xfId="9655" xr:uid="{8386DA08-9DCE-48A1-9185-7F24AFCA6F1E}"/>
    <cellStyle name="20% - Accent6 2 2 11" xfId="18954" xr:uid="{0AE00307-D7D6-4FC3-BC33-4C9AEA5D3989}"/>
    <cellStyle name="20% - Accent6 2 2 2" xfId="44" xr:uid="{00000000-0005-0000-0000-000024030000}"/>
    <cellStyle name="20% - Accent6 2 2 2 10" xfId="18955" xr:uid="{AA2B708A-4546-4916-9281-5416358C68C8}"/>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51D49452-0B83-432F-A25D-8E45B957C63A}"/>
    <cellStyle name="20% - Accent6 2 2 2 2 2 2 3" xfId="25731" xr:uid="{036903B3-944E-43C7-8EED-C8112F5C41D0}"/>
    <cellStyle name="20% - Accent6 2 2 2 2 2 3" xfId="12215" xr:uid="{3A0D54E1-128C-41CC-926F-CC83E898D086}"/>
    <cellStyle name="20% - Accent6 2 2 2 2 2 4" xfId="21514" xr:uid="{C03C1B34-C04E-4EFB-A67E-4FC8D68EE1F5}"/>
    <cellStyle name="20% - Accent6 2 2 2 2 3" xfId="4961" xr:uid="{00000000-0005-0000-0000-000028030000}"/>
    <cellStyle name="20% - Accent6 2 2 2 2 3 2" xfId="14287" xr:uid="{E1B9B5B1-FBD0-4646-BE8E-386CB8F69F33}"/>
    <cellStyle name="20% - Accent6 2 2 2 2 3 3" xfId="23586" xr:uid="{B7BD8CAD-1D18-4A2F-85E0-A23FB7A68521}"/>
    <cellStyle name="20% - Accent6 2 2 2 2 4" xfId="9530" xr:uid="{AFD3EE0E-70EF-4C1B-B994-7B8E7E8187BC}"/>
    <cellStyle name="20% - Accent6 2 2 2 2 4 2" xfId="18845" xr:uid="{D69B6690-E0A7-4AB5-8DD1-3935B9A456DE}"/>
    <cellStyle name="20% - Accent6 2 2 2 2 4 3" xfId="28142" xr:uid="{1CF42FE2-54A6-43EF-A2E9-AFC4F950B9C4}"/>
    <cellStyle name="20% - Accent6 2 2 2 2 5" xfId="10070" xr:uid="{EED032AD-592B-4C84-AFBA-C82CF03DA311}"/>
    <cellStyle name="20% - Accent6 2 2 2 2 6" xfId="19369" xr:uid="{BDF21BB4-0A98-4514-A6DE-E1A975D1C8D7}"/>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03475E51-4E14-4781-A073-E0365AC0AF48}"/>
    <cellStyle name="20% - Accent6 2 2 2 3 2 2 3" xfId="26144" xr:uid="{2F0022F0-66CD-45C0-9C85-FC20A2DF4676}"/>
    <cellStyle name="20% - Accent6 2 2 2 3 2 3" xfId="12628" xr:uid="{FBCB0BD0-52EB-41E5-B034-F5087DCDE52C}"/>
    <cellStyle name="20% - Accent6 2 2 2 3 2 4" xfId="21927" xr:uid="{F655E45D-00AB-45B3-BFBD-075AF88C8C7F}"/>
    <cellStyle name="20% - Accent6 2 2 2 3 3" xfId="5374" xr:uid="{00000000-0005-0000-0000-00002C030000}"/>
    <cellStyle name="20% - Accent6 2 2 2 3 3 2" xfId="14700" xr:uid="{0664CB24-D336-432E-9E1E-6A0B3BD4C8CB}"/>
    <cellStyle name="20% - Accent6 2 2 2 3 3 3" xfId="23999" xr:uid="{C2E70419-8252-4EEA-B14E-64229A5D07A9}"/>
    <cellStyle name="20% - Accent6 2 2 2 3 4" xfId="10483" xr:uid="{099D9AA5-4635-4968-AF02-95BE719F8125}"/>
    <cellStyle name="20% - Accent6 2 2 2 3 5" xfId="19782" xr:uid="{7CA65199-C2CA-430B-A30E-D51ECE0A624D}"/>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ACEE8860-F4F9-4464-B6C1-8F7E4BA5D22E}"/>
    <cellStyle name="20% - Accent6 2 2 2 4 2 2 3" xfId="26557" xr:uid="{C11522E6-52F4-40F8-9D28-B17200949296}"/>
    <cellStyle name="20% - Accent6 2 2 2 4 2 3" xfId="13041" xr:uid="{D68FA964-C483-4D3D-8815-068A4F1BB756}"/>
    <cellStyle name="20% - Accent6 2 2 2 4 2 4" xfId="22340" xr:uid="{A48051DB-C5C3-475A-94C5-025AD86AE67A}"/>
    <cellStyle name="20% - Accent6 2 2 2 4 3" xfId="5787" xr:uid="{00000000-0005-0000-0000-000030030000}"/>
    <cellStyle name="20% - Accent6 2 2 2 4 3 2" xfId="15113" xr:uid="{7F55064D-02A2-4F1B-9B32-CF8946A0FA67}"/>
    <cellStyle name="20% - Accent6 2 2 2 4 3 3" xfId="24412" xr:uid="{40608E89-E328-462E-A944-B1A8F130AF09}"/>
    <cellStyle name="20% - Accent6 2 2 2 4 4" xfId="10896" xr:uid="{C8BC1B6A-841F-4744-846A-5CE0D0AF2DDE}"/>
    <cellStyle name="20% - Accent6 2 2 2 4 5" xfId="20195" xr:uid="{DD8449AF-709C-4212-841D-43B5047798E1}"/>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FC7C834B-1EC6-4C1D-A69F-F1FE5B227DE7}"/>
    <cellStyle name="20% - Accent6 2 2 2 5 2 2 3" xfId="26970" xr:uid="{FA1A597A-70C6-48EA-BEB0-1F1D2F2F88B2}"/>
    <cellStyle name="20% - Accent6 2 2 2 5 2 3" xfId="13454" xr:uid="{60FE5AC2-9368-45D8-9DCB-8F6C9541AA82}"/>
    <cellStyle name="20% - Accent6 2 2 2 5 2 4" xfId="22753" xr:uid="{ABD78C28-8795-4FD0-B29F-9A04DB27BE88}"/>
    <cellStyle name="20% - Accent6 2 2 2 5 3" xfId="6200" xr:uid="{00000000-0005-0000-0000-000034030000}"/>
    <cellStyle name="20% - Accent6 2 2 2 5 3 2" xfId="15526" xr:uid="{E8B0511B-D66F-4CF5-A92A-17CE1F13AF24}"/>
    <cellStyle name="20% - Accent6 2 2 2 5 3 3" xfId="24825" xr:uid="{F7EA685F-1FFB-4C01-84C2-BEAB8022D818}"/>
    <cellStyle name="20% - Accent6 2 2 2 5 4" xfId="11309" xr:uid="{755FD0D4-7A14-4C63-972A-B435A292F9B8}"/>
    <cellStyle name="20% - Accent6 2 2 2 5 5" xfId="20608" xr:uid="{9FC077C0-CD1C-4D34-A0DD-90826929CF4E}"/>
    <cellStyle name="20% - Accent6 2 2 2 6" xfId="2307" xr:uid="{00000000-0005-0000-0000-000035030000}"/>
    <cellStyle name="20% - Accent6 2 2 2 6 2" xfId="6613" xr:uid="{00000000-0005-0000-0000-000036030000}"/>
    <cellStyle name="20% - Accent6 2 2 2 6 2 2" xfId="15939" xr:uid="{D483D8DB-4B4B-4442-B1F6-513842C541AB}"/>
    <cellStyle name="20% - Accent6 2 2 2 6 2 3" xfId="25238" xr:uid="{B9B9B558-10E4-4F7A-93F6-8858BF62038C}"/>
    <cellStyle name="20% - Accent6 2 2 2 6 3" xfId="11722" xr:uid="{8204F442-7FCF-43CA-8D59-C04BCA3ACC4A}"/>
    <cellStyle name="20% - Accent6 2 2 2 6 4" xfId="21021" xr:uid="{A871D2E3-7044-4885-8B21-CB4857C2B85B}"/>
    <cellStyle name="20% - Accent6 2 2 2 7" xfId="4547" xr:uid="{00000000-0005-0000-0000-000037030000}"/>
    <cellStyle name="20% - Accent6 2 2 2 7 2" xfId="13873" xr:uid="{C58F8488-64A4-47C0-B30C-0F6E782D8E3D}"/>
    <cellStyle name="20% - Accent6 2 2 2 7 3" xfId="23172" xr:uid="{BCA28F59-3558-4EE7-B1F5-F20FD4ED5B66}"/>
    <cellStyle name="20% - Accent6 2 2 2 8" xfId="9105" xr:uid="{2D3B6B01-F2FB-4D08-A7F9-9902961EFB46}"/>
    <cellStyle name="20% - Accent6 2 2 2 8 2" xfId="18429" xr:uid="{E3E019DA-7489-466F-B125-2657C06EFB9F}"/>
    <cellStyle name="20% - Accent6 2 2 2 8 3" xfId="27727" xr:uid="{974A5353-D181-41D5-AD9B-09C6B5427FD9}"/>
    <cellStyle name="20% - Accent6 2 2 2 9" xfId="9656" xr:uid="{10DCC48A-F921-464B-AA8A-4829C6B974A4}"/>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EAC48706-D341-4A6A-82ED-65F46E5D1167}"/>
    <cellStyle name="20% - Accent6 2 2 3 2 2 3" xfId="25730" xr:uid="{C646D404-4266-4076-8C5A-00E52CF79D4A}"/>
    <cellStyle name="20% - Accent6 2 2 3 2 3" xfId="12214" xr:uid="{2E24EE55-BA35-4DB0-8A16-A241814C2689}"/>
    <cellStyle name="20% - Accent6 2 2 3 2 4" xfId="21513" xr:uid="{C102284D-D28B-4F20-84AF-90FC8328DDAA}"/>
    <cellStyle name="20% - Accent6 2 2 3 3" xfId="4960" xr:uid="{00000000-0005-0000-0000-00003B030000}"/>
    <cellStyle name="20% - Accent6 2 2 3 3 2" xfId="14286" xr:uid="{532EDFFD-D74D-40B0-8AD2-CF0ADC09F691}"/>
    <cellStyle name="20% - Accent6 2 2 3 3 3" xfId="23585" xr:uid="{D2F8AE88-2B42-4C6B-A14A-722414BAF24C}"/>
    <cellStyle name="20% - Accent6 2 2 3 4" xfId="9323" xr:uid="{93CC3C58-EC1C-4AC6-8D02-E00EFD80A494}"/>
    <cellStyle name="20% - Accent6 2 2 3 4 2" xfId="18638" xr:uid="{97387A41-5D27-4BBD-9443-E75E237DCBF9}"/>
    <cellStyle name="20% - Accent6 2 2 3 4 3" xfId="27935" xr:uid="{204C857B-03CC-4138-85DD-5706D7ECFD26}"/>
    <cellStyle name="20% - Accent6 2 2 3 5" xfId="10069" xr:uid="{B532C7DF-98C1-42E1-8504-3D50CEB9D21D}"/>
    <cellStyle name="20% - Accent6 2 2 3 6" xfId="19368" xr:uid="{4564D112-FD11-49A2-8D82-9BA41960FFC5}"/>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837955E1-B0E4-4E0B-8A84-9F983B3324C2}"/>
    <cellStyle name="20% - Accent6 2 2 4 2 2 3" xfId="26143" xr:uid="{0AA04288-08B6-4191-A115-808DF1CE56C9}"/>
    <cellStyle name="20% - Accent6 2 2 4 2 3" xfId="12627" xr:uid="{EBA4858B-273E-40DA-9E49-1DA48C590536}"/>
    <cellStyle name="20% - Accent6 2 2 4 2 4" xfId="21926" xr:uid="{CC0CA3A5-F34F-4424-845F-807C3300CE63}"/>
    <cellStyle name="20% - Accent6 2 2 4 3" xfId="5373" xr:uid="{00000000-0005-0000-0000-00003F030000}"/>
    <cellStyle name="20% - Accent6 2 2 4 3 2" xfId="14699" xr:uid="{09E4C123-C9A6-4D48-89F6-0D845D686F67}"/>
    <cellStyle name="20% - Accent6 2 2 4 3 3" xfId="23998" xr:uid="{AC094AED-94D6-4CFC-9C57-0A975E12A9A1}"/>
    <cellStyle name="20% - Accent6 2 2 4 4" xfId="10482" xr:uid="{61816477-0C2C-4654-862B-EE5C76463C4F}"/>
    <cellStyle name="20% - Accent6 2 2 4 5" xfId="19781" xr:uid="{3B058058-1522-427D-8A71-53420CE5FC8B}"/>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2BC8A6A2-0B39-47A6-A738-254AC0EFAB58}"/>
    <cellStyle name="20% - Accent6 2 2 5 2 2 3" xfId="26556" xr:uid="{D2918DFE-29B0-4B85-89F5-11B7187A0B9B}"/>
    <cellStyle name="20% - Accent6 2 2 5 2 3" xfId="13040" xr:uid="{26437097-B585-4461-A303-255838D41F91}"/>
    <cellStyle name="20% - Accent6 2 2 5 2 4" xfId="22339" xr:uid="{84324CEE-219C-469D-B63F-A605CB24972E}"/>
    <cellStyle name="20% - Accent6 2 2 5 3" xfId="5786" xr:uid="{00000000-0005-0000-0000-000043030000}"/>
    <cellStyle name="20% - Accent6 2 2 5 3 2" xfId="15112" xr:uid="{5842DC19-9B50-4F53-BAAF-EE557D212120}"/>
    <cellStyle name="20% - Accent6 2 2 5 3 3" xfId="24411" xr:uid="{754E827C-C39B-4A95-A0DF-9A3A96CB83D3}"/>
    <cellStyle name="20% - Accent6 2 2 5 4" xfId="10895" xr:uid="{64B29AE7-6F82-4CCF-A766-B34A643E2A21}"/>
    <cellStyle name="20% - Accent6 2 2 5 5" xfId="20194" xr:uid="{277D4CBC-FF50-4A4B-BE00-30F45F8298A6}"/>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193A2643-620F-447C-9998-39210510ACD6}"/>
    <cellStyle name="20% - Accent6 2 2 6 2 2 3" xfId="26969" xr:uid="{18A8A00F-21D6-40FC-B77A-7F42126D4A4E}"/>
    <cellStyle name="20% - Accent6 2 2 6 2 3" xfId="13453" xr:uid="{32A86645-9248-4F32-898F-456B843D0675}"/>
    <cellStyle name="20% - Accent6 2 2 6 2 4" xfId="22752" xr:uid="{92E5C574-EC90-4C4C-9CA1-F3F9BD89AD4C}"/>
    <cellStyle name="20% - Accent6 2 2 6 3" xfId="6199" xr:uid="{00000000-0005-0000-0000-000047030000}"/>
    <cellStyle name="20% - Accent6 2 2 6 3 2" xfId="15525" xr:uid="{95F8C7E9-1D2F-4392-80A5-052E7AD5235F}"/>
    <cellStyle name="20% - Accent6 2 2 6 3 3" xfId="24824" xr:uid="{A04022BE-066B-40B1-9650-DB013CEFB70B}"/>
    <cellStyle name="20% - Accent6 2 2 6 4" xfId="11308" xr:uid="{6EABCBAE-1971-48C9-9D7D-0984A1503DAE}"/>
    <cellStyle name="20% - Accent6 2 2 6 5" xfId="20607" xr:uid="{9D726C38-67AC-4B13-AE35-BF844998B661}"/>
    <cellStyle name="20% - Accent6 2 2 7" xfId="2306" xr:uid="{00000000-0005-0000-0000-000048030000}"/>
    <cellStyle name="20% - Accent6 2 2 7 2" xfId="6612" xr:uid="{00000000-0005-0000-0000-000049030000}"/>
    <cellStyle name="20% - Accent6 2 2 7 2 2" xfId="15938" xr:uid="{11C5EC69-177C-4EE5-8F16-C9198BB7A189}"/>
    <cellStyle name="20% - Accent6 2 2 7 2 3" xfId="25237" xr:uid="{F363CE42-8767-4315-8A62-821D5B1F47FB}"/>
    <cellStyle name="20% - Accent6 2 2 7 3" xfId="11721" xr:uid="{91E8DB95-959F-48DB-81A5-91468CCA7A62}"/>
    <cellStyle name="20% - Accent6 2 2 7 4" xfId="21020" xr:uid="{F045A49A-CAB7-4E95-B2C2-3A8A510D88FC}"/>
    <cellStyle name="20% - Accent6 2 2 8" xfId="4546" xr:uid="{00000000-0005-0000-0000-00004A030000}"/>
    <cellStyle name="20% - Accent6 2 2 8 2" xfId="13872" xr:uid="{C1BCF49F-C178-47CA-A089-D3FBEC68CE65}"/>
    <cellStyle name="20% - Accent6 2 2 8 3" xfId="23171" xr:uid="{5BA39A6D-5CCC-4BE4-90B2-9A714AC07FC4}"/>
    <cellStyle name="20% - Accent6 2 2 9" xfId="8898" xr:uid="{88686F75-037F-4072-9BDC-942546C51E8F}"/>
    <cellStyle name="20% - Accent6 2 2 9 2" xfId="18222" xr:uid="{E4571E54-34CE-4186-853A-695EA0C69FA2}"/>
    <cellStyle name="20% - Accent6 2 2 9 3" xfId="27520" xr:uid="{DC5BC75D-44DD-41C4-9335-5273B28CE927}"/>
    <cellStyle name="20% - Accent6 2 3" xfId="45" xr:uid="{00000000-0005-0000-0000-00004B030000}"/>
    <cellStyle name="20% - Accent6 2 3 10" xfId="18956" xr:uid="{564139BC-6159-4921-9880-742A403451D5}"/>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E501AA40-D815-4DBF-AE2F-EDE2E1119DE6}"/>
    <cellStyle name="20% - Accent6 2 3 2 2 2 3" xfId="25732" xr:uid="{F0E5BA0F-7725-43CE-9CD4-71A3DB0031D5}"/>
    <cellStyle name="20% - Accent6 2 3 2 2 3" xfId="12216" xr:uid="{211E9D63-CF57-4D14-B6F6-31B3C0541206}"/>
    <cellStyle name="20% - Accent6 2 3 2 2 4" xfId="21515" xr:uid="{9E1BF1F9-1675-4BB6-B701-61264C50D7A4}"/>
    <cellStyle name="20% - Accent6 2 3 2 3" xfId="4962" xr:uid="{00000000-0005-0000-0000-00004F030000}"/>
    <cellStyle name="20% - Accent6 2 3 2 3 2" xfId="14288" xr:uid="{F30F595C-F1E2-4D25-B0D1-9454A34BADA3}"/>
    <cellStyle name="20% - Accent6 2 3 2 3 3" xfId="23587" xr:uid="{05C554C2-B66A-4835-BAB9-25DF916B1996}"/>
    <cellStyle name="20% - Accent6 2 3 2 4" xfId="9427" xr:uid="{009378B6-C0A8-4C7C-A9A2-F91104842D93}"/>
    <cellStyle name="20% - Accent6 2 3 2 4 2" xfId="18742" xr:uid="{988FBEBF-0C56-48EB-87C0-6E9489C635E2}"/>
    <cellStyle name="20% - Accent6 2 3 2 4 3" xfId="28039" xr:uid="{2413D2D8-725F-49F1-AB2F-2C35CFE5CE41}"/>
    <cellStyle name="20% - Accent6 2 3 2 5" xfId="10071" xr:uid="{1F780B89-F65B-46B9-A9EB-A5FCE7DA701B}"/>
    <cellStyle name="20% - Accent6 2 3 2 6" xfId="19370" xr:uid="{5360A684-30AF-4F64-825E-CA740B6FE4CC}"/>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852B23EA-5941-4ABF-936B-57D325B44EA7}"/>
    <cellStyle name="20% - Accent6 2 3 3 2 2 3" xfId="26145" xr:uid="{CAE8017F-1437-4F8A-BC73-EB3CE3B129FD}"/>
    <cellStyle name="20% - Accent6 2 3 3 2 3" xfId="12629" xr:uid="{F92A45E4-17F1-4CC6-A754-60DDA41F552B}"/>
    <cellStyle name="20% - Accent6 2 3 3 2 4" xfId="21928" xr:uid="{81F678C1-ADC1-4650-AA5D-1EDE5605F889}"/>
    <cellStyle name="20% - Accent6 2 3 3 3" xfId="5375" xr:uid="{00000000-0005-0000-0000-000053030000}"/>
    <cellStyle name="20% - Accent6 2 3 3 3 2" xfId="14701" xr:uid="{D3C8492D-45C2-4659-B58D-9F1BD18A3F54}"/>
    <cellStyle name="20% - Accent6 2 3 3 3 3" xfId="24000" xr:uid="{83B5B948-B4D3-4C30-BD1F-4CF53A9AC022}"/>
    <cellStyle name="20% - Accent6 2 3 3 4" xfId="10484" xr:uid="{B22AFC96-58EC-4F08-88DB-5671D3A116E9}"/>
    <cellStyle name="20% - Accent6 2 3 3 5" xfId="19783" xr:uid="{3C4A1500-A764-44F5-8D4C-D82D31A8DE11}"/>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7CE599CF-7048-4B21-9BCE-48C9C23A76B8}"/>
    <cellStyle name="20% - Accent6 2 3 4 2 2 3" xfId="26558" xr:uid="{D93198FB-F6B0-48A9-896B-DCD77AEB8FE3}"/>
    <cellStyle name="20% - Accent6 2 3 4 2 3" xfId="13042" xr:uid="{2A42C6DB-6442-4393-8DA2-ADA3414A4455}"/>
    <cellStyle name="20% - Accent6 2 3 4 2 4" xfId="22341" xr:uid="{50C3504E-8F59-478B-ADFF-28D3B0C436AC}"/>
    <cellStyle name="20% - Accent6 2 3 4 3" xfId="5788" xr:uid="{00000000-0005-0000-0000-000057030000}"/>
    <cellStyle name="20% - Accent6 2 3 4 3 2" xfId="15114" xr:uid="{2CF1DDF5-2553-4756-B02C-AA984549608A}"/>
    <cellStyle name="20% - Accent6 2 3 4 3 3" xfId="24413" xr:uid="{9837F76B-DE75-425C-82CC-2EDAA5D08D51}"/>
    <cellStyle name="20% - Accent6 2 3 4 4" xfId="10897" xr:uid="{C07A2AEB-051C-4F98-A8D5-0D72B43948F8}"/>
    <cellStyle name="20% - Accent6 2 3 4 5" xfId="20196" xr:uid="{1C67A45B-CCE9-4F88-9F64-67F183480906}"/>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2F26BCD3-925B-49F2-94E1-FCA15BFE5777}"/>
    <cellStyle name="20% - Accent6 2 3 5 2 2 3" xfId="26971" xr:uid="{D9F9CAAA-2770-4FAC-841E-2989B221B69E}"/>
    <cellStyle name="20% - Accent6 2 3 5 2 3" xfId="13455" xr:uid="{4FCF26BC-10EA-42A8-9060-888943E6CA4A}"/>
    <cellStyle name="20% - Accent6 2 3 5 2 4" xfId="22754" xr:uid="{D91A3C72-473E-40D4-91F0-FC7D88446868}"/>
    <cellStyle name="20% - Accent6 2 3 5 3" xfId="6201" xr:uid="{00000000-0005-0000-0000-00005B030000}"/>
    <cellStyle name="20% - Accent6 2 3 5 3 2" xfId="15527" xr:uid="{91E65230-C846-4799-954B-2DA3933A4DA2}"/>
    <cellStyle name="20% - Accent6 2 3 5 3 3" xfId="24826" xr:uid="{1B613E6C-A158-4897-B3AF-43B3B13EF416}"/>
    <cellStyle name="20% - Accent6 2 3 5 4" xfId="11310" xr:uid="{1AE20B73-3709-4D5F-9F73-0EF0F6905C87}"/>
    <cellStyle name="20% - Accent6 2 3 5 5" xfId="20609" xr:uid="{B6B8DDC3-9743-4B3F-8DCB-35E6666C1599}"/>
    <cellStyle name="20% - Accent6 2 3 6" xfId="2308" xr:uid="{00000000-0005-0000-0000-00005C030000}"/>
    <cellStyle name="20% - Accent6 2 3 6 2" xfId="6614" xr:uid="{00000000-0005-0000-0000-00005D030000}"/>
    <cellStyle name="20% - Accent6 2 3 6 2 2" xfId="15940" xr:uid="{419F4107-D0D6-43B3-91E6-45C314B15ADE}"/>
    <cellStyle name="20% - Accent6 2 3 6 2 3" xfId="25239" xr:uid="{618FDD1F-9DB4-49F0-B396-5101152DC52A}"/>
    <cellStyle name="20% - Accent6 2 3 6 3" xfId="11723" xr:uid="{3CFB6DCD-56CD-4DDF-B11A-E9D0C1D6BB77}"/>
    <cellStyle name="20% - Accent6 2 3 6 4" xfId="21022" xr:uid="{CA772841-6E08-47B9-89C5-71A0DC4ED914}"/>
    <cellStyle name="20% - Accent6 2 3 7" xfId="4548" xr:uid="{00000000-0005-0000-0000-00005E030000}"/>
    <cellStyle name="20% - Accent6 2 3 7 2" xfId="13874" xr:uid="{FBED5B2B-BED6-416E-9E95-341185D8A732}"/>
    <cellStyle name="20% - Accent6 2 3 7 3" xfId="23173" xr:uid="{2A03EE25-5117-4A4D-9818-A5BFFF74107F}"/>
    <cellStyle name="20% - Accent6 2 3 8" xfId="9002" xr:uid="{F69877AB-868C-474F-8F88-C5F2F1F2C041}"/>
    <cellStyle name="20% - Accent6 2 3 8 2" xfId="18326" xr:uid="{278BB41E-A156-4B55-85B7-F0109B062EF6}"/>
    <cellStyle name="20% - Accent6 2 3 8 3" xfId="27624" xr:uid="{E892C2E1-1B98-4B40-B283-7849D705C690}"/>
    <cellStyle name="20% - Accent6 2 3 9" xfId="9657" xr:uid="{CCE645DC-56EC-4549-B5AF-061701BDAD8C}"/>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DAC89F47-57C9-46C4-8C29-C260B40C698D}"/>
    <cellStyle name="20% - Accent6 2 4 2 2 3" xfId="25729" xr:uid="{40E349AB-509A-442C-B375-2D488A65D376}"/>
    <cellStyle name="20% - Accent6 2 4 2 3" xfId="12213" xr:uid="{D9E1B35F-6706-41C5-8A2E-D861EE76D0FB}"/>
    <cellStyle name="20% - Accent6 2 4 2 4" xfId="21512" xr:uid="{98A8A5D6-DF87-4C3D-9AD1-3D11A30A2C86}"/>
    <cellStyle name="20% - Accent6 2 4 3" xfId="4959" xr:uid="{00000000-0005-0000-0000-000062030000}"/>
    <cellStyle name="20% - Accent6 2 4 3 2" xfId="14285" xr:uid="{D0530963-7013-4E42-AFBA-00575E053AF9}"/>
    <cellStyle name="20% - Accent6 2 4 3 3" xfId="23584" xr:uid="{3EA2315A-B201-4A8C-A7A2-3398D823DF6E}"/>
    <cellStyle name="20% - Accent6 2 4 4" xfId="9219" xr:uid="{C8AD75F8-261B-45C4-93F0-0E0A49EEEF79}"/>
    <cellStyle name="20% - Accent6 2 4 4 2" xfId="18535" xr:uid="{7A79ADFB-125F-403B-8140-126BAE170C78}"/>
    <cellStyle name="20% - Accent6 2 4 4 3" xfId="27832" xr:uid="{9DEAFE7A-A86F-4C6A-9766-C7D72FE5EB25}"/>
    <cellStyle name="20% - Accent6 2 4 5" xfId="10068" xr:uid="{17483439-2CDB-4F5F-BD34-C9971CF5E526}"/>
    <cellStyle name="20% - Accent6 2 4 6" xfId="19367" xr:uid="{58A81442-77D9-4FC0-9222-A938C8488811}"/>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9BA130CD-A89D-46D5-B648-C1830454E74C}"/>
    <cellStyle name="20% - Accent6 2 5 2 2 3" xfId="26142" xr:uid="{A65D560E-D044-4297-9779-67C62A29A178}"/>
    <cellStyle name="20% - Accent6 2 5 2 3" xfId="12626" xr:uid="{73F9827F-D1E8-4031-9F14-ED2D6D2B8634}"/>
    <cellStyle name="20% - Accent6 2 5 2 4" xfId="21925" xr:uid="{0177F4C7-D5CB-4F2D-8E3F-D87004F2540A}"/>
    <cellStyle name="20% - Accent6 2 5 3" xfId="5372" xr:uid="{00000000-0005-0000-0000-000066030000}"/>
    <cellStyle name="20% - Accent6 2 5 3 2" xfId="14698" xr:uid="{380323F0-252C-42C9-9C81-3C5D301205B9}"/>
    <cellStyle name="20% - Accent6 2 5 3 3" xfId="23997" xr:uid="{32610D04-0D56-4F4D-A046-5C6A03315224}"/>
    <cellStyle name="20% - Accent6 2 5 4" xfId="10481" xr:uid="{393F8D74-88C5-45D2-AB5B-6564B7C6DE3C}"/>
    <cellStyle name="20% - Accent6 2 5 5" xfId="19780" xr:uid="{FECFC6E8-4939-42D3-85DF-514CCFC29F87}"/>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BD58F8B6-ED17-4259-903A-72AAE7492088}"/>
    <cellStyle name="20% - Accent6 2 6 2 2 3" xfId="26555" xr:uid="{4161068E-BE61-48A2-A974-60DA6A6B89DD}"/>
    <cellStyle name="20% - Accent6 2 6 2 3" xfId="13039" xr:uid="{2FC5F520-8D76-4FAC-A3D7-88A25D8E9531}"/>
    <cellStyle name="20% - Accent6 2 6 2 4" xfId="22338" xr:uid="{FA8711FC-39D8-4E3C-9D65-32463431E6B9}"/>
    <cellStyle name="20% - Accent6 2 6 3" xfId="5785" xr:uid="{00000000-0005-0000-0000-00006A030000}"/>
    <cellStyle name="20% - Accent6 2 6 3 2" xfId="15111" xr:uid="{6F015689-18E7-4A31-A0F0-72CCCF0CFF5A}"/>
    <cellStyle name="20% - Accent6 2 6 3 3" xfId="24410" xr:uid="{5262739D-B3F5-4E52-AA50-15815B30B41E}"/>
    <cellStyle name="20% - Accent6 2 6 4" xfId="10894" xr:uid="{8C7D8457-181E-4D98-994A-A2AF16DEBA2A}"/>
    <cellStyle name="20% - Accent6 2 6 5" xfId="20193" xr:uid="{E4E99313-B113-436C-889D-C0E68D02BC79}"/>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AEC5C86C-03D8-45F3-BF0F-8F92FBBCD95A}"/>
    <cellStyle name="20% - Accent6 2 7 2 2 3" xfId="26968" xr:uid="{602ECC73-A08C-4455-A444-CD8D327AE6AD}"/>
    <cellStyle name="20% - Accent6 2 7 2 3" xfId="13452" xr:uid="{B3878D6E-81B0-4B4C-8ACC-828BA8AB5232}"/>
    <cellStyle name="20% - Accent6 2 7 2 4" xfId="22751" xr:uid="{5322E99F-A207-449E-91F6-BBD96D20333D}"/>
    <cellStyle name="20% - Accent6 2 7 3" xfId="6198" xr:uid="{00000000-0005-0000-0000-00006E030000}"/>
    <cellStyle name="20% - Accent6 2 7 3 2" xfId="15524" xr:uid="{3CEC7A48-CC4F-4BD4-8684-1388CEE9A7D0}"/>
    <cellStyle name="20% - Accent6 2 7 3 3" xfId="24823" xr:uid="{74FD8429-D83A-4C1F-8D22-B7909BFAB6CE}"/>
    <cellStyle name="20% - Accent6 2 7 4" xfId="11307" xr:uid="{9581D1BD-0FC6-41B7-8B65-44C3DE30EB88}"/>
    <cellStyle name="20% - Accent6 2 7 5" xfId="20606" xr:uid="{150A02AA-0A1A-43E5-9A74-75EF71EB61F2}"/>
    <cellStyle name="20% - Accent6 2 8" xfId="2305" xr:uid="{00000000-0005-0000-0000-00006F030000}"/>
    <cellStyle name="20% - Accent6 2 8 2" xfId="6611" xr:uid="{00000000-0005-0000-0000-000070030000}"/>
    <cellStyle name="20% - Accent6 2 8 2 2" xfId="15937" xr:uid="{30642F3D-AD50-47DA-91A2-ADE4B4851EEC}"/>
    <cellStyle name="20% - Accent6 2 8 2 3" xfId="25236" xr:uid="{00364366-FD47-4169-A8CA-6C347E0AA161}"/>
    <cellStyle name="20% - Accent6 2 8 3" xfId="11720" xr:uid="{74D0F5CB-CFE6-4CD2-AD27-E0A38CABB87B}"/>
    <cellStyle name="20% - Accent6 2 8 4" xfId="21019" xr:uid="{64559385-AAFE-4B03-AFED-FDAE131084C6}"/>
    <cellStyle name="20% - Accent6 2 9" xfId="4545" xr:uid="{00000000-0005-0000-0000-000071030000}"/>
    <cellStyle name="20% - Accent6 2 9 2" xfId="13871" xr:uid="{8BB49273-D46D-4022-89E7-99AA8ACBFC20}"/>
    <cellStyle name="20% - Accent6 2 9 3" xfId="23170" xr:uid="{FA91DC65-B6B0-49A5-8868-7BCB731077C8}"/>
    <cellStyle name="20% - Accent6 3" xfId="46" xr:uid="{00000000-0005-0000-0000-000072030000}"/>
    <cellStyle name="20% - Accent6 3 10" xfId="9658" xr:uid="{E15382C8-4CE8-4FBB-9479-C031892F1E26}"/>
    <cellStyle name="20% - Accent6 3 11" xfId="18957" xr:uid="{F919F14C-7B95-44A2-8D3C-3BC93828D787}"/>
    <cellStyle name="20% - Accent6 3 2" xfId="47" xr:uid="{00000000-0005-0000-0000-000073030000}"/>
    <cellStyle name="20% - Accent6 3 2 10" xfId="18958" xr:uid="{688E2E19-2138-463C-B022-1695D56552CD}"/>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804A9612-962D-4115-B089-F9A9EED21AA4}"/>
    <cellStyle name="20% - Accent6 3 2 2 2 2 3" xfId="25734" xr:uid="{5DA3CD84-8EE3-4B7A-8D43-905429CA4354}"/>
    <cellStyle name="20% - Accent6 3 2 2 2 3" xfId="12218" xr:uid="{F0BE7483-57D0-4171-ABA6-AF557F3E5DF1}"/>
    <cellStyle name="20% - Accent6 3 2 2 2 4" xfId="21517" xr:uid="{08B470F8-27E7-4F92-BE2D-49D5FD158428}"/>
    <cellStyle name="20% - Accent6 3 2 2 3" xfId="4964" xr:uid="{00000000-0005-0000-0000-000077030000}"/>
    <cellStyle name="20% - Accent6 3 2 2 3 2" xfId="14290" xr:uid="{195AD698-2D45-48F6-83F7-F2C89F42037A}"/>
    <cellStyle name="20% - Accent6 3 2 2 3 3" xfId="23589" xr:uid="{A37B12C2-1696-4643-A933-B723B0120D1F}"/>
    <cellStyle name="20% - Accent6 3 2 2 4" xfId="9503" xr:uid="{A5A3EDF8-16EA-4A86-8795-C3BA46FE244A}"/>
    <cellStyle name="20% - Accent6 3 2 2 4 2" xfId="18818" xr:uid="{FC1D956F-AAEC-4617-8150-787D6A35E279}"/>
    <cellStyle name="20% - Accent6 3 2 2 4 3" xfId="28115" xr:uid="{E6B996CB-A589-4B64-91D1-9210C8DAEF60}"/>
    <cellStyle name="20% - Accent6 3 2 2 5" xfId="10073" xr:uid="{332884AB-A170-4906-A8DA-171ADCAB2C5A}"/>
    <cellStyle name="20% - Accent6 3 2 2 6" xfId="19372" xr:uid="{C6E69F40-20B4-4FCC-A250-DF02D61DEDB1}"/>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58AD047C-B1A2-4A43-A69D-8696D00F717C}"/>
    <cellStyle name="20% - Accent6 3 2 3 2 2 3" xfId="26147" xr:uid="{FAE5FD42-E330-47F0-BC41-97F52FA29D36}"/>
    <cellStyle name="20% - Accent6 3 2 3 2 3" xfId="12631" xr:uid="{B6D55433-C9D6-438F-9FB2-069B34583D1C}"/>
    <cellStyle name="20% - Accent6 3 2 3 2 4" xfId="21930" xr:uid="{62A113D3-0CF3-4AC5-B507-BB2E7499A432}"/>
    <cellStyle name="20% - Accent6 3 2 3 3" xfId="5377" xr:uid="{00000000-0005-0000-0000-00007B030000}"/>
    <cellStyle name="20% - Accent6 3 2 3 3 2" xfId="14703" xr:uid="{E60BF618-6E0E-4182-9ED4-2742B7655BE3}"/>
    <cellStyle name="20% - Accent6 3 2 3 3 3" xfId="24002" xr:uid="{408B4F88-23F1-41D1-A34D-4D131A129765}"/>
    <cellStyle name="20% - Accent6 3 2 3 4" xfId="10486" xr:uid="{865E8970-DC41-4C14-AA07-C66F49EDEB7B}"/>
    <cellStyle name="20% - Accent6 3 2 3 5" xfId="19785" xr:uid="{8989E8FE-78CA-4347-B784-B7555857C2DA}"/>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3193DD5A-3BB5-462A-AAF6-DDAD91E432B8}"/>
    <cellStyle name="20% - Accent6 3 2 4 2 2 3" xfId="26560" xr:uid="{B1C3963C-3DEC-4BCD-B821-8C2934D9234A}"/>
    <cellStyle name="20% - Accent6 3 2 4 2 3" xfId="13044" xr:uid="{B93B1C7A-D2E3-4F94-835C-5E433FED41DF}"/>
    <cellStyle name="20% - Accent6 3 2 4 2 4" xfId="22343" xr:uid="{F2A1E3C8-0D36-4F1E-A8A8-4C066D467B83}"/>
    <cellStyle name="20% - Accent6 3 2 4 3" xfId="5790" xr:uid="{00000000-0005-0000-0000-00007F030000}"/>
    <cellStyle name="20% - Accent6 3 2 4 3 2" xfId="15116" xr:uid="{76FBC542-5F3E-4FA7-A09C-DC49724E52C4}"/>
    <cellStyle name="20% - Accent6 3 2 4 3 3" xfId="24415" xr:uid="{547F1A75-A58A-4BFB-87EE-3F0A63677BCC}"/>
    <cellStyle name="20% - Accent6 3 2 4 4" xfId="10899" xr:uid="{CEA75187-930A-4B3C-9863-EAC17B6C0DA6}"/>
    <cellStyle name="20% - Accent6 3 2 4 5" xfId="20198" xr:uid="{07B1F457-F5CF-4085-8ED0-D92686977F5A}"/>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E56A40D4-6F96-46F7-A92D-E7A39110C8C0}"/>
    <cellStyle name="20% - Accent6 3 2 5 2 2 3" xfId="26973" xr:uid="{67CF2235-7735-4510-9482-23200D00AAA4}"/>
    <cellStyle name="20% - Accent6 3 2 5 2 3" xfId="13457" xr:uid="{13B524BF-CD53-4E17-8120-AFDD5262676F}"/>
    <cellStyle name="20% - Accent6 3 2 5 2 4" xfId="22756" xr:uid="{F02787C3-EDC6-4E71-95C3-4B549E3DDF1F}"/>
    <cellStyle name="20% - Accent6 3 2 5 3" xfId="6203" xr:uid="{00000000-0005-0000-0000-000083030000}"/>
    <cellStyle name="20% - Accent6 3 2 5 3 2" xfId="15529" xr:uid="{B49FCEE8-3026-4AE5-836F-BC2F16B64F6C}"/>
    <cellStyle name="20% - Accent6 3 2 5 3 3" xfId="24828" xr:uid="{F8E7C6A4-1DA4-4FA0-90B8-3DE8BE9AAAB9}"/>
    <cellStyle name="20% - Accent6 3 2 5 4" xfId="11312" xr:uid="{FD643D4A-490A-458A-AE13-013D4C2276CE}"/>
    <cellStyle name="20% - Accent6 3 2 5 5" xfId="20611" xr:uid="{CECF827E-87B6-40DE-B1F6-C312AE5F92DC}"/>
    <cellStyle name="20% - Accent6 3 2 6" xfId="2310" xr:uid="{00000000-0005-0000-0000-000084030000}"/>
    <cellStyle name="20% - Accent6 3 2 6 2" xfId="6616" xr:uid="{00000000-0005-0000-0000-000085030000}"/>
    <cellStyle name="20% - Accent6 3 2 6 2 2" xfId="15942" xr:uid="{E08C49C2-62CC-4C56-9CD1-DE4E46B456E9}"/>
    <cellStyle name="20% - Accent6 3 2 6 2 3" xfId="25241" xr:uid="{FE33ED97-784D-4A01-BEEC-BD7DA4F32ED9}"/>
    <cellStyle name="20% - Accent6 3 2 6 3" xfId="11725" xr:uid="{8033421F-3579-43F6-A8E0-0134367ED93C}"/>
    <cellStyle name="20% - Accent6 3 2 6 4" xfId="21024" xr:uid="{9B8E51F1-88E7-4C81-A541-50A0975131CB}"/>
    <cellStyle name="20% - Accent6 3 2 7" xfId="4550" xr:uid="{00000000-0005-0000-0000-000086030000}"/>
    <cellStyle name="20% - Accent6 3 2 7 2" xfId="13876" xr:uid="{DF693F6B-D6AF-40FE-B51A-F9854972F61A}"/>
    <cellStyle name="20% - Accent6 3 2 7 3" xfId="23175" xr:uid="{6551FF69-1CD7-403E-9035-249A643EB118}"/>
    <cellStyle name="20% - Accent6 3 2 8" xfId="9078" xr:uid="{55C63253-C10A-44F0-A9A1-D3E9AD1B1E77}"/>
    <cellStyle name="20% - Accent6 3 2 8 2" xfId="18402" xr:uid="{4D864350-4DAC-4C97-B977-70E0A8F406FD}"/>
    <cellStyle name="20% - Accent6 3 2 8 3" xfId="27700" xr:uid="{79951D9C-D853-411B-A435-CFF080C7D319}"/>
    <cellStyle name="20% - Accent6 3 2 9" xfId="9659" xr:uid="{F6F6DCAB-FAD9-4538-B5EC-60074A3970DB}"/>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FAEE10C3-1F6A-4CCE-B629-D02BBA53F329}"/>
    <cellStyle name="20% - Accent6 3 3 2 2 3" xfId="25733" xr:uid="{CE030BD9-EF0D-4C07-BF5C-BB9D74C6B0F8}"/>
    <cellStyle name="20% - Accent6 3 3 2 3" xfId="12217" xr:uid="{1E4B31BC-A2DC-4B88-8CD5-C1D8C78FE820}"/>
    <cellStyle name="20% - Accent6 3 3 2 4" xfId="21516" xr:uid="{C2658F38-F326-4B2B-8A12-C6835DAC051E}"/>
    <cellStyle name="20% - Accent6 3 3 3" xfId="4963" xr:uid="{00000000-0005-0000-0000-00008A030000}"/>
    <cellStyle name="20% - Accent6 3 3 3 2" xfId="14289" xr:uid="{D7F9242C-E4E0-47C8-8D9C-FED93292ADEA}"/>
    <cellStyle name="20% - Accent6 3 3 3 3" xfId="23588" xr:uid="{49A68D5B-84C2-467D-8CBF-034BB71B520B}"/>
    <cellStyle name="20% - Accent6 3 3 4" xfId="9296" xr:uid="{68DBDAD1-945F-459A-93CE-56D312D1EDE4}"/>
    <cellStyle name="20% - Accent6 3 3 4 2" xfId="18611" xr:uid="{D5E1CB4D-84C6-457D-BAF2-A9E943871BEC}"/>
    <cellStyle name="20% - Accent6 3 3 4 3" xfId="27908" xr:uid="{FCF94FEC-C83D-466F-B4E8-4849DA6C26AF}"/>
    <cellStyle name="20% - Accent6 3 3 5" xfId="10072" xr:uid="{D0EB9A5E-65D6-4AC6-ACF5-50EC63E04E16}"/>
    <cellStyle name="20% - Accent6 3 3 6" xfId="19371" xr:uid="{414195D8-527B-4956-8732-F55B1820C870}"/>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9597FF87-D7B8-4DAB-B51B-43C8AE574297}"/>
    <cellStyle name="20% - Accent6 3 4 2 2 3" xfId="26146" xr:uid="{7379598A-03F8-4764-84A0-FEF2B34E9D90}"/>
    <cellStyle name="20% - Accent6 3 4 2 3" xfId="12630" xr:uid="{5AEECBF5-77B5-442A-B8BD-1C4E0ED4C2E6}"/>
    <cellStyle name="20% - Accent6 3 4 2 4" xfId="21929" xr:uid="{2A9416C0-7846-45D8-A9E0-8DB36DAA5714}"/>
    <cellStyle name="20% - Accent6 3 4 3" xfId="5376" xr:uid="{00000000-0005-0000-0000-00008E030000}"/>
    <cellStyle name="20% - Accent6 3 4 3 2" xfId="14702" xr:uid="{BAF2D040-C419-4074-BF98-492EEE944543}"/>
    <cellStyle name="20% - Accent6 3 4 3 3" xfId="24001" xr:uid="{668C400B-954B-4D5E-A39A-66B998498312}"/>
    <cellStyle name="20% - Accent6 3 4 4" xfId="10485" xr:uid="{2890CB90-5B0E-49D4-95E5-D6840B2213FA}"/>
    <cellStyle name="20% - Accent6 3 4 5" xfId="19784" xr:uid="{ADAE542A-520D-44F8-9AA6-877B1E195541}"/>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FD05C1B8-F38B-49F9-A1E3-031167D9CF19}"/>
    <cellStyle name="20% - Accent6 3 5 2 2 3" xfId="26559" xr:uid="{96A37C83-0FE6-4B82-AC32-F8BFE7979013}"/>
    <cellStyle name="20% - Accent6 3 5 2 3" xfId="13043" xr:uid="{554D7715-50CD-439D-A173-110160C0B12B}"/>
    <cellStyle name="20% - Accent6 3 5 2 4" xfId="22342" xr:uid="{1DD77F59-3BD0-468D-BBFC-AB3BA3B04887}"/>
    <cellStyle name="20% - Accent6 3 5 3" xfId="5789" xr:uid="{00000000-0005-0000-0000-000092030000}"/>
    <cellStyle name="20% - Accent6 3 5 3 2" xfId="15115" xr:uid="{56B59698-75D5-4356-8087-5848D1FB0B8B}"/>
    <cellStyle name="20% - Accent6 3 5 3 3" xfId="24414" xr:uid="{FC089E76-A4AF-4461-88D3-6FC73C15DE6D}"/>
    <cellStyle name="20% - Accent6 3 5 4" xfId="10898" xr:uid="{EF81743C-C3DF-4BC0-8FD6-66FF76BAE914}"/>
    <cellStyle name="20% - Accent6 3 5 5" xfId="20197" xr:uid="{4BAEF4F0-7E0A-451C-8E1D-21B166D394B5}"/>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E1999E37-5A29-4E5F-8F59-C93C5576900D}"/>
    <cellStyle name="20% - Accent6 3 6 2 2 3" xfId="26972" xr:uid="{05D4E40A-DA29-4EFC-8DE9-754C676782E3}"/>
    <cellStyle name="20% - Accent6 3 6 2 3" xfId="13456" xr:uid="{84BC9405-460C-499C-AC09-A0AB7288EC4D}"/>
    <cellStyle name="20% - Accent6 3 6 2 4" xfId="22755" xr:uid="{3DE27A7F-0C97-48C5-912A-C969B7034DBD}"/>
    <cellStyle name="20% - Accent6 3 6 3" xfId="6202" xr:uid="{00000000-0005-0000-0000-000096030000}"/>
    <cellStyle name="20% - Accent6 3 6 3 2" xfId="15528" xr:uid="{F4AA51E2-4CF4-4C21-97AE-91CE3D261488}"/>
    <cellStyle name="20% - Accent6 3 6 3 3" xfId="24827" xr:uid="{38AB75CD-0DED-49B0-B7A0-833E341CED07}"/>
    <cellStyle name="20% - Accent6 3 6 4" xfId="11311" xr:uid="{63ACE4C4-16F2-49E7-A2E8-EC48092403B5}"/>
    <cellStyle name="20% - Accent6 3 6 5" xfId="20610" xr:uid="{42230678-B81F-434A-AA62-8B1853E26CD1}"/>
    <cellStyle name="20% - Accent6 3 7" xfId="2309" xr:uid="{00000000-0005-0000-0000-000097030000}"/>
    <cellStyle name="20% - Accent6 3 7 2" xfId="6615" xr:uid="{00000000-0005-0000-0000-000098030000}"/>
    <cellStyle name="20% - Accent6 3 7 2 2" xfId="15941" xr:uid="{70CDC5DD-AE9E-4716-A627-29591F1D47CB}"/>
    <cellStyle name="20% - Accent6 3 7 2 3" xfId="25240" xr:uid="{AC8DA45A-A8AC-4AE3-BAC3-D1495BD42492}"/>
    <cellStyle name="20% - Accent6 3 7 3" xfId="11724" xr:uid="{7E330227-96AC-42A3-83D8-F4A632B96841}"/>
    <cellStyle name="20% - Accent6 3 7 4" xfId="21023" xr:uid="{3549AF30-3B4E-4CF6-A995-E99B53C66920}"/>
    <cellStyle name="20% - Accent6 3 8" xfId="4549" xr:uid="{00000000-0005-0000-0000-000099030000}"/>
    <cellStyle name="20% - Accent6 3 8 2" xfId="13875" xr:uid="{BA5B10E5-C7E4-4595-9748-A00AC7DC2995}"/>
    <cellStyle name="20% - Accent6 3 8 3" xfId="23174" xr:uid="{B6B11EBC-2B53-4C27-A006-2A5D1187F6BD}"/>
    <cellStyle name="20% - Accent6 3 9" xfId="8871" xr:uid="{6A653046-C3D6-46DC-9DAA-DA1241CBE9F0}"/>
    <cellStyle name="20% - Accent6 3 9 2" xfId="18195" xr:uid="{0C3FCD14-948F-4423-A918-B119078D539A}"/>
    <cellStyle name="20% - Accent6 3 9 3" xfId="27493" xr:uid="{2F619299-120C-4911-B4D7-F01C4CF6AD2D}"/>
    <cellStyle name="20% - Accent6 4" xfId="48" xr:uid="{00000000-0005-0000-0000-00009A030000}"/>
    <cellStyle name="20% - Accent6 4 10" xfId="18959" xr:uid="{0165D1C1-8C2F-49B2-8CBE-D9ABA2A5BC2B}"/>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90CA6ECD-508E-461E-9B8E-F714DF92F3A2}"/>
    <cellStyle name="20% - Accent6 4 2 2 2 3" xfId="25735" xr:uid="{75E78C96-0CDA-4B59-B4FA-307C05836032}"/>
    <cellStyle name="20% - Accent6 4 2 2 3" xfId="12219" xr:uid="{AC9DB3B6-21B0-48F3-9E0E-A93A5D22E5EF}"/>
    <cellStyle name="20% - Accent6 4 2 2 4" xfId="21518" xr:uid="{3A940A20-041A-4F11-9242-792F82C00E87}"/>
    <cellStyle name="20% - Accent6 4 2 3" xfId="4965" xr:uid="{00000000-0005-0000-0000-00009E030000}"/>
    <cellStyle name="20% - Accent6 4 2 3 2" xfId="14291" xr:uid="{E8E288C6-6A88-4418-9290-5E1301DFFC3A}"/>
    <cellStyle name="20% - Accent6 4 2 3 3" xfId="23590" xr:uid="{C0345791-3BD9-4E6B-9702-DD9E8EE24882}"/>
    <cellStyle name="20% - Accent6 4 2 4" xfId="9382" xr:uid="{704ED43C-A59A-4E80-A03F-B933767E3A55}"/>
    <cellStyle name="20% - Accent6 4 2 4 2" xfId="18697" xr:uid="{7CBA0335-E620-46A5-885D-5E7833FE1E61}"/>
    <cellStyle name="20% - Accent6 4 2 4 3" xfId="27994" xr:uid="{4B064370-05DA-4413-9DB3-B31273617DA1}"/>
    <cellStyle name="20% - Accent6 4 2 5" xfId="10074" xr:uid="{274E5B70-00E8-4D55-8EAA-C69DD735C250}"/>
    <cellStyle name="20% - Accent6 4 2 6" xfId="19373" xr:uid="{A62803BB-1EA4-4CCC-A4E8-BE74C1D1C79F}"/>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70359661-B176-47B3-A907-F7FB0DFB330E}"/>
    <cellStyle name="20% - Accent6 4 3 2 2 3" xfId="26148" xr:uid="{614E7E41-5A4A-449A-A220-AA36D0C20227}"/>
    <cellStyle name="20% - Accent6 4 3 2 3" xfId="12632" xr:uid="{D844F2FA-B814-43F5-9788-1C5FDB508A0A}"/>
    <cellStyle name="20% - Accent6 4 3 2 4" xfId="21931" xr:uid="{F7F9E3E0-F7F6-4C39-A38D-C5AC29D32E35}"/>
    <cellStyle name="20% - Accent6 4 3 3" xfId="5378" xr:uid="{00000000-0005-0000-0000-0000A2030000}"/>
    <cellStyle name="20% - Accent6 4 3 3 2" xfId="14704" xr:uid="{8B65D660-A211-4791-BB8D-E5A65F98E284}"/>
    <cellStyle name="20% - Accent6 4 3 3 3" xfId="24003" xr:uid="{1F7C80EE-61DA-4E0C-A703-B7DB4319CAEB}"/>
    <cellStyle name="20% - Accent6 4 3 4" xfId="10487" xr:uid="{59424957-398C-470E-97CB-3078BED4BBF2}"/>
    <cellStyle name="20% - Accent6 4 3 5" xfId="19786" xr:uid="{D001162C-8878-4EDD-8BC0-81C1255956A2}"/>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FD757ED7-EBD2-45F4-B364-7423687998EC}"/>
    <cellStyle name="20% - Accent6 4 4 2 2 3" xfId="26561" xr:uid="{31481577-D86B-478F-BC01-350B474E482F}"/>
    <cellStyle name="20% - Accent6 4 4 2 3" xfId="13045" xr:uid="{321A4338-3C87-4905-91B2-A0784710FB6A}"/>
    <cellStyle name="20% - Accent6 4 4 2 4" xfId="22344" xr:uid="{F5C27AEB-352B-4071-B48B-B8D89EC83B57}"/>
    <cellStyle name="20% - Accent6 4 4 3" xfId="5791" xr:uid="{00000000-0005-0000-0000-0000A6030000}"/>
    <cellStyle name="20% - Accent6 4 4 3 2" xfId="15117" xr:uid="{5E59031A-9CEF-4441-AFA6-50A0BBD0732D}"/>
    <cellStyle name="20% - Accent6 4 4 3 3" xfId="24416" xr:uid="{FB32F397-A6FA-4F0E-A102-F01973702883}"/>
    <cellStyle name="20% - Accent6 4 4 4" xfId="10900" xr:uid="{33569CF2-4C75-4574-B4AC-F84FDB835360}"/>
    <cellStyle name="20% - Accent6 4 4 5" xfId="20199" xr:uid="{DD02E874-4564-4F97-92CA-DF56DE462634}"/>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D770C3F3-E8F2-4A95-B53F-F65F19D6CAF1}"/>
    <cellStyle name="20% - Accent6 4 5 2 2 3" xfId="26974" xr:uid="{4F94A6CF-8A7C-46AA-B3BC-9D8F605076ED}"/>
    <cellStyle name="20% - Accent6 4 5 2 3" xfId="13458" xr:uid="{071C0A87-6EEB-4436-8DA6-24EF901C0423}"/>
    <cellStyle name="20% - Accent6 4 5 2 4" xfId="22757" xr:uid="{E874D86F-F92F-4A30-A4F2-BE5A909A724C}"/>
    <cellStyle name="20% - Accent6 4 5 3" xfId="6204" xr:uid="{00000000-0005-0000-0000-0000AA030000}"/>
    <cellStyle name="20% - Accent6 4 5 3 2" xfId="15530" xr:uid="{988E9A45-0FFA-43D4-9CC9-7F4678D3BA18}"/>
    <cellStyle name="20% - Accent6 4 5 3 3" xfId="24829" xr:uid="{8C921700-8DE7-4946-8D97-7912A21DFB68}"/>
    <cellStyle name="20% - Accent6 4 5 4" xfId="11313" xr:uid="{F5861513-E4BF-4FF8-A90F-1355A8B416B2}"/>
    <cellStyle name="20% - Accent6 4 5 5" xfId="20612" xr:uid="{355FF463-556E-46AD-8E7B-8CFB80A238F3}"/>
    <cellStyle name="20% - Accent6 4 6" xfId="2311" xr:uid="{00000000-0005-0000-0000-0000AB030000}"/>
    <cellStyle name="20% - Accent6 4 6 2" xfId="6617" xr:uid="{00000000-0005-0000-0000-0000AC030000}"/>
    <cellStyle name="20% - Accent6 4 6 2 2" xfId="15943" xr:uid="{97FEECAB-B6B3-4151-83C4-17ACD97A4340}"/>
    <cellStyle name="20% - Accent6 4 6 2 3" xfId="25242" xr:uid="{5CD04F2E-0509-4BDA-B1FE-43A90B469887}"/>
    <cellStyle name="20% - Accent6 4 6 3" xfId="11726" xr:uid="{35DCCF81-4AA6-4AAD-8A38-B3FC58F10785}"/>
    <cellStyle name="20% - Accent6 4 6 4" xfId="21025" xr:uid="{BA7DFD47-1AEC-4E8B-B059-81F0BF820C7F}"/>
    <cellStyle name="20% - Accent6 4 7" xfId="4551" xr:uid="{00000000-0005-0000-0000-0000AD030000}"/>
    <cellStyle name="20% - Accent6 4 7 2" xfId="13877" xr:uid="{61AFE573-784A-43C2-9529-E6CA3553C744}"/>
    <cellStyle name="20% - Accent6 4 7 3" xfId="23176" xr:uid="{0F9BA2C0-9737-4747-AE7E-10EC88C13A05}"/>
    <cellStyle name="20% - Accent6 4 8" xfId="8957" xr:uid="{03E1DA3A-6A3F-4C0D-9844-2D38E7BA13BC}"/>
    <cellStyle name="20% - Accent6 4 8 2" xfId="18281" xr:uid="{81C6EC36-3D52-4F9F-9306-8E3B77E2D800}"/>
    <cellStyle name="20% - Accent6 4 8 3" xfId="27579" xr:uid="{27312ADD-8B9E-4BDE-A142-75BE117A72C4}"/>
    <cellStyle name="20% - Accent6 4 9" xfId="9660" xr:uid="{3C9551C8-8051-4C3C-A2D2-BB6F1B7B94D2}"/>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4928AA7C-A835-4383-8915-DA316A9131FF}"/>
    <cellStyle name="20% - Accent6 5 2 2 3" xfId="25728" xr:uid="{ECEF3098-DD8E-4C63-B86D-EC9A58F5AFA0}"/>
    <cellStyle name="20% - Accent6 5 2 3" xfId="12212" xr:uid="{DE52A169-F05C-403C-9A42-4C0761E1102A}"/>
    <cellStyle name="20% - Accent6 5 2 4" xfId="21511" xr:uid="{907DAE2F-B943-4352-9987-9EBE8C67FF90}"/>
    <cellStyle name="20% - Accent6 5 3" xfId="4958" xr:uid="{00000000-0005-0000-0000-0000B1030000}"/>
    <cellStyle name="20% - Accent6 5 3 2" xfId="14284" xr:uid="{5E11C0E1-F2A0-4685-816B-433B3B4CDDD6}"/>
    <cellStyle name="20% - Accent6 5 3 3" xfId="23583" xr:uid="{C9C7A092-0607-4C64-A9CD-4D38879237E7}"/>
    <cellStyle name="20% - Accent6 5 4" xfId="9191" xr:uid="{C812E2E5-5572-4E86-9CB6-C7C53792C044}"/>
    <cellStyle name="20% - Accent6 5 4 2" xfId="18508" xr:uid="{91D5E787-EB5A-4B01-A21D-62FC4AEC823F}"/>
    <cellStyle name="20% - Accent6 5 4 3" xfId="27805" xr:uid="{EC91E743-0772-41C4-95F6-797FE0F26AFD}"/>
    <cellStyle name="20% - Accent6 5 5" xfId="10067" xr:uid="{D86D0EEC-69AF-4869-85E4-FE05F7701BEC}"/>
    <cellStyle name="20% - Accent6 5 6" xfId="19366" xr:uid="{405F68CB-9036-4346-A31C-B247589706BC}"/>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39DF4CA0-09A9-4850-B79B-18F38826B2DE}"/>
    <cellStyle name="20% - Accent6 6 2 2 3" xfId="26141" xr:uid="{6104381C-EDFF-4A0B-AB67-94F74A70FAF0}"/>
    <cellStyle name="20% - Accent6 6 2 3" xfId="12625" xr:uid="{D5F97AEF-807E-4A1E-B606-CCE4789B705D}"/>
    <cellStyle name="20% - Accent6 6 2 4" xfId="21924" xr:uid="{EEA1AAF6-E686-4BBA-8F3A-FA2B3633D264}"/>
    <cellStyle name="20% - Accent6 6 3" xfId="5371" xr:uid="{00000000-0005-0000-0000-0000B5030000}"/>
    <cellStyle name="20% - Accent6 6 3 2" xfId="14697" xr:uid="{781E8D97-8F7D-4A7C-94E0-60E8F86B0493}"/>
    <cellStyle name="20% - Accent6 6 3 3" xfId="23996" xr:uid="{836E4573-E693-4B9A-9FE1-24F636331709}"/>
    <cellStyle name="20% - Accent6 6 4" xfId="10480" xr:uid="{CD666774-D605-49EF-A8B9-63342FCE8751}"/>
    <cellStyle name="20% - Accent6 6 5" xfId="19779" xr:uid="{B14141EA-C005-4ED0-B539-45DEAABC11AB}"/>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4947AFFD-A6D6-4B26-84C7-8BFEFF3562FD}"/>
    <cellStyle name="20% - Accent6 7 2 2 3" xfId="26554" xr:uid="{C6FB791B-039C-42A7-84BA-233AE40E1122}"/>
    <cellStyle name="20% - Accent6 7 2 3" xfId="13038" xr:uid="{D58C4848-EC55-4858-91CF-9B7C58491724}"/>
    <cellStyle name="20% - Accent6 7 2 4" xfId="22337" xr:uid="{D0B99098-E419-4EFA-8AB2-D4A7EADB3565}"/>
    <cellStyle name="20% - Accent6 7 3" xfId="5784" xr:uid="{00000000-0005-0000-0000-0000B9030000}"/>
    <cellStyle name="20% - Accent6 7 3 2" xfId="15110" xr:uid="{3A962005-EF15-4F2E-8C0D-730F31012AC4}"/>
    <cellStyle name="20% - Accent6 7 3 3" xfId="24409" xr:uid="{479D4BBA-E87D-456D-932C-1AB24A51C540}"/>
    <cellStyle name="20% - Accent6 7 4" xfId="10893" xr:uid="{6BDE1AFA-EB0A-4408-8CF4-DE80AF93C7B9}"/>
    <cellStyle name="20% - Accent6 7 5" xfId="20192" xr:uid="{6DD47E6C-8D89-4F68-9444-62E562B4B3C5}"/>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5650084E-4BD4-484E-8AD0-EB8A5F62DA6A}"/>
    <cellStyle name="20% - Accent6 8 2 2 3" xfId="26967" xr:uid="{A14B653D-81B4-4760-9FB2-2648F2437644}"/>
    <cellStyle name="20% - Accent6 8 2 3" xfId="13451" xr:uid="{29C44862-C266-4C28-9C3D-C97E1343CA6A}"/>
    <cellStyle name="20% - Accent6 8 2 4" xfId="22750" xr:uid="{B5C9D9CA-EAAE-4E0B-BB50-16D8E1C1C018}"/>
    <cellStyle name="20% - Accent6 8 3" xfId="6197" xr:uid="{00000000-0005-0000-0000-0000BD030000}"/>
    <cellStyle name="20% - Accent6 8 3 2" xfId="15523" xr:uid="{22096669-31A9-4031-A8DA-0016A724098C}"/>
    <cellStyle name="20% - Accent6 8 3 3" xfId="24822" xr:uid="{131413AF-BF1C-4429-833C-7DC6C2C9CE9F}"/>
    <cellStyle name="20% - Accent6 8 4" xfId="11306" xr:uid="{D0680FE5-C361-4768-BECB-7EA69775595C}"/>
    <cellStyle name="20% - Accent6 8 5" xfId="20605" xr:uid="{B6FA81F1-2C75-4791-9AB6-CF028E7A83CC}"/>
    <cellStyle name="20% - Accent6 9" xfId="2304" xr:uid="{00000000-0005-0000-0000-0000BE030000}"/>
    <cellStyle name="20% - Accent6 9 2" xfId="6610" xr:uid="{00000000-0005-0000-0000-0000BF030000}"/>
    <cellStyle name="20% - Accent6 9 2 2" xfId="15936" xr:uid="{2E7B6EDA-B896-418C-9D53-E0FCFFC72FD3}"/>
    <cellStyle name="20% - Accent6 9 2 3" xfId="25235" xr:uid="{6BEA9795-EC79-4B55-B1B5-4AD7951BDE0A}"/>
    <cellStyle name="20% - Accent6 9 3" xfId="11719" xr:uid="{2F878559-5177-415E-95DE-D471F2F421DF}"/>
    <cellStyle name="20% - Accent6 9 4" xfId="21018" xr:uid="{3DEE31F2-17CA-4080-B993-D4D4BBE2A3A2}"/>
    <cellStyle name="40% - Accent1" xfId="49" builtinId="31" customBuiltin="1"/>
    <cellStyle name="40% - Accent1 10" xfId="4552" xr:uid="{00000000-0005-0000-0000-0000C1030000}"/>
    <cellStyle name="40% - Accent1 10 2" xfId="13878" xr:uid="{EDAE4CB1-C590-4F46-91BC-34DF8388EC8B}"/>
    <cellStyle name="40% - Accent1 10 3" xfId="23177" xr:uid="{64774BBD-82DB-442B-B534-48104AADA59B}"/>
    <cellStyle name="40% - Accent1 11" xfId="8759" xr:uid="{E0AA4078-00FF-4C00-81ED-1F048AC6C533}"/>
    <cellStyle name="40% - Accent1 11 2" xfId="18083" xr:uid="{F3E8691F-1EBF-42D8-83A3-2ABE346C0017}"/>
    <cellStyle name="40% - Accent1 11 3" xfId="27381" xr:uid="{17B404A4-97C3-4D57-A4C0-C16F6834BCC0}"/>
    <cellStyle name="40% - Accent1 12" xfId="9661" xr:uid="{5DFB504E-C411-457A-9438-DA002AEDCE46}"/>
    <cellStyle name="40% - Accent1 13" xfId="18960" xr:uid="{9AE3E3C6-AD43-4782-8133-798073A65965}"/>
    <cellStyle name="40% - Accent1 2" xfId="50" xr:uid="{00000000-0005-0000-0000-0000C2030000}"/>
    <cellStyle name="40% - Accent1 2 10" xfId="8798" xr:uid="{82026451-631C-40CA-BC49-BE5DA2EA921A}"/>
    <cellStyle name="40% - Accent1 2 10 2" xfId="18122" xr:uid="{0ED5D59F-7405-4AC6-A836-57FE60D31B51}"/>
    <cellStyle name="40% - Accent1 2 10 3" xfId="27420" xr:uid="{733608C0-75D3-49AD-901F-2DC8C813C597}"/>
    <cellStyle name="40% - Accent1 2 11" xfId="9662" xr:uid="{D0417F98-0A6A-4522-84AF-3EC2F0B5B68C}"/>
    <cellStyle name="40% - Accent1 2 12" xfId="18961" xr:uid="{F9A604E1-B22A-4818-95EB-96200D7FE197}"/>
    <cellStyle name="40% - Accent1 2 2" xfId="51" xr:uid="{00000000-0005-0000-0000-0000C3030000}"/>
    <cellStyle name="40% - Accent1 2 2 10" xfId="9663" xr:uid="{59DA6EA5-E00D-4262-B352-DCCC1AE809A9}"/>
    <cellStyle name="40% - Accent1 2 2 11" xfId="18962" xr:uid="{D50FE431-0FAA-4435-B17A-3C33BFA1459C}"/>
    <cellStyle name="40% - Accent1 2 2 2" xfId="52" xr:uid="{00000000-0005-0000-0000-0000C4030000}"/>
    <cellStyle name="40% - Accent1 2 2 2 10" xfId="18963" xr:uid="{09A6D1DE-F2EE-40E1-B072-E31A66409731}"/>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AE07CBD6-BD91-4E84-AABB-321403D19F9B}"/>
    <cellStyle name="40% - Accent1 2 2 2 2 2 2 3" xfId="25739" xr:uid="{15A88B3C-BF34-4D21-A380-210232514F92}"/>
    <cellStyle name="40% - Accent1 2 2 2 2 2 3" xfId="12223" xr:uid="{F91C0216-DD53-4A5C-B58C-0BB294ED48F7}"/>
    <cellStyle name="40% - Accent1 2 2 2 2 2 4" xfId="21522" xr:uid="{EB1E2C1F-F391-4727-866E-94F616BA56B0}"/>
    <cellStyle name="40% - Accent1 2 2 2 2 3" xfId="4969" xr:uid="{00000000-0005-0000-0000-0000C8030000}"/>
    <cellStyle name="40% - Accent1 2 2 2 2 3 2" xfId="14295" xr:uid="{72AF5340-EBF4-42B2-91C8-2DFD6D386E91}"/>
    <cellStyle name="40% - Accent1 2 2 2 2 3 3" xfId="23594" xr:uid="{121AA404-9461-4A84-AAA1-A4EA7D21EF68}"/>
    <cellStyle name="40% - Accent1 2 2 2 2 4" xfId="9533" xr:uid="{757B5AC4-115E-4B90-B4EA-505C31F9B178}"/>
    <cellStyle name="40% - Accent1 2 2 2 2 4 2" xfId="18848" xr:uid="{8F5A1E89-E0A5-46FD-BF14-0079121C4AE9}"/>
    <cellStyle name="40% - Accent1 2 2 2 2 4 3" xfId="28145" xr:uid="{700C871F-C23E-4DDE-AE9B-5AFCB6825C39}"/>
    <cellStyle name="40% - Accent1 2 2 2 2 5" xfId="10078" xr:uid="{25263337-AB43-483B-BF90-22D80F95692A}"/>
    <cellStyle name="40% - Accent1 2 2 2 2 6" xfId="19377" xr:uid="{A97DE8CF-31D5-473F-B7B6-A09C9301C43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AFE8558B-BA34-488B-B9CA-407A3A240C59}"/>
    <cellStyle name="40% - Accent1 2 2 2 3 2 2 3" xfId="26152" xr:uid="{4EC10B9B-23C8-46D1-A10F-1EBB20E5901F}"/>
    <cellStyle name="40% - Accent1 2 2 2 3 2 3" xfId="12636" xr:uid="{6A6FAB09-E21B-48FA-9DB2-D6847E7DA162}"/>
    <cellStyle name="40% - Accent1 2 2 2 3 2 4" xfId="21935" xr:uid="{5F62B04C-C592-405F-A31F-B073DE1D7E42}"/>
    <cellStyle name="40% - Accent1 2 2 2 3 3" xfId="5382" xr:uid="{00000000-0005-0000-0000-0000CC030000}"/>
    <cellStyle name="40% - Accent1 2 2 2 3 3 2" xfId="14708" xr:uid="{8EFA650A-463D-44A4-8C6F-C3BF189494CF}"/>
    <cellStyle name="40% - Accent1 2 2 2 3 3 3" xfId="24007" xr:uid="{7976D7E8-8065-425F-A828-F37F27922817}"/>
    <cellStyle name="40% - Accent1 2 2 2 3 4" xfId="10491" xr:uid="{473E4B4C-429E-4BD9-9E52-10D97A719F27}"/>
    <cellStyle name="40% - Accent1 2 2 2 3 5" xfId="19790" xr:uid="{9D186566-F22E-483D-BDF7-9EBC2ED97C67}"/>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130323D5-7B09-4D1D-AD70-DC2B9175EBB8}"/>
    <cellStyle name="40% - Accent1 2 2 2 4 2 2 3" xfId="26565" xr:uid="{28B9E910-770C-4AEB-9E68-96B3CE0FBE7F}"/>
    <cellStyle name="40% - Accent1 2 2 2 4 2 3" xfId="13049" xr:uid="{B19A00DA-936B-4D06-8B42-5E77D5C5DD26}"/>
    <cellStyle name="40% - Accent1 2 2 2 4 2 4" xfId="22348" xr:uid="{1F36BB63-1437-4A99-A2B9-8746706F39E3}"/>
    <cellStyle name="40% - Accent1 2 2 2 4 3" xfId="5795" xr:uid="{00000000-0005-0000-0000-0000D0030000}"/>
    <cellStyle name="40% - Accent1 2 2 2 4 3 2" xfId="15121" xr:uid="{12F06559-935A-4C8D-92B7-BAA02FFB65DF}"/>
    <cellStyle name="40% - Accent1 2 2 2 4 3 3" xfId="24420" xr:uid="{F57E79CF-3DF0-4CBF-9974-02E18F64CB9C}"/>
    <cellStyle name="40% - Accent1 2 2 2 4 4" xfId="10904" xr:uid="{DCDEE84D-1F3A-4870-B7F9-A51BA34CD2E8}"/>
    <cellStyle name="40% - Accent1 2 2 2 4 5" xfId="20203" xr:uid="{A5413A02-2F17-43D5-A810-F287FDE80DD1}"/>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0EDA0589-F632-4CCF-BFBF-026590701A60}"/>
    <cellStyle name="40% - Accent1 2 2 2 5 2 2 3" xfId="26978" xr:uid="{6EA5764E-6E3D-46C8-B859-05BA44700FB7}"/>
    <cellStyle name="40% - Accent1 2 2 2 5 2 3" xfId="13462" xr:uid="{2EBD3BE9-F604-4604-8C29-1AC9456CED07}"/>
    <cellStyle name="40% - Accent1 2 2 2 5 2 4" xfId="22761" xr:uid="{6BF19711-F5BA-4AC5-BBD1-991DB8DDD9B9}"/>
    <cellStyle name="40% - Accent1 2 2 2 5 3" xfId="6208" xr:uid="{00000000-0005-0000-0000-0000D4030000}"/>
    <cellStyle name="40% - Accent1 2 2 2 5 3 2" xfId="15534" xr:uid="{5315D37C-34BE-46A0-9F31-CF9C3B96418D}"/>
    <cellStyle name="40% - Accent1 2 2 2 5 3 3" xfId="24833" xr:uid="{B22CA399-0F4B-4FA6-AF04-E8B3B59A8A20}"/>
    <cellStyle name="40% - Accent1 2 2 2 5 4" xfId="11317" xr:uid="{4D15F5E5-9C0D-45C4-8658-A7C894466401}"/>
    <cellStyle name="40% - Accent1 2 2 2 5 5" xfId="20616" xr:uid="{BC7517C3-90A0-4143-81DA-9B24A871306C}"/>
    <cellStyle name="40% - Accent1 2 2 2 6" xfId="2315" xr:uid="{00000000-0005-0000-0000-0000D5030000}"/>
    <cellStyle name="40% - Accent1 2 2 2 6 2" xfId="6621" xr:uid="{00000000-0005-0000-0000-0000D6030000}"/>
    <cellStyle name="40% - Accent1 2 2 2 6 2 2" xfId="15947" xr:uid="{6FD23FD8-9898-4918-8307-99DE8D55D4D7}"/>
    <cellStyle name="40% - Accent1 2 2 2 6 2 3" xfId="25246" xr:uid="{72A228A7-D72E-4891-8406-254FD5F3F0D5}"/>
    <cellStyle name="40% - Accent1 2 2 2 6 3" xfId="11730" xr:uid="{40A6AE23-8179-4C53-B50E-1DD78398F9B1}"/>
    <cellStyle name="40% - Accent1 2 2 2 6 4" xfId="21029" xr:uid="{0B806DCA-56E5-4DE0-B6AC-902BC0139C44}"/>
    <cellStyle name="40% - Accent1 2 2 2 7" xfId="4555" xr:uid="{00000000-0005-0000-0000-0000D7030000}"/>
    <cellStyle name="40% - Accent1 2 2 2 7 2" xfId="13881" xr:uid="{F5053894-73D4-460E-9C1F-6403320E1AE6}"/>
    <cellStyle name="40% - Accent1 2 2 2 7 3" xfId="23180" xr:uid="{634610B7-8DDC-4983-8E88-7F2969A66023}"/>
    <cellStyle name="40% - Accent1 2 2 2 8" xfId="9108" xr:uid="{1189B5E8-DD3C-4F9A-ACD3-DB853C0AC60B}"/>
    <cellStyle name="40% - Accent1 2 2 2 8 2" xfId="18432" xr:uid="{D49308AB-9245-460F-8594-6E7A7EDBC640}"/>
    <cellStyle name="40% - Accent1 2 2 2 8 3" xfId="27730" xr:uid="{BB4B0FF1-5470-4BC7-A0FD-A190A5594514}"/>
    <cellStyle name="40% - Accent1 2 2 2 9" xfId="9664" xr:uid="{CD386BF5-8547-442E-86CE-1EAD3C41F35F}"/>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00D3402D-EA79-42F5-9700-350A3B92265C}"/>
    <cellStyle name="40% - Accent1 2 2 3 2 2 3" xfId="25738" xr:uid="{B47BACED-FAE9-4453-893B-DCAE3F256730}"/>
    <cellStyle name="40% - Accent1 2 2 3 2 3" xfId="12222" xr:uid="{97587F0B-EE1C-45B3-BF20-0F581E0335D4}"/>
    <cellStyle name="40% - Accent1 2 2 3 2 4" xfId="21521" xr:uid="{23862D29-CDA6-4AD7-A523-721727E670C8}"/>
    <cellStyle name="40% - Accent1 2 2 3 3" xfId="4968" xr:uid="{00000000-0005-0000-0000-0000DB030000}"/>
    <cellStyle name="40% - Accent1 2 2 3 3 2" xfId="14294" xr:uid="{8713A79B-1D60-41EF-B972-F272DFDBBFBE}"/>
    <cellStyle name="40% - Accent1 2 2 3 3 3" xfId="23593" xr:uid="{2C99DE51-6391-42E5-8BDF-CC42D5AE0ACF}"/>
    <cellStyle name="40% - Accent1 2 2 3 4" xfId="9326" xr:uid="{6D693950-F4D3-4A82-8C01-49E2379281D4}"/>
    <cellStyle name="40% - Accent1 2 2 3 4 2" xfId="18641" xr:uid="{A9CBB7E1-3B74-423E-85F2-AE75EE34B0D5}"/>
    <cellStyle name="40% - Accent1 2 2 3 4 3" xfId="27938" xr:uid="{BF7AEA0C-2D50-4684-8641-273AC38E4191}"/>
    <cellStyle name="40% - Accent1 2 2 3 5" xfId="10077" xr:uid="{03B61C66-1B4F-4E05-A5BF-38F8D59F7979}"/>
    <cellStyle name="40% - Accent1 2 2 3 6" xfId="19376" xr:uid="{E6E3C143-4952-4DE0-BADD-49B9EA62E986}"/>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A9160251-90D1-4272-BE18-0C0DB5553CDB}"/>
    <cellStyle name="40% - Accent1 2 2 4 2 2 3" xfId="26151" xr:uid="{0446A9DB-683C-43E8-96AB-D91A1263D329}"/>
    <cellStyle name="40% - Accent1 2 2 4 2 3" xfId="12635" xr:uid="{411DA935-36CF-44AB-92B9-C2C2014B874B}"/>
    <cellStyle name="40% - Accent1 2 2 4 2 4" xfId="21934" xr:uid="{7831668A-C797-4FEC-90E0-2A6E59EF12DE}"/>
    <cellStyle name="40% - Accent1 2 2 4 3" xfId="5381" xr:uid="{00000000-0005-0000-0000-0000DF030000}"/>
    <cellStyle name="40% - Accent1 2 2 4 3 2" xfId="14707" xr:uid="{BFDBFF49-F931-4D43-894D-63590833E148}"/>
    <cellStyle name="40% - Accent1 2 2 4 3 3" xfId="24006" xr:uid="{3726CBAC-78E0-414A-B854-06C2B5D3EBCB}"/>
    <cellStyle name="40% - Accent1 2 2 4 4" xfId="10490" xr:uid="{B628F28A-52FC-4524-8095-BDCC5BAD8488}"/>
    <cellStyle name="40% - Accent1 2 2 4 5" xfId="19789" xr:uid="{AA53F038-2B4B-495A-B19B-EF15C906354F}"/>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05F5B0AD-75B4-4718-BF99-95520936C272}"/>
    <cellStyle name="40% - Accent1 2 2 5 2 2 3" xfId="26564" xr:uid="{0FCDA55C-0774-4700-A602-1435C0A08DFE}"/>
    <cellStyle name="40% - Accent1 2 2 5 2 3" xfId="13048" xr:uid="{25AE27BA-25C3-45BD-AFA2-9AF013235A95}"/>
    <cellStyle name="40% - Accent1 2 2 5 2 4" xfId="22347" xr:uid="{D8A7548D-C5FB-441F-86B3-3D186CEB8147}"/>
    <cellStyle name="40% - Accent1 2 2 5 3" xfId="5794" xr:uid="{00000000-0005-0000-0000-0000E3030000}"/>
    <cellStyle name="40% - Accent1 2 2 5 3 2" xfId="15120" xr:uid="{4FD384B2-BBE8-43A6-A07C-1AE8D235C19F}"/>
    <cellStyle name="40% - Accent1 2 2 5 3 3" xfId="24419" xr:uid="{A998E17B-82D4-4451-9AF6-E95398409F50}"/>
    <cellStyle name="40% - Accent1 2 2 5 4" xfId="10903" xr:uid="{0148EDCF-5914-417D-B0DC-B0BDA6481172}"/>
    <cellStyle name="40% - Accent1 2 2 5 5" xfId="20202" xr:uid="{E520AD3F-04E6-4AF9-BB8A-6044C0F01B21}"/>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E4A181DE-575E-44C8-BE3F-5319D0A996B4}"/>
    <cellStyle name="40% - Accent1 2 2 6 2 2 3" xfId="26977" xr:uid="{AE1509D1-0D39-4CF6-ACE3-1040D3F5637C}"/>
    <cellStyle name="40% - Accent1 2 2 6 2 3" xfId="13461" xr:uid="{FF8664E3-9F7C-4D5C-AC51-3D9E1F99B18A}"/>
    <cellStyle name="40% - Accent1 2 2 6 2 4" xfId="22760" xr:uid="{95E21220-AF42-4A2D-BE12-D4942AA47637}"/>
    <cellStyle name="40% - Accent1 2 2 6 3" xfId="6207" xr:uid="{00000000-0005-0000-0000-0000E7030000}"/>
    <cellStyle name="40% - Accent1 2 2 6 3 2" xfId="15533" xr:uid="{2A545A12-C828-46B9-955E-FAF35BFCDFB8}"/>
    <cellStyle name="40% - Accent1 2 2 6 3 3" xfId="24832" xr:uid="{B2AEFE41-0A68-461F-BA80-6DAD54DCF552}"/>
    <cellStyle name="40% - Accent1 2 2 6 4" xfId="11316" xr:uid="{2F62B6B3-8F4B-49F5-A6BE-5849207AE127}"/>
    <cellStyle name="40% - Accent1 2 2 6 5" xfId="20615" xr:uid="{2BC5BBF5-BB72-41D8-8834-0FCF75AE4C3C}"/>
    <cellStyle name="40% - Accent1 2 2 7" xfId="2314" xr:uid="{00000000-0005-0000-0000-0000E8030000}"/>
    <cellStyle name="40% - Accent1 2 2 7 2" xfId="6620" xr:uid="{00000000-0005-0000-0000-0000E9030000}"/>
    <cellStyle name="40% - Accent1 2 2 7 2 2" xfId="15946" xr:uid="{EEE68DA3-89FB-4394-98FB-09BB37610980}"/>
    <cellStyle name="40% - Accent1 2 2 7 2 3" xfId="25245" xr:uid="{F3E7B4F0-DEC9-476D-ABA3-D7E57C8D739B}"/>
    <cellStyle name="40% - Accent1 2 2 7 3" xfId="11729" xr:uid="{DECC4ACE-3A05-48D2-8240-1C927282EA49}"/>
    <cellStyle name="40% - Accent1 2 2 7 4" xfId="21028" xr:uid="{4D2A95A3-2416-400B-AB02-4145BA632314}"/>
    <cellStyle name="40% - Accent1 2 2 8" xfId="4554" xr:uid="{00000000-0005-0000-0000-0000EA030000}"/>
    <cellStyle name="40% - Accent1 2 2 8 2" xfId="13880" xr:uid="{C2D2D27B-1603-43F0-AF56-547DF7902499}"/>
    <cellStyle name="40% - Accent1 2 2 8 3" xfId="23179" xr:uid="{29EC914F-6FD4-4704-BE58-A47976B791E9}"/>
    <cellStyle name="40% - Accent1 2 2 9" xfId="8901" xr:uid="{10130317-AF31-4351-8201-FD8BD447EA3C}"/>
    <cellStyle name="40% - Accent1 2 2 9 2" xfId="18225" xr:uid="{C40EECF6-09BD-4127-A6D3-5C8A15980344}"/>
    <cellStyle name="40% - Accent1 2 2 9 3" xfId="27523" xr:uid="{AF1EAF1F-E86C-4057-A2F0-8B7157DDBA73}"/>
    <cellStyle name="40% - Accent1 2 3" xfId="53" xr:uid="{00000000-0005-0000-0000-0000EB030000}"/>
    <cellStyle name="40% - Accent1 2 3 10" xfId="18964" xr:uid="{9DFC4D55-6714-4FD2-94E3-5FB4402FB29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3583F13C-F799-4AA0-B3EB-DAA180D84065}"/>
    <cellStyle name="40% - Accent1 2 3 2 2 2 3" xfId="25740" xr:uid="{FDC01C24-87DF-4375-92F6-E845A51AF844}"/>
    <cellStyle name="40% - Accent1 2 3 2 2 3" xfId="12224" xr:uid="{5D4A8CA7-D0C4-44A3-833C-FCD761DC45DA}"/>
    <cellStyle name="40% - Accent1 2 3 2 2 4" xfId="21523" xr:uid="{E4E5F3B5-92F9-42B1-B00A-0C23A9490D9D}"/>
    <cellStyle name="40% - Accent1 2 3 2 3" xfId="4970" xr:uid="{00000000-0005-0000-0000-0000EF030000}"/>
    <cellStyle name="40% - Accent1 2 3 2 3 2" xfId="14296" xr:uid="{3DA00689-77F3-48DB-B650-F52409040A4F}"/>
    <cellStyle name="40% - Accent1 2 3 2 3 3" xfId="23595" xr:uid="{6B691293-9273-4121-A025-2922DE67490A}"/>
    <cellStyle name="40% - Accent1 2 3 2 4" xfId="9430" xr:uid="{C79D1FB2-141C-4301-8F37-B3B9643C0550}"/>
    <cellStyle name="40% - Accent1 2 3 2 4 2" xfId="18745" xr:uid="{B1AF673E-71C4-458E-BF03-58CF5E6F5C8F}"/>
    <cellStyle name="40% - Accent1 2 3 2 4 3" xfId="28042" xr:uid="{22FC0734-F60B-4D10-A122-3F1D619CA1DD}"/>
    <cellStyle name="40% - Accent1 2 3 2 5" xfId="10079" xr:uid="{BFE00A02-E86D-44AD-8853-26F24028B38A}"/>
    <cellStyle name="40% - Accent1 2 3 2 6" xfId="19378" xr:uid="{EEE05CCB-13B6-473C-BCBE-5C0E6E66BFD5}"/>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CDC46199-D0FD-41DB-A9C9-244EC5661B33}"/>
    <cellStyle name="40% - Accent1 2 3 3 2 2 3" xfId="26153" xr:uid="{C3D0E695-D7CE-4E50-9180-06F1340A7EE7}"/>
    <cellStyle name="40% - Accent1 2 3 3 2 3" xfId="12637" xr:uid="{B0FD0856-C0E5-4660-99A8-C37F0A606E7B}"/>
    <cellStyle name="40% - Accent1 2 3 3 2 4" xfId="21936" xr:uid="{ED10B22C-6BFB-49F6-B74C-94BF9BF41D61}"/>
    <cellStyle name="40% - Accent1 2 3 3 3" xfId="5383" xr:uid="{00000000-0005-0000-0000-0000F3030000}"/>
    <cellStyle name="40% - Accent1 2 3 3 3 2" xfId="14709" xr:uid="{E89F4E83-DCDE-4EEC-910B-6836D0E4A06A}"/>
    <cellStyle name="40% - Accent1 2 3 3 3 3" xfId="24008" xr:uid="{69D8E88A-267A-48B4-AAC8-C13D9ADF78F9}"/>
    <cellStyle name="40% - Accent1 2 3 3 4" xfId="10492" xr:uid="{B1CA4B8F-27D1-4B33-9861-42A2F22BEC16}"/>
    <cellStyle name="40% - Accent1 2 3 3 5" xfId="19791" xr:uid="{687ED465-ACD4-4FAD-BC94-7A9AAFE52DC7}"/>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D729FB8A-6CD7-4E4F-AB73-E1D2329A2B80}"/>
    <cellStyle name="40% - Accent1 2 3 4 2 2 3" xfId="26566" xr:uid="{7CF10DDA-435C-4166-8FD7-C9FDD7E0BCFE}"/>
    <cellStyle name="40% - Accent1 2 3 4 2 3" xfId="13050" xr:uid="{36574836-1A74-45B7-95C4-3101329535BA}"/>
    <cellStyle name="40% - Accent1 2 3 4 2 4" xfId="22349" xr:uid="{F0344FE5-41FE-4EEA-BB02-C7E83360F4FD}"/>
    <cellStyle name="40% - Accent1 2 3 4 3" xfId="5796" xr:uid="{00000000-0005-0000-0000-0000F7030000}"/>
    <cellStyle name="40% - Accent1 2 3 4 3 2" xfId="15122" xr:uid="{AF33D151-3925-47AA-B0FB-64437C5B9FD9}"/>
    <cellStyle name="40% - Accent1 2 3 4 3 3" xfId="24421" xr:uid="{2ABA3AF1-88E4-4B32-A2F7-3DCBFF58BEEE}"/>
    <cellStyle name="40% - Accent1 2 3 4 4" xfId="10905" xr:uid="{6457606B-19AE-492D-9AA6-A0DBBAB14854}"/>
    <cellStyle name="40% - Accent1 2 3 4 5" xfId="20204" xr:uid="{0550416F-FAB0-4C89-A771-5A3E6E65ED17}"/>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5CEFAB2D-FA5D-47D3-BD0A-C0505BB12F62}"/>
    <cellStyle name="40% - Accent1 2 3 5 2 2 3" xfId="26979" xr:uid="{859F1979-3320-4267-A18F-E20A1B41C956}"/>
    <cellStyle name="40% - Accent1 2 3 5 2 3" xfId="13463" xr:uid="{012CD6CB-D30F-48B7-B95E-C02E4F657D55}"/>
    <cellStyle name="40% - Accent1 2 3 5 2 4" xfId="22762" xr:uid="{F8F34193-DF2B-42D5-8581-43C1BA2E9166}"/>
    <cellStyle name="40% - Accent1 2 3 5 3" xfId="6209" xr:uid="{00000000-0005-0000-0000-0000FB030000}"/>
    <cellStyle name="40% - Accent1 2 3 5 3 2" xfId="15535" xr:uid="{6F6B2FEF-1E8F-4C05-B701-75F137E9302F}"/>
    <cellStyle name="40% - Accent1 2 3 5 3 3" xfId="24834" xr:uid="{96C0DDEA-9F0E-4ABD-9EA9-0E60EDED0C0D}"/>
    <cellStyle name="40% - Accent1 2 3 5 4" xfId="11318" xr:uid="{12698F88-0FF3-430D-9D28-F5B258222FB2}"/>
    <cellStyle name="40% - Accent1 2 3 5 5" xfId="20617" xr:uid="{CCF22F00-69E6-4636-AFEE-1B7A0EC98ADC}"/>
    <cellStyle name="40% - Accent1 2 3 6" xfId="2316" xr:uid="{00000000-0005-0000-0000-0000FC030000}"/>
    <cellStyle name="40% - Accent1 2 3 6 2" xfId="6622" xr:uid="{00000000-0005-0000-0000-0000FD030000}"/>
    <cellStyle name="40% - Accent1 2 3 6 2 2" xfId="15948" xr:uid="{42E5E224-9DF5-42EF-BC47-1C4BECF5C5B8}"/>
    <cellStyle name="40% - Accent1 2 3 6 2 3" xfId="25247" xr:uid="{F391F59F-F7DF-4F07-B58B-79844A563EF5}"/>
    <cellStyle name="40% - Accent1 2 3 6 3" xfId="11731" xr:uid="{1D10ECCA-58EA-45AE-804F-66BD5ABD84E8}"/>
    <cellStyle name="40% - Accent1 2 3 6 4" xfId="21030" xr:uid="{5832F364-C648-424D-B605-201714198969}"/>
    <cellStyle name="40% - Accent1 2 3 7" xfId="4556" xr:uid="{00000000-0005-0000-0000-0000FE030000}"/>
    <cellStyle name="40% - Accent1 2 3 7 2" xfId="13882" xr:uid="{65916311-E7E9-4C15-8509-5CDFE2B3F6B5}"/>
    <cellStyle name="40% - Accent1 2 3 7 3" xfId="23181" xr:uid="{89AB041D-1DA7-44BA-A68A-67F8E39C3816}"/>
    <cellStyle name="40% - Accent1 2 3 8" xfId="9005" xr:uid="{83AF69B9-664F-4E19-B721-7989C2FEBC0C}"/>
    <cellStyle name="40% - Accent1 2 3 8 2" xfId="18329" xr:uid="{CC54A9F1-CB1B-4C9F-A5D8-AA7E23D3F603}"/>
    <cellStyle name="40% - Accent1 2 3 8 3" xfId="27627" xr:uid="{913F0524-5915-4A9E-A528-6C978ECDBA97}"/>
    <cellStyle name="40% - Accent1 2 3 9" xfId="9665" xr:uid="{0B8CC669-9A1E-4B70-800A-198D9C28ECC1}"/>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552A7B1A-6AC5-4973-A671-308878C862AE}"/>
    <cellStyle name="40% - Accent1 2 4 2 2 3" xfId="25737" xr:uid="{438B8CD8-36BE-4EC2-8402-42E2A0321F6A}"/>
    <cellStyle name="40% - Accent1 2 4 2 3" xfId="12221" xr:uid="{2D2280B1-3ABE-4AE7-BED2-0C9EA91DA00B}"/>
    <cellStyle name="40% - Accent1 2 4 2 4" xfId="21520" xr:uid="{4C5C5790-9617-4D98-A75C-D114A502AF50}"/>
    <cellStyle name="40% - Accent1 2 4 3" xfId="4967" xr:uid="{00000000-0005-0000-0000-000002040000}"/>
    <cellStyle name="40% - Accent1 2 4 3 2" xfId="14293" xr:uid="{24900F48-1B65-4E6A-B4FC-FA675E77BC55}"/>
    <cellStyle name="40% - Accent1 2 4 3 3" xfId="23592" xr:uid="{EA0512C7-080D-4931-BEEB-433A5F77CB07}"/>
    <cellStyle name="40% - Accent1 2 4 4" xfId="9222" xr:uid="{A6B83122-AC98-4E58-AA4D-EC5ECC38FC6B}"/>
    <cellStyle name="40% - Accent1 2 4 4 2" xfId="18538" xr:uid="{0F3A33C4-1E52-4BEF-80F3-3E65EA15F60E}"/>
    <cellStyle name="40% - Accent1 2 4 4 3" xfId="27835" xr:uid="{E7C983BD-4E04-45EA-A8AC-8BFA40EA8F96}"/>
    <cellStyle name="40% - Accent1 2 4 5" xfId="10076" xr:uid="{D9DC2998-851C-4307-A868-D0DE72285616}"/>
    <cellStyle name="40% - Accent1 2 4 6" xfId="19375" xr:uid="{84DCD6FB-5EF3-4BE1-BA2D-7E45AD2DF8AE}"/>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52460A16-78BC-4D56-BAF9-7B6CB6D5B3C7}"/>
    <cellStyle name="40% - Accent1 2 5 2 2 3" xfId="26150" xr:uid="{F59E55F7-B9EE-48F8-BF39-70243E22D9C9}"/>
    <cellStyle name="40% - Accent1 2 5 2 3" xfId="12634" xr:uid="{74DA9318-ECA4-4166-9C28-CFF02DB6551A}"/>
    <cellStyle name="40% - Accent1 2 5 2 4" xfId="21933" xr:uid="{D4C55074-D886-4A26-8EDD-2516F82D7911}"/>
    <cellStyle name="40% - Accent1 2 5 3" xfId="5380" xr:uid="{00000000-0005-0000-0000-000006040000}"/>
    <cellStyle name="40% - Accent1 2 5 3 2" xfId="14706" xr:uid="{52A7ADA5-52C3-45B7-A328-8FEF1684FC39}"/>
    <cellStyle name="40% - Accent1 2 5 3 3" xfId="24005" xr:uid="{9720273E-3B6D-47A6-AE04-5ED639EA6750}"/>
    <cellStyle name="40% - Accent1 2 5 4" xfId="10489" xr:uid="{8EA67EBF-8EC9-4FB7-9E7A-2443A0F67E26}"/>
    <cellStyle name="40% - Accent1 2 5 5" xfId="19788" xr:uid="{A967EC59-9480-4871-B510-8DC485E60F0C}"/>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DACBC292-A890-457B-85E4-DB2E4BB7CC90}"/>
    <cellStyle name="40% - Accent1 2 6 2 2 3" xfId="26563" xr:uid="{758D96A5-4575-415D-A219-5B6CE74882AE}"/>
    <cellStyle name="40% - Accent1 2 6 2 3" xfId="13047" xr:uid="{47909DC4-C484-4DEC-911F-2B00539DC583}"/>
    <cellStyle name="40% - Accent1 2 6 2 4" xfId="22346" xr:uid="{08692E5B-8F9F-4959-89E7-8BE99A1F8320}"/>
    <cellStyle name="40% - Accent1 2 6 3" xfId="5793" xr:uid="{00000000-0005-0000-0000-00000A040000}"/>
    <cellStyle name="40% - Accent1 2 6 3 2" xfId="15119" xr:uid="{68E092BB-BACA-49FB-AF50-69D3B9A2262E}"/>
    <cellStyle name="40% - Accent1 2 6 3 3" xfId="24418" xr:uid="{23E3D9A0-9D42-4286-88C0-4768EB9F6E87}"/>
    <cellStyle name="40% - Accent1 2 6 4" xfId="10902" xr:uid="{5BA2B10E-CEB0-40FA-A865-2D0487F9F93A}"/>
    <cellStyle name="40% - Accent1 2 6 5" xfId="20201" xr:uid="{EB1C5218-BDE8-42E5-9E56-A0C938CC7F64}"/>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ECC4B6B7-321B-44EA-9883-A87A173279D3}"/>
    <cellStyle name="40% - Accent1 2 7 2 2 3" xfId="26976" xr:uid="{7E0E21D2-8796-4FFC-B0D1-6A42B56A953D}"/>
    <cellStyle name="40% - Accent1 2 7 2 3" xfId="13460" xr:uid="{555E51A9-8F12-4C64-B737-03CD8CC73B5F}"/>
    <cellStyle name="40% - Accent1 2 7 2 4" xfId="22759" xr:uid="{562EA3C0-D6DC-421A-B3DD-E00B73F1B90E}"/>
    <cellStyle name="40% - Accent1 2 7 3" xfId="6206" xr:uid="{00000000-0005-0000-0000-00000E040000}"/>
    <cellStyle name="40% - Accent1 2 7 3 2" xfId="15532" xr:uid="{404ED8EB-BCB8-42D9-B66C-A164ED28556A}"/>
    <cellStyle name="40% - Accent1 2 7 3 3" xfId="24831" xr:uid="{A07B9412-0162-4CE3-8421-4E2F3B5E6FB1}"/>
    <cellStyle name="40% - Accent1 2 7 4" xfId="11315" xr:uid="{00C4020D-468A-42B7-93A6-9320ADD403E4}"/>
    <cellStyle name="40% - Accent1 2 7 5" xfId="20614" xr:uid="{BD7F9BD4-E78F-4612-AA95-A9C51714EAD4}"/>
    <cellStyle name="40% - Accent1 2 8" xfId="2313" xr:uid="{00000000-0005-0000-0000-00000F040000}"/>
    <cellStyle name="40% - Accent1 2 8 2" xfId="6619" xr:uid="{00000000-0005-0000-0000-000010040000}"/>
    <cellStyle name="40% - Accent1 2 8 2 2" xfId="15945" xr:uid="{8F2897F7-2459-4757-A66E-FFB8FF8227A5}"/>
    <cellStyle name="40% - Accent1 2 8 2 3" xfId="25244" xr:uid="{691671D4-C2D1-4929-8B55-AC2E257A4FE9}"/>
    <cellStyle name="40% - Accent1 2 8 3" xfId="11728" xr:uid="{D8FFF5BE-0009-4E12-B661-E2584BA0D27A}"/>
    <cellStyle name="40% - Accent1 2 8 4" xfId="21027" xr:uid="{9C25AC45-E2B4-405A-915A-65E657A9AE03}"/>
    <cellStyle name="40% - Accent1 2 9" xfId="4553" xr:uid="{00000000-0005-0000-0000-000011040000}"/>
    <cellStyle name="40% - Accent1 2 9 2" xfId="13879" xr:uid="{4E59DE72-06C7-4F6F-9791-2F8D85A346B3}"/>
    <cellStyle name="40% - Accent1 2 9 3" xfId="23178" xr:uid="{2B796D7F-5270-4E88-915F-BBDA7B2C86A9}"/>
    <cellStyle name="40% - Accent1 3" xfId="54" xr:uid="{00000000-0005-0000-0000-000012040000}"/>
    <cellStyle name="40% - Accent1 3 10" xfId="9666" xr:uid="{75CED7D8-4B2D-43FD-AB22-42F7CE9F3D25}"/>
    <cellStyle name="40% - Accent1 3 11" xfId="18965" xr:uid="{56EABE03-A334-400F-9F72-89F7C4DB2420}"/>
    <cellStyle name="40% - Accent1 3 2" xfId="55" xr:uid="{00000000-0005-0000-0000-000013040000}"/>
    <cellStyle name="40% - Accent1 3 2 10" xfId="18966" xr:uid="{1E852249-CCFD-4DE9-9303-638E10A8783D}"/>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3278E884-57C3-4F3C-BDDB-E04E8997D859}"/>
    <cellStyle name="40% - Accent1 3 2 2 2 2 3" xfId="25742" xr:uid="{87EF0A6F-4632-46A7-88C5-8554488C15CF}"/>
    <cellStyle name="40% - Accent1 3 2 2 2 3" xfId="12226" xr:uid="{6D7B46A8-1A40-4F1D-A4A5-CFFA83D5BCA8}"/>
    <cellStyle name="40% - Accent1 3 2 2 2 4" xfId="21525" xr:uid="{B21A72EC-1F50-4EE2-8783-D4C979214C0D}"/>
    <cellStyle name="40% - Accent1 3 2 2 3" xfId="4972" xr:uid="{00000000-0005-0000-0000-000017040000}"/>
    <cellStyle name="40% - Accent1 3 2 2 3 2" xfId="14298" xr:uid="{F20F0B36-0122-4FCB-A6CE-8E295058A0E6}"/>
    <cellStyle name="40% - Accent1 3 2 2 3 3" xfId="23597" xr:uid="{6FA8F779-A05B-4E1C-A162-01420EDA3026}"/>
    <cellStyle name="40% - Accent1 3 2 2 4" xfId="9494" xr:uid="{49092FA9-F337-44E8-98C8-15711B1C1558}"/>
    <cellStyle name="40% - Accent1 3 2 2 4 2" xfId="18809" xr:uid="{A0C8127A-F879-4B61-8A1C-6D3F86C73525}"/>
    <cellStyle name="40% - Accent1 3 2 2 4 3" xfId="28106" xr:uid="{1DA951F3-D41F-4BE9-B6B3-A218F83AF243}"/>
    <cellStyle name="40% - Accent1 3 2 2 5" xfId="10081" xr:uid="{EEC39494-AE77-4788-AD22-DA2B4B4CF4C2}"/>
    <cellStyle name="40% - Accent1 3 2 2 6" xfId="19380" xr:uid="{791BC270-0626-4862-A854-5908EACBE615}"/>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701A5F30-8E1B-4D61-9A51-60F5E18BD925}"/>
    <cellStyle name="40% - Accent1 3 2 3 2 2 3" xfId="26155" xr:uid="{D30ED804-332E-4998-9856-3FCE0598CA4F}"/>
    <cellStyle name="40% - Accent1 3 2 3 2 3" xfId="12639" xr:uid="{F134CE6D-3BE1-49E7-BE1C-A8E1942B0406}"/>
    <cellStyle name="40% - Accent1 3 2 3 2 4" xfId="21938" xr:uid="{9398ECBE-BAED-4513-806D-D166A9A31B3E}"/>
    <cellStyle name="40% - Accent1 3 2 3 3" xfId="5385" xr:uid="{00000000-0005-0000-0000-00001B040000}"/>
    <cellStyle name="40% - Accent1 3 2 3 3 2" xfId="14711" xr:uid="{27F62414-40F5-4051-9A70-705E0F3D6AD5}"/>
    <cellStyle name="40% - Accent1 3 2 3 3 3" xfId="24010" xr:uid="{33B8D2C5-2F22-4196-82FB-D21622FFC5A8}"/>
    <cellStyle name="40% - Accent1 3 2 3 4" xfId="10494" xr:uid="{737B2796-B069-471C-B76D-0E023320B9FD}"/>
    <cellStyle name="40% - Accent1 3 2 3 5" xfId="19793" xr:uid="{74A7FF10-FF5F-480E-B496-435EF78C0AF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C671D4F5-ECBE-4471-84EA-392409A2E271}"/>
    <cellStyle name="40% - Accent1 3 2 4 2 2 3" xfId="26568" xr:uid="{F753926A-1DB4-4C5C-87E7-76BE3ABDEA9D}"/>
    <cellStyle name="40% - Accent1 3 2 4 2 3" xfId="13052" xr:uid="{7A26B789-AD05-4519-9037-690E9A2DF8BC}"/>
    <cellStyle name="40% - Accent1 3 2 4 2 4" xfId="22351" xr:uid="{6B9013C1-CE2A-424E-9323-C9FA551C6F37}"/>
    <cellStyle name="40% - Accent1 3 2 4 3" xfId="5798" xr:uid="{00000000-0005-0000-0000-00001F040000}"/>
    <cellStyle name="40% - Accent1 3 2 4 3 2" xfId="15124" xr:uid="{BD335868-958B-46EC-99F6-C1DFF4902926}"/>
    <cellStyle name="40% - Accent1 3 2 4 3 3" xfId="24423" xr:uid="{07501DFD-38EE-4364-BADA-5E74F9FF9A69}"/>
    <cellStyle name="40% - Accent1 3 2 4 4" xfId="10907" xr:uid="{BDF18B11-FA9B-468B-A550-408F7164FBC9}"/>
    <cellStyle name="40% - Accent1 3 2 4 5" xfId="20206" xr:uid="{6E5239DA-BD11-4270-B9E3-5BD54EC5E09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2ECE59AB-E523-4D1A-8840-48391B20D603}"/>
    <cellStyle name="40% - Accent1 3 2 5 2 2 3" xfId="26981" xr:uid="{50F3E7DA-EA85-413C-ACF4-60E90039FAC3}"/>
    <cellStyle name="40% - Accent1 3 2 5 2 3" xfId="13465" xr:uid="{7CEAA676-E14E-4163-B992-65D321CBDBEE}"/>
    <cellStyle name="40% - Accent1 3 2 5 2 4" xfId="22764" xr:uid="{9C3BF1DE-DB48-4C05-A2B7-4A98E1F65D77}"/>
    <cellStyle name="40% - Accent1 3 2 5 3" xfId="6211" xr:uid="{00000000-0005-0000-0000-000023040000}"/>
    <cellStyle name="40% - Accent1 3 2 5 3 2" xfId="15537" xr:uid="{2CBF7FBC-9612-4970-9EF7-CF1CD2BCC9E1}"/>
    <cellStyle name="40% - Accent1 3 2 5 3 3" xfId="24836" xr:uid="{DECE829B-84DD-42AE-B263-2DD96B3ED12D}"/>
    <cellStyle name="40% - Accent1 3 2 5 4" xfId="11320" xr:uid="{E84637C0-CC84-4030-9465-19659509D5D0}"/>
    <cellStyle name="40% - Accent1 3 2 5 5" xfId="20619" xr:uid="{5D4CB498-CD8A-41D7-8A59-1613E6734D75}"/>
    <cellStyle name="40% - Accent1 3 2 6" xfId="2318" xr:uid="{00000000-0005-0000-0000-000024040000}"/>
    <cellStyle name="40% - Accent1 3 2 6 2" xfId="6624" xr:uid="{00000000-0005-0000-0000-000025040000}"/>
    <cellStyle name="40% - Accent1 3 2 6 2 2" xfId="15950" xr:uid="{96EA54BE-B004-4C24-846E-4F5D487D7481}"/>
    <cellStyle name="40% - Accent1 3 2 6 2 3" xfId="25249" xr:uid="{DE08F6CB-FDFD-4B77-904F-F9638CF8272C}"/>
    <cellStyle name="40% - Accent1 3 2 6 3" xfId="11733" xr:uid="{BD427D72-2C10-4BFC-B2C6-B736789B3D18}"/>
    <cellStyle name="40% - Accent1 3 2 6 4" xfId="21032" xr:uid="{438BF25A-C654-4F71-8B72-8E1C8B4C7184}"/>
    <cellStyle name="40% - Accent1 3 2 7" xfId="4558" xr:uid="{00000000-0005-0000-0000-000026040000}"/>
    <cellStyle name="40% - Accent1 3 2 7 2" xfId="13884" xr:uid="{F0FB22EA-DD59-4C50-A6FA-84B442CA4861}"/>
    <cellStyle name="40% - Accent1 3 2 7 3" xfId="23183" xr:uid="{32349CA4-6F2F-4996-8C93-6529897004C7}"/>
    <cellStyle name="40% - Accent1 3 2 8" xfId="9069" xr:uid="{F3D9FD63-8946-4492-B81A-42936E8B246D}"/>
    <cellStyle name="40% - Accent1 3 2 8 2" xfId="18393" xr:uid="{952BE607-820F-40F7-81D5-2C05D2070A9C}"/>
    <cellStyle name="40% - Accent1 3 2 8 3" xfId="27691" xr:uid="{F0A5CFA8-E5EA-45DB-AA1F-3E0503CA39E5}"/>
    <cellStyle name="40% - Accent1 3 2 9" xfId="9667" xr:uid="{9D14BA36-A1B1-4BE8-9F3B-D0A2204E2CD1}"/>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2CE4F73C-F3D5-48ED-B83B-229999551516}"/>
    <cellStyle name="40% - Accent1 3 3 2 2 3" xfId="25741" xr:uid="{2AA35577-E341-4135-8FB3-AD4672884457}"/>
    <cellStyle name="40% - Accent1 3 3 2 3" xfId="12225" xr:uid="{E9166C31-BA7E-4AA1-835C-179151C2212C}"/>
    <cellStyle name="40% - Accent1 3 3 2 4" xfId="21524" xr:uid="{F8CC814C-CAAA-4816-891E-1D70675C08CE}"/>
    <cellStyle name="40% - Accent1 3 3 3" xfId="4971" xr:uid="{00000000-0005-0000-0000-00002A040000}"/>
    <cellStyle name="40% - Accent1 3 3 3 2" xfId="14297" xr:uid="{038BEDB3-6606-48AB-B22E-2029E08AAC5C}"/>
    <cellStyle name="40% - Accent1 3 3 3 3" xfId="23596" xr:uid="{85F9F363-6D50-4112-85FF-D722334CACAA}"/>
    <cellStyle name="40% - Accent1 3 3 4" xfId="9287" xr:uid="{8C21B573-3D31-49DA-ACD8-D3EC7CC3A858}"/>
    <cellStyle name="40% - Accent1 3 3 4 2" xfId="18602" xr:uid="{297D0447-43B2-4389-A1C2-15CB99066BD0}"/>
    <cellStyle name="40% - Accent1 3 3 4 3" xfId="27899" xr:uid="{AF6A9680-84DA-4A90-82D3-4D074E135BC9}"/>
    <cellStyle name="40% - Accent1 3 3 5" xfId="10080" xr:uid="{9BFB7BE4-6F61-4DBC-A388-BAA469B76E8C}"/>
    <cellStyle name="40% - Accent1 3 3 6" xfId="19379" xr:uid="{A1CAE701-2082-4FC7-9424-43246C70D8AD}"/>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768E3031-D08B-4E8F-A436-EF95172E4F96}"/>
    <cellStyle name="40% - Accent1 3 4 2 2 3" xfId="26154" xr:uid="{FB686D14-EE5E-4286-9652-C1EFAD292EEF}"/>
    <cellStyle name="40% - Accent1 3 4 2 3" xfId="12638" xr:uid="{9C6418F6-782F-4D27-988D-6CDC6A4FE1A5}"/>
    <cellStyle name="40% - Accent1 3 4 2 4" xfId="21937" xr:uid="{0BAEADBB-AE31-4F23-A41C-5D70184161FD}"/>
    <cellStyle name="40% - Accent1 3 4 3" xfId="5384" xr:uid="{00000000-0005-0000-0000-00002E040000}"/>
    <cellStyle name="40% - Accent1 3 4 3 2" xfId="14710" xr:uid="{D654D315-8348-4346-86C5-098D247A6F30}"/>
    <cellStyle name="40% - Accent1 3 4 3 3" xfId="24009" xr:uid="{CEAF4EFA-3458-4F4E-95EE-192502FA056F}"/>
    <cellStyle name="40% - Accent1 3 4 4" xfId="10493" xr:uid="{DDAC9C3D-C3C1-4BC5-B563-598B7691EB44}"/>
    <cellStyle name="40% - Accent1 3 4 5" xfId="19792" xr:uid="{A5E09E85-488B-4FF2-92A6-DFA6E7006FB9}"/>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91354413-C555-4221-A42D-B2DC5A38B255}"/>
    <cellStyle name="40% - Accent1 3 5 2 2 3" xfId="26567" xr:uid="{43A218FA-A71B-4B71-8696-48F81F8A7882}"/>
    <cellStyle name="40% - Accent1 3 5 2 3" xfId="13051" xr:uid="{3D2B8818-116D-480D-A696-95EC5F9F4059}"/>
    <cellStyle name="40% - Accent1 3 5 2 4" xfId="22350" xr:uid="{164C306B-219D-4660-98FD-8EFEDD9A0467}"/>
    <cellStyle name="40% - Accent1 3 5 3" xfId="5797" xr:uid="{00000000-0005-0000-0000-000032040000}"/>
    <cellStyle name="40% - Accent1 3 5 3 2" xfId="15123" xr:uid="{4501E916-A54B-4DF2-9947-32394B7D0269}"/>
    <cellStyle name="40% - Accent1 3 5 3 3" xfId="24422" xr:uid="{E54208EE-6BE5-4176-8282-8BCDBE6A1314}"/>
    <cellStyle name="40% - Accent1 3 5 4" xfId="10906" xr:uid="{B9C8502F-41A1-4904-810E-57F3F3B6BD43}"/>
    <cellStyle name="40% - Accent1 3 5 5" xfId="20205" xr:uid="{5DFE6026-B856-40F4-9325-572725943891}"/>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18D0F11F-2A42-4CC8-9743-E4DF7D2B7AA4}"/>
    <cellStyle name="40% - Accent1 3 6 2 2 3" xfId="26980" xr:uid="{40CF141D-D8D9-4E1B-B016-3F1F258E747C}"/>
    <cellStyle name="40% - Accent1 3 6 2 3" xfId="13464" xr:uid="{F9BB9160-CB2D-448C-B87B-3A22C7164312}"/>
    <cellStyle name="40% - Accent1 3 6 2 4" xfId="22763" xr:uid="{D2FC6186-472C-43B4-925D-67875BF79337}"/>
    <cellStyle name="40% - Accent1 3 6 3" xfId="6210" xr:uid="{00000000-0005-0000-0000-000036040000}"/>
    <cellStyle name="40% - Accent1 3 6 3 2" xfId="15536" xr:uid="{E33F9451-9AD7-4388-9777-DCD935A379DA}"/>
    <cellStyle name="40% - Accent1 3 6 3 3" xfId="24835" xr:uid="{A3E32351-2640-4B67-BF49-CE64776B649C}"/>
    <cellStyle name="40% - Accent1 3 6 4" xfId="11319" xr:uid="{E734FDE2-985F-4E39-8415-E56A35F6446A}"/>
    <cellStyle name="40% - Accent1 3 6 5" xfId="20618" xr:uid="{0555F94E-4C1B-4A84-BEC1-84C3160334CA}"/>
    <cellStyle name="40% - Accent1 3 7" xfId="2317" xr:uid="{00000000-0005-0000-0000-000037040000}"/>
    <cellStyle name="40% - Accent1 3 7 2" xfId="6623" xr:uid="{00000000-0005-0000-0000-000038040000}"/>
    <cellStyle name="40% - Accent1 3 7 2 2" xfId="15949" xr:uid="{1F5E61DD-CDEB-4AB0-B6AE-F6D1C2C7C743}"/>
    <cellStyle name="40% - Accent1 3 7 2 3" xfId="25248" xr:uid="{A55D1DF0-98E1-4C93-851F-9E89304A4D09}"/>
    <cellStyle name="40% - Accent1 3 7 3" xfId="11732" xr:uid="{175BC0F4-4158-4230-88B5-54F10248FBD7}"/>
    <cellStyle name="40% - Accent1 3 7 4" xfId="21031" xr:uid="{49C9B79A-D017-4967-B08F-33BF370E2F75}"/>
    <cellStyle name="40% - Accent1 3 8" xfId="4557" xr:uid="{00000000-0005-0000-0000-000039040000}"/>
    <cellStyle name="40% - Accent1 3 8 2" xfId="13883" xr:uid="{4040021D-97AA-43B8-930C-1E68722907E0}"/>
    <cellStyle name="40% - Accent1 3 8 3" xfId="23182" xr:uid="{7425EA18-D2AD-4DE9-9D37-96838FA1FBC1}"/>
    <cellStyle name="40% - Accent1 3 9" xfId="8862" xr:uid="{2CC30516-31CA-485E-88BE-FCC7F9756A95}"/>
    <cellStyle name="40% - Accent1 3 9 2" xfId="18186" xr:uid="{ADBF0E4A-9982-4B1A-8D3B-97A7D0C5EEDD}"/>
    <cellStyle name="40% - Accent1 3 9 3" xfId="27484" xr:uid="{8658E1C9-DB5E-4A59-ABEE-55BCBA0D5F53}"/>
    <cellStyle name="40% - Accent1 4" xfId="56" xr:uid="{00000000-0005-0000-0000-00003A040000}"/>
    <cellStyle name="40% - Accent1 4 10" xfId="18967" xr:uid="{4BFEAECE-7ACA-4D66-966A-C1F27EBF512F}"/>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CDB45FD6-C8C2-45EF-9E9D-7079E087B303}"/>
    <cellStyle name="40% - Accent1 4 2 2 2 3" xfId="25743" xr:uid="{E287D774-10E8-479A-AD4E-231B42787849}"/>
    <cellStyle name="40% - Accent1 4 2 2 3" xfId="12227" xr:uid="{B13A3463-0F41-4582-9D03-1386F6AD4A20}"/>
    <cellStyle name="40% - Accent1 4 2 2 4" xfId="21526" xr:uid="{198BFAF5-85CD-4D47-8394-893102B0703D}"/>
    <cellStyle name="40% - Accent1 4 2 3" xfId="4973" xr:uid="{00000000-0005-0000-0000-00003E040000}"/>
    <cellStyle name="40% - Accent1 4 2 3 2" xfId="14299" xr:uid="{0DA2CC67-8346-4170-93C0-F3B2A27395A5}"/>
    <cellStyle name="40% - Accent1 4 2 3 3" xfId="23598" xr:uid="{3966BE79-97C1-4D9D-8E70-B8C9632AD6E0}"/>
    <cellStyle name="40% - Accent1 4 2 4" xfId="9373" xr:uid="{3BC949C7-8F86-44EA-9F10-CF277586B131}"/>
    <cellStyle name="40% - Accent1 4 2 4 2" xfId="18688" xr:uid="{B1F22C2E-4979-441A-817D-83DC86FBD39F}"/>
    <cellStyle name="40% - Accent1 4 2 4 3" xfId="27985" xr:uid="{9639CB57-1641-47CD-BE7E-65F8BFE1CD6C}"/>
    <cellStyle name="40% - Accent1 4 2 5" xfId="10082" xr:uid="{40890530-93B1-4ADE-9813-962437D9C716}"/>
    <cellStyle name="40% - Accent1 4 2 6" xfId="19381" xr:uid="{820CC21F-9193-490B-AFD1-C5E01B4A8D13}"/>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4E65ED8D-7072-471B-ABD7-81AF6D3BDF0B}"/>
    <cellStyle name="40% - Accent1 4 3 2 2 3" xfId="26156" xr:uid="{924B32F5-5F6B-442B-972F-B414F806F983}"/>
    <cellStyle name="40% - Accent1 4 3 2 3" xfId="12640" xr:uid="{FF5F28D6-BAA0-475B-BCDE-92E441022A88}"/>
    <cellStyle name="40% - Accent1 4 3 2 4" xfId="21939" xr:uid="{98DEFDBD-E1AC-4B7C-93D4-608D85937496}"/>
    <cellStyle name="40% - Accent1 4 3 3" xfId="5386" xr:uid="{00000000-0005-0000-0000-000042040000}"/>
    <cellStyle name="40% - Accent1 4 3 3 2" xfId="14712" xr:uid="{35831977-0864-4941-8728-50852EF32975}"/>
    <cellStyle name="40% - Accent1 4 3 3 3" xfId="24011" xr:uid="{A45A31A6-47F1-4715-8BC2-89E20BD5C095}"/>
    <cellStyle name="40% - Accent1 4 3 4" xfId="10495" xr:uid="{1BAA3D21-0C91-43A8-A077-788DA9B6644F}"/>
    <cellStyle name="40% - Accent1 4 3 5" xfId="19794" xr:uid="{C7D64626-1960-4C14-8570-C27384EA67ED}"/>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DA4B9E1A-810D-470D-BC8C-977A0480EAA8}"/>
    <cellStyle name="40% - Accent1 4 4 2 2 3" xfId="26569" xr:uid="{DEE97715-0E99-4CF7-A6C0-A9AC2B7DC5FA}"/>
    <cellStyle name="40% - Accent1 4 4 2 3" xfId="13053" xr:uid="{D816B5D2-0EED-4300-9159-6B0F7C1FB8E8}"/>
    <cellStyle name="40% - Accent1 4 4 2 4" xfId="22352" xr:uid="{2DDB8AD2-6CE8-4173-9E03-324FF201A004}"/>
    <cellStyle name="40% - Accent1 4 4 3" xfId="5799" xr:uid="{00000000-0005-0000-0000-000046040000}"/>
    <cellStyle name="40% - Accent1 4 4 3 2" xfId="15125" xr:uid="{4CD7C861-6629-4D5A-A309-D4C931C2C022}"/>
    <cellStyle name="40% - Accent1 4 4 3 3" xfId="24424" xr:uid="{971CAA8F-3326-4AC2-AC61-1745BE1A5B42}"/>
    <cellStyle name="40% - Accent1 4 4 4" xfId="10908" xr:uid="{EB188098-EE06-4E0C-804E-4FD34BBE54A3}"/>
    <cellStyle name="40% - Accent1 4 4 5" xfId="20207" xr:uid="{F5A73679-8685-492C-B65F-CE356C03F7D5}"/>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8EBEC294-47DA-4696-9545-C94D0A6207BF}"/>
    <cellStyle name="40% - Accent1 4 5 2 2 3" xfId="26982" xr:uid="{4200318F-82A2-4DFF-8AFC-61AA89C5B527}"/>
    <cellStyle name="40% - Accent1 4 5 2 3" xfId="13466" xr:uid="{E0798C50-D323-4E4B-A103-33447CD6B83E}"/>
    <cellStyle name="40% - Accent1 4 5 2 4" xfId="22765" xr:uid="{36E11E67-1F3D-4106-BA14-967B669131CA}"/>
    <cellStyle name="40% - Accent1 4 5 3" xfId="6212" xr:uid="{00000000-0005-0000-0000-00004A040000}"/>
    <cellStyle name="40% - Accent1 4 5 3 2" xfId="15538" xr:uid="{F0D0968F-BDDA-489C-B607-6A7293E08A68}"/>
    <cellStyle name="40% - Accent1 4 5 3 3" xfId="24837" xr:uid="{F8EFE427-864E-42CF-8CA4-9EF9A5521707}"/>
    <cellStyle name="40% - Accent1 4 5 4" xfId="11321" xr:uid="{4746BF96-0773-4E45-80D9-A290D466E641}"/>
    <cellStyle name="40% - Accent1 4 5 5" xfId="20620" xr:uid="{5ACCE54B-496F-4E13-B551-6CE6BA94F4CE}"/>
    <cellStyle name="40% - Accent1 4 6" xfId="2319" xr:uid="{00000000-0005-0000-0000-00004B040000}"/>
    <cellStyle name="40% - Accent1 4 6 2" xfId="6625" xr:uid="{00000000-0005-0000-0000-00004C040000}"/>
    <cellStyle name="40% - Accent1 4 6 2 2" xfId="15951" xr:uid="{B8B53C89-0557-42AB-832A-B668F9009520}"/>
    <cellStyle name="40% - Accent1 4 6 2 3" xfId="25250" xr:uid="{10F0DF1C-8B3E-4AEA-8A44-76CF9C9F3E92}"/>
    <cellStyle name="40% - Accent1 4 6 3" xfId="11734" xr:uid="{F011EC42-B6EA-4F0F-9713-AF9B29FC786A}"/>
    <cellStyle name="40% - Accent1 4 6 4" xfId="21033" xr:uid="{81754D8A-C613-4471-9006-F00B94338000}"/>
    <cellStyle name="40% - Accent1 4 7" xfId="4559" xr:uid="{00000000-0005-0000-0000-00004D040000}"/>
    <cellStyle name="40% - Accent1 4 7 2" xfId="13885" xr:uid="{CE7B730B-C55E-4375-B807-D595B08E0023}"/>
    <cellStyle name="40% - Accent1 4 7 3" xfId="23184" xr:uid="{DB5BBC53-D401-4DE8-82E2-C6A266CDCBF6}"/>
    <cellStyle name="40% - Accent1 4 8" xfId="8948" xr:uid="{7BCBB449-71B8-4468-A700-0125C7659C3D}"/>
    <cellStyle name="40% - Accent1 4 8 2" xfId="18272" xr:uid="{07075B4F-97EE-4975-8956-71C9F8DE0CDE}"/>
    <cellStyle name="40% - Accent1 4 8 3" xfId="27570" xr:uid="{967BC59C-D131-42F6-9C11-00C7AB109443}"/>
    <cellStyle name="40% - Accent1 4 9" xfId="9668" xr:uid="{9B8CFF5A-7D30-4CBD-89B0-97880E990380}"/>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21D4C8DC-D136-45D6-889E-E7668CEE52FA}"/>
    <cellStyle name="40% - Accent1 5 2 2 3" xfId="25736" xr:uid="{AFB60BBE-EAC2-4D37-9164-4B5714D38575}"/>
    <cellStyle name="40% - Accent1 5 2 3" xfId="12220" xr:uid="{806B2560-31AF-4FC8-8873-F38E89CAC81F}"/>
    <cellStyle name="40% - Accent1 5 2 4" xfId="21519" xr:uid="{FEB8B866-E7FE-4502-B21E-6EE949C6F2F1}"/>
    <cellStyle name="40% - Accent1 5 3" xfId="4966" xr:uid="{00000000-0005-0000-0000-000051040000}"/>
    <cellStyle name="40% - Accent1 5 3 2" xfId="14292" xr:uid="{F85CBBEA-F78D-4CBF-AB0E-A4A385A4032A}"/>
    <cellStyle name="40% - Accent1 5 3 3" xfId="23591" xr:uid="{6D3FBB9A-7909-4851-9396-EED3917347F0}"/>
    <cellStyle name="40% - Accent1 5 4" xfId="9181" xr:uid="{332DA761-F1AA-4FF3-9BBB-9ECEE19D2DFF}"/>
    <cellStyle name="40% - Accent1 5 4 2" xfId="18499" xr:uid="{AEC50639-B8AB-4424-A785-9EF9A5D27BA5}"/>
    <cellStyle name="40% - Accent1 5 4 3" xfId="27796" xr:uid="{CEDB210E-0BC8-4A98-BD6A-833863ADA5C8}"/>
    <cellStyle name="40% - Accent1 5 5" xfId="10075" xr:uid="{66597638-16FC-4580-879D-C701BE7CCA6F}"/>
    <cellStyle name="40% - Accent1 5 6" xfId="19374" xr:uid="{BE3078DE-8902-45F2-8F0D-DE9341488DD0}"/>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E2ADCAB0-2B02-4FB6-B31E-0A4D1BC810B0}"/>
    <cellStyle name="40% - Accent1 6 2 2 3" xfId="26149" xr:uid="{41E0E87F-B851-4D74-8944-DD67C4CF0387}"/>
    <cellStyle name="40% - Accent1 6 2 3" xfId="12633" xr:uid="{87DD0E7F-24C0-49C0-884C-C63BDF298271}"/>
    <cellStyle name="40% - Accent1 6 2 4" xfId="21932" xr:uid="{43A3FB9C-4854-4251-A16F-59134BBE022B}"/>
    <cellStyle name="40% - Accent1 6 3" xfId="5379" xr:uid="{00000000-0005-0000-0000-000055040000}"/>
    <cellStyle name="40% - Accent1 6 3 2" xfId="14705" xr:uid="{A08A6EC1-821E-459F-A446-C2117FA2370C}"/>
    <cellStyle name="40% - Accent1 6 3 3" xfId="24004" xr:uid="{379EB4A7-8CB8-4438-AA19-E743593533CF}"/>
    <cellStyle name="40% - Accent1 6 4" xfId="10488" xr:uid="{6210F7E1-747C-4AC1-BC16-4C08F1A8EC6F}"/>
    <cellStyle name="40% - Accent1 6 5" xfId="19787" xr:uid="{F80D8C48-B61B-46BC-85CF-8020C0503F38}"/>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D50DD4C7-74A2-402F-8DD5-AF7ACE522680}"/>
    <cellStyle name="40% - Accent1 7 2 2 3" xfId="26562" xr:uid="{4BB69197-D49E-484D-9D80-14FBA2A00884}"/>
    <cellStyle name="40% - Accent1 7 2 3" xfId="13046" xr:uid="{C654C596-1290-4172-B6E8-8BC688005CF4}"/>
    <cellStyle name="40% - Accent1 7 2 4" xfId="22345" xr:uid="{D2C7CFBF-6C94-4E01-A4D6-4342717461AA}"/>
    <cellStyle name="40% - Accent1 7 3" xfId="5792" xr:uid="{00000000-0005-0000-0000-000059040000}"/>
    <cellStyle name="40% - Accent1 7 3 2" xfId="15118" xr:uid="{669DACF0-21FE-42AE-8649-A4DB1F02A5E7}"/>
    <cellStyle name="40% - Accent1 7 3 3" xfId="24417" xr:uid="{344088ED-247E-49B7-8ACB-0A41B0E26693}"/>
    <cellStyle name="40% - Accent1 7 4" xfId="10901" xr:uid="{A6F0EC03-4F65-422E-AF2B-5953E133D1A8}"/>
    <cellStyle name="40% - Accent1 7 5" xfId="20200" xr:uid="{A66ACA1E-559B-43DA-B204-B85F7619DB7A}"/>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DEF6105F-BB93-4688-8B12-79BDA1A8D9BC}"/>
    <cellStyle name="40% - Accent1 8 2 2 3" xfId="26975" xr:uid="{9DA05655-4D5A-41D5-9147-FA6B624A9F95}"/>
    <cellStyle name="40% - Accent1 8 2 3" xfId="13459" xr:uid="{3B481FA9-5EA0-4EA2-9F33-8CCC25B38B3F}"/>
    <cellStyle name="40% - Accent1 8 2 4" xfId="22758" xr:uid="{D52373DA-AFFC-4474-87F4-CF8DC7D360D4}"/>
    <cellStyle name="40% - Accent1 8 3" xfId="6205" xr:uid="{00000000-0005-0000-0000-00005D040000}"/>
    <cellStyle name="40% - Accent1 8 3 2" xfId="15531" xr:uid="{E584C498-3B3E-4BBE-A8A0-AE1BFC8D5D94}"/>
    <cellStyle name="40% - Accent1 8 3 3" xfId="24830" xr:uid="{D2269973-0185-40EB-B574-F75166ED5CEF}"/>
    <cellStyle name="40% - Accent1 8 4" xfId="11314" xr:uid="{1F7DDD23-E7FD-4F6D-9AB3-530E947CDF36}"/>
    <cellStyle name="40% - Accent1 8 5" xfId="20613" xr:uid="{BB7DC4F8-C62B-45B2-9ED0-83E204EA8A84}"/>
    <cellStyle name="40% - Accent1 9" xfId="2312" xr:uid="{00000000-0005-0000-0000-00005E040000}"/>
    <cellStyle name="40% - Accent1 9 2" xfId="6618" xr:uid="{00000000-0005-0000-0000-00005F040000}"/>
    <cellStyle name="40% - Accent1 9 2 2" xfId="15944" xr:uid="{51F98250-8E9C-431F-927C-BCC5E8149CDC}"/>
    <cellStyle name="40% - Accent1 9 2 3" xfId="25243" xr:uid="{19C4CF0F-A9ED-4CEB-B3A9-D74CE78E6151}"/>
    <cellStyle name="40% - Accent1 9 3" xfId="11727" xr:uid="{F626C597-10D9-4976-A163-5CF48FB70151}"/>
    <cellStyle name="40% - Accent1 9 4" xfId="21026" xr:uid="{838A9D42-B95C-4C44-A3E4-F0B266B44228}"/>
    <cellStyle name="40% - Accent2" xfId="57" builtinId="35" customBuiltin="1"/>
    <cellStyle name="40% - Accent2 10" xfId="4560" xr:uid="{00000000-0005-0000-0000-000061040000}"/>
    <cellStyle name="40% - Accent2 10 2" xfId="13886" xr:uid="{F47B8BD2-9BAF-489E-A09E-76BF65117CEE}"/>
    <cellStyle name="40% - Accent2 10 3" xfId="23185" xr:uid="{6502733A-E1F0-4D9E-AEE9-DDCD1CB2690B}"/>
    <cellStyle name="40% - Accent2 11" xfId="8761" xr:uid="{8631D9D1-53DA-4958-8F7C-AD68B7B91D61}"/>
    <cellStyle name="40% - Accent2 11 2" xfId="18085" xr:uid="{10FA8404-24C5-4130-958D-0DB25FDB602B}"/>
    <cellStyle name="40% - Accent2 11 3" xfId="27383" xr:uid="{FCA45311-E50C-46DA-84D5-8939E981FAE1}"/>
    <cellStyle name="40% - Accent2 12" xfId="9669" xr:uid="{79C8F465-EF41-4726-AE4A-0F25DF5A5351}"/>
    <cellStyle name="40% - Accent2 13" xfId="18968" xr:uid="{25C65DCA-9425-4257-86DA-D9737BEA128D}"/>
    <cellStyle name="40% - Accent2 2" xfId="58" xr:uid="{00000000-0005-0000-0000-000062040000}"/>
    <cellStyle name="40% - Accent2 2 10" xfId="8799" xr:uid="{E3EEC046-6E76-44A5-8D1B-64621A8F0AC5}"/>
    <cellStyle name="40% - Accent2 2 10 2" xfId="18123" xr:uid="{A26C01B6-FDCD-4A77-B8C2-7B527EC53B9B}"/>
    <cellStyle name="40% - Accent2 2 10 3" xfId="27421" xr:uid="{8833E833-81C5-4A14-8944-F07E6B2AD194}"/>
    <cellStyle name="40% - Accent2 2 11" xfId="9670" xr:uid="{AEA3A07F-0229-4107-A13A-524B51106757}"/>
    <cellStyle name="40% - Accent2 2 12" xfId="18969" xr:uid="{B3D60D20-6178-4103-84EC-A687A2966DD6}"/>
    <cellStyle name="40% - Accent2 2 2" xfId="59" xr:uid="{00000000-0005-0000-0000-000063040000}"/>
    <cellStyle name="40% - Accent2 2 2 10" xfId="9671" xr:uid="{B8D2DB81-158E-482E-AD0E-1E4CB47D9057}"/>
    <cellStyle name="40% - Accent2 2 2 11" xfId="18970" xr:uid="{3F41A64C-20EF-406E-A95F-11DF9E9A3C91}"/>
    <cellStyle name="40% - Accent2 2 2 2" xfId="60" xr:uid="{00000000-0005-0000-0000-000064040000}"/>
    <cellStyle name="40% - Accent2 2 2 2 10" xfId="18971" xr:uid="{0C076EC4-D0F2-4F5E-BE26-2531D2BC3EDA}"/>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86909000-4CB6-4AE8-A5A3-2C494CEE1582}"/>
    <cellStyle name="40% - Accent2 2 2 2 2 2 2 3" xfId="25747" xr:uid="{6BD151B5-D975-429E-87AF-30711AFBEED9}"/>
    <cellStyle name="40% - Accent2 2 2 2 2 2 3" xfId="12231" xr:uid="{ACECED08-E2A5-4292-BDC4-7A82D07E8E8A}"/>
    <cellStyle name="40% - Accent2 2 2 2 2 2 4" xfId="21530" xr:uid="{921F6457-F099-4C73-88AB-DA609F642D37}"/>
    <cellStyle name="40% - Accent2 2 2 2 2 3" xfId="4977" xr:uid="{00000000-0005-0000-0000-000068040000}"/>
    <cellStyle name="40% - Accent2 2 2 2 2 3 2" xfId="14303" xr:uid="{69B647C4-80EC-4637-A976-332A93C2CBD0}"/>
    <cellStyle name="40% - Accent2 2 2 2 2 3 3" xfId="23602" xr:uid="{75984681-DF34-4E71-A6F5-D62A78D1A9BA}"/>
    <cellStyle name="40% - Accent2 2 2 2 2 4" xfId="9534" xr:uid="{9F53A086-33FC-422E-9DFF-72D04AC43949}"/>
    <cellStyle name="40% - Accent2 2 2 2 2 4 2" xfId="18849" xr:uid="{9C2FFA49-C961-4FC1-BCB0-6A011A1D0219}"/>
    <cellStyle name="40% - Accent2 2 2 2 2 4 3" xfId="28146" xr:uid="{8DA7AC1D-76C6-4C68-89A6-D5B1ACBC1B64}"/>
    <cellStyle name="40% - Accent2 2 2 2 2 5" xfId="10086" xr:uid="{7CB7A2F8-81D4-48C3-849B-C49A3450CCDB}"/>
    <cellStyle name="40% - Accent2 2 2 2 2 6" xfId="19385" xr:uid="{A3B11AC6-F25E-4213-898C-923B465C6AA5}"/>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AF0EDEDF-FE3A-4C2F-A526-5D190F1FF49D}"/>
    <cellStyle name="40% - Accent2 2 2 2 3 2 2 3" xfId="26160" xr:uid="{9052F817-BFBF-463C-8084-BC48A49966DA}"/>
    <cellStyle name="40% - Accent2 2 2 2 3 2 3" xfId="12644" xr:uid="{304FFAFD-48C5-43CC-B3E8-FAC6908EBDE2}"/>
    <cellStyle name="40% - Accent2 2 2 2 3 2 4" xfId="21943" xr:uid="{105FB516-BFBB-49DD-81E8-768A5CE8EE69}"/>
    <cellStyle name="40% - Accent2 2 2 2 3 3" xfId="5390" xr:uid="{00000000-0005-0000-0000-00006C040000}"/>
    <cellStyle name="40% - Accent2 2 2 2 3 3 2" xfId="14716" xr:uid="{9785E108-ED0C-4020-8C20-22902B7BF7A8}"/>
    <cellStyle name="40% - Accent2 2 2 2 3 3 3" xfId="24015" xr:uid="{A615CB3F-2A21-4B1B-BC42-810681FEBF9D}"/>
    <cellStyle name="40% - Accent2 2 2 2 3 4" xfId="10499" xr:uid="{FF4EE820-65A4-43D7-BF08-AE731B5D6503}"/>
    <cellStyle name="40% - Accent2 2 2 2 3 5" xfId="19798" xr:uid="{243DF5A5-D15D-4EEA-B8E0-B70D518AB676}"/>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858E48B4-23EE-4B52-ACDB-0945ADD3E577}"/>
    <cellStyle name="40% - Accent2 2 2 2 4 2 2 3" xfId="26573" xr:uid="{95FA7EEC-F267-452B-94CD-0C88D6FFA872}"/>
    <cellStyle name="40% - Accent2 2 2 2 4 2 3" xfId="13057" xr:uid="{10CF85AF-887E-41B6-A701-70D81850773B}"/>
    <cellStyle name="40% - Accent2 2 2 2 4 2 4" xfId="22356" xr:uid="{9EA5730A-147F-433B-8B63-B8CD0A350CC8}"/>
    <cellStyle name="40% - Accent2 2 2 2 4 3" xfId="5803" xr:uid="{00000000-0005-0000-0000-000070040000}"/>
    <cellStyle name="40% - Accent2 2 2 2 4 3 2" xfId="15129" xr:uid="{3D79672E-3901-4B74-AAE6-C4CA5EF8DECD}"/>
    <cellStyle name="40% - Accent2 2 2 2 4 3 3" xfId="24428" xr:uid="{487FCE6F-E284-4987-BC31-7167EAE9449F}"/>
    <cellStyle name="40% - Accent2 2 2 2 4 4" xfId="10912" xr:uid="{74EF2639-0A49-43DB-9DA7-AF77453E6724}"/>
    <cellStyle name="40% - Accent2 2 2 2 4 5" xfId="20211" xr:uid="{DB70DA2D-DEAA-4114-9A5A-607B9F61D7A5}"/>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C8147628-3EB5-4507-905D-CE02779F9A85}"/>
    <cellStyle name="40% - Accent2 2 2 2 5 2 2 3" xfId="26986" xr:uid="{6647AAD3-41EB-4100-9BB5-64A402DCD1BE}"/>
    <cellStyle name="40% - Accent2 2 2 2 5 2 3" xfId="13470" xr:uid="{9BA5A01A-98E1-458C-B0D8-FB5328BBA067}"/>
    <cellStyle name="40% - Accent2 2 2 2 5 2 4" xfId="22769" xr:uid="{1C4249D7-BAA8-45E2-BEE0-C30E4DEA96B0}"/>
    <cellStyle name="40% - Accent2 2 2 2 5 3" xfId="6216" xr:uid="{00000000-0005-0000-0000-000074040000}"/>
    <cellStyle name="40% - Accent2 2 2 2 5 3 2" xfId="15542" xr:uid="{13054420-0B26-4072-8A57-1A2810B437BA}"/>
    <cellStyle name="40% - Accent2 2 2 2 5 3 3" xfId="24841" xr:uid="{B7AECC5E-B0E4-458D-BF11-A4AE1FC769AD}"/>
    <cellStyle name="40% - Accent2 2 2 2 5 4" xfId="11325" xr:uid="{A8E021D3-F9E4-404B-8C32-34CFAA203E18}"/>
    <cellStyle name="40% - Accent2 2 2 2 5 5" xfId="20624" xr:uid="{F9778480-A9D1-4201-85BB-66129813E778}"/>
    <cellStyle name="40% - Accent2 2 2 2 6" xfId="2323" xr:uid="{00000000-0005-0000-0000-000075040000}"/>
    <cellStyle name="40% - Accent2 2 2 2 6 2" xfId="6629" xr:uid="{00000000-0005-0000-0000-000076040000}"/>
    <cellStyle name="40% - Accent2 2 2 2 6 2 2" xfId="15955" xr:uid="{85EFEC04-CD89-45DC-B4BD-67AD7934B397}"/>
    <cellStyle name="40% - Accent2 2 2 2 6 2 3" xfId="25254" xr:uid="{39863885-7824-4160-B0E2-2AE08DAD84FD}"/>
    <cellStyle name="40% - Accent2 2 2 2 6 3" xfId="11738" xr:uid="{E78ECF36-8ED0-4277-AF38-524ED17B54DA}"/>
    <cellStyle name="40% - Accent2 2 2 2 6 4" xfId="21037" xr:uid="{6D8D57DD-2301-4407-8F49-E65103725D11}"/>
    <cellStyle name="40% - Accent2 2 2 2 7" xfId="4563" xr:uid="{00000000-0005-0000-0000-000077040000}"/>
    <cellStyle name="40% - Accent2 2 2 2 7 2" xfId="13889" xr:uid="{66010EA4-1B02-4847-B8E7-A09F04C2B72A}"/>
    <cellStyle name="40% - Accent2 2 2 2 7 3" xfId="23188" xr:uid="{5B253D0F-D674-4A25-A20F-F24F4362F1FF}"/>
    <cellStyle name="40% - Accent2 2 2 2 8" xfId="9109" xr:uid="{73F0012D-4386-4224-BFB0-7DB1C0E98822}"/>
    <cellStyle name="40% - Accent2 2 2 2 8 2" xfId="18433" xr:uid="{FD14F7D5-8396-4ADF-872D-B802825AEFFE}"/>
    <cellStyle name="40% - Accent2 2 2 2 8 3" xfId="27731" xr:uid="{106F4C8E-21EB-42A0-996D-A276F0C4D1F4}"/>
    <cellStyle name="40% - Accent2 2 2 2 9" xfId="9672" xr:uid="{D06E2028-7526-461E-ADC6-9FCA8193CDC1}"/>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A11FE2D5-F95C-454C-A910-BB2599461D76}"/>
    <cellStyle name="40% - Accent2 2 2 3 2 2 3" xfId="25746" xr:uid="{09875031-D37E-4B37-B9A1-F3A589453707}"/>
    <cellStyle name="40% - Accent2 2 2 3 2 3" xfId="12230" xr:uid="{5C665C21-C1D9-490C-ABAB-46DBE2CE92D6}"/>
    <cellStyle name="40% - Accent2 2 2 3 2 4" xfId="21529" xr:uid="{EA016967-4CBD-4506-BEDE-20B2AF681A5A}"/>
    <cellStyle name="40% - Accent2 2 2 3 3" xfId="4976" xr:uid="{00000000-0005-0000-0000-00007B040000}"/>
    <cellStyle name="40% - Accent2 2 2 3 3 2" xfId="14302" xr:uid="{E4ED0FE5-8EBB-4046-963E-AC308B899F86}"/>
    <cellStyle name="40% - Accent2 2 2 3 3 3" xfId="23601" xr:uid="{C46915DA-850E-41EB-90A5-25EAF587058E}"/>
    <cellStyle name="40% - Accent2 2 2 3 4" xfId="9327" xr:uid="{F2BC9A12-B689-4B73-B71E-77A9F0BC7FE4}"/>
    <cellStyle name="40% - Accent2 2 2 3 4 2" xfId="18642" xr:uid="{129DF074-135A-435A-BE02-2226A1A5E4B4}"/>
    <cellStyle name="40% - Accent2 2 2 3 4 3" xfId="27939" xr:uid="{20E4722C-AC90-4867-96BF-BCA977B52F59}"/>
    <cellStyle name="40% - Accent2 2 2 3 5" xfId="10085" xr:uid="{12E05289-A42E-4D49-95CC-2B4EE9C428DD}"/>
    <cellStyle name="40% - Accent2 2 2 3 6" xfId="19384" xr:uid="{F511C3A9-D336-4738-B585-14C88DB8EA56}"/>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6ECD51DE-F151-43CF-B854-B285C7448602}"/>
    <cellStyle name="40% - Accent2 2 2 4 2 2 3" xfId="26159" xr:uid="{297E2862-A386-48CA-BBFB-D83F6EE68437}"/>
    <cellStyle name="40% - Accent2 2 2 4 2 3" xfId="12643" xr:uid="{8EF68C5E-2A20-4EF0-89E8-EC807E680ABD}"/>
    <cellStyle name="40% - Accent2 2 2 4 2 4" xfId="21942" xr:uid="{2EEBBD80-BD1F-4E4D-B4F0-CF9D55F70B8D}"/>
    <cellStyle name="40% - Accent2 2 2 4 3" xfId="5389" xr:uid="{00000000-0005-0000-0000-00007F040000}"/>
    <cellStyle name="40% - Accent2 2 2 4 3 2" xfId="14715" xr:uid="{96475DC3-FD52-47B4-8630-DFDAE07C6EA8}"/>
    <cellStyle name="40% - Accent2 2 2 4 3 3" xfId="24014" xr:uid="{63AFF46E-1836-4813-B279-E03448AC3791}"/>
    <cellStyle name="40% - Accent2 2 2 4 4" xfId="10498" xr:uid="{B6A5CA3D-7F60-4662-A0C9-FDFF9DDDBECA}"/>
    <cellStyle name="40% - Accent2 2 2 4 5" xfId="19797" xr:uid="{68678A9E-08CA-4A6C-A525-89A74D2187F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1CE3B2C7-448F-4946-9546-366159DC0E89}"/>
    <cellStyle name="40% - Accent2 2 2 5 2 2 3" xfId="26572" xr:uid="{0ADE810F-B268-4B0A-95F3-72F58D6367A3}"/>
    <cellStyle name="40% - Accent2 2 2 5 2 3" xfId="13056" xr:uid="{28136062-29C5-4475-9466-E487C950B5AA}"/>
    <cellStyle name="40% - Accent2 2 2 5 2 4" xfId="22355" xr:uid="{2537E99F-45E1-40F6-8723-B8638CCEC7FF}"/>
    <cellStyle name="40% - Accent2 2 2 5 3" xfId="5802" xr:uid="{00000000-0005-0000-0000-000083040000}"/>
    <cellStyle name="40% - Accent2 2 2 5 3 2" xfId="15128" xr:uid="{28C1A2B8-BEA4-435D-841C-019C1DA4AB53}"/>
    <cellStyle name="40% - Accent2 2 2 5 3 3" xfId="24427" xr:uid="{7AFB88C2-7755-4656-A2AB-F2C46A29F118}"/>
    <cellStyle name="40% - Accent2 2 2 5 4" xfId="10911" xr:uid="{50DA6CE9-B409-4FD5-8CA6-19979067215B}"/>
    <cellStyle name="40% - Accent2 2 2 5 5" xfId="20210" xr:uid="{C247CB18-E2D0-4812-97F9-CF366A6A2297}"/>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984C4435-804B-4A29-961E-733CE53E33FA}"/>
    <cellStyle name="40% - Accent2 2 2 6 2 2 3" xfId="26985" xr:uid="{A20F918F-2A69-4F86-9DFF-35432243FA61}"/>
    <cellStyle name="40% - Accent2 2 2 6 2 3" xfId="13469" xr:uid="{DDCEB809-EB63-43E2-9775-83C6FCA2E577}"/>
    <cellStyle name="40% - Accent2 2 2 6 2 4" xfId="22768" xr:uid="{3BC5CE43-5FBC-47A5-85C2-B70FE90D328C}"/>
    <cellStyle name="40% - Accent2 2 2 6 3" xfId="6215" xr:uid="{00000000-0005-0000-0000-000087040000}"/>
    <cellStyle name="40% - Accent2 2 2 6 3 2" xfId="15541" xr:uid="{1FF5D9F5-2C84-480C-8ADC-9E813ACFDA0F}"/>
    <cellStyle name="40% - Accent2 2 2 6 3 3" xfId="24840" xr:uid="{D2EEBE39-32CE-4325-9603-7D1E776FCE68}"/>
    <cellStyle name="40% - Accent2 2 2 6 4" xfId="11324" xr:uid="{B5C12B10-4207-470C-BB63-3075ACB0E3B7}"/>
    <cellStyle name="40% - Accent2 2 2 6 5" xfId="20623" xr:uid="{B1B250AC-9402-4576-A509-A2A121B12F61}"/>
    <cellStyle name="40% - Accent2 2 2 7" xfId="2322" xr:uid="{00000000-0005-0000-0000-000088040000}"/>
    <cellStyle name="40% - Accent2 2 2 7 2" xfId="6628" xr:uid="{00000000-0005-0000-0000-000089040000}"/>
    <cellStyle name="40% - Accent2 2 2 7 2 2" xfId="15954" xr:uid="{91F75D8B-5099-4DE6-B650-28156BDF16AB}"/>
    <cellStyle name="40% - Accent2 2 2 7 2 3" xfId="25253" xr:uid="{22BEA5CC-6A9F-4661-A696-AAC231590B27}"/>
    <cellStyle name="40% - Accent2 2 2 7 3" xfId="11737" xr:uid="{3B381706-8CD9-4832-BB4A-CFCE718C95E3}"/>
    <cellStyle name="40% - Accent2 2 2 7 4" xfId="21036" xr:uid="{24E4185F-623E-451A-829D-B81F1832D67A}"/>
    <cellStyle name="40% - Accent2 2 2 8" xfId="4562" xr:uid="{00000000-0005-0000-0000-00008A040000}"/>
    <cellStyle name="40% - Accent2 2 2 8 2" xfId="13888" xr:uid="{587F2E31-1C6D-4DEB-A5EA-731D17542E4D}"/>
    <cellStyle name="40% - Accent2 2 2 8 3" xfId="23187" xr:uid="{67F4FE3D-9859-4148-9180-8FE39DCC3F94}"/>
    <cellStyle name="40% - Accent2 2 2 9" xfId="8902" xr:uid="{5D0C2022-B7A4-4DE2-895F-9E4BE510A7B9}"/>
    <cellStyle name="40% - Accent2 2 2 9 2" xfId="18226" xr:uid="{422FCFD1-F231-46A8-A949-0C7C7785740B}"/>
    <cellStyle name="40% - Accent2 2 2 9 3" xfId="27524" xr:uid="{418B784F-C1D7-4AF0-B4C0-EC8981EC0698}"/>
    <cellStyle name="40% - Accent2 2 3" xfId="61" xr:uid="{00000000-0005-0000-0000-00008B040000}"/>
    <cellStyle name="40% - Accent2 2 3 10" xfId="18972" xr:uid="{E2BF14E6-91DC-4D54-AAEC-FB2E5550B665}"/>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A1275D4D-EA85-4026-A263-112A8165EF1E}"/>
    <cellStyle name="40% - Accent2 2 3 2 2 2 3" xfId="25748" xr:uid="{F89ECF30-E0F6-42A2-B2CE-6CDC315F3C6E}"/>
    <cellStyle name="40% - Accent2 2 3 2 2 3" xfId="12232" xr:uid="{7572B1B4-E1BF-4A8E-AD23-4F74E5E5EE4C}"/>
    <cellStyle name="40% - Accent2 2 3 2 2 4" xfId="21531" xr:uid="{17271E6C-7C84-4546-9246-4FCB6D5A87FB}"/>
    <cellStyle name="40% - Accent2 2 3 2 3" xfId="4978" xr:uid="{00000000-0005-0000-0000-00008F040000}"/>
    <cellStyle name="40% - Accent2 2 3 2 3 2" xfId="14304" xr:uid="{17968B30-E470-44F1-B954-9BC8CA2C9F0B}"/>
    <cellStyle name="40% - Accent2 2 3 2 3 3" xfId="23603" xr:uid="{E988ADB2-A05C-42FC-A10D-A87C427BFC22}"/>
    <cellStyle name="40% - Accent2 2 3 2 4" xfId="9431" xr:uid="{BD4E3561-302E-4359-AAF3-4F2E007BC697}"/>
    <cellStyle name="40% - Accent2 2 3 2 4 2" xfId="18746" xr:uid="{23BDBDE2-7835-4987-AAEB-CFD796E38235}"/>
    <cellStyle name="40% - Accent2 2 3 2 4 3" xfId="28043" xr:uid="{1FD87DCC-1C6D-4E82-8B4C-4EBFFA9D2A1E}"/>
    <cellStyle name="40% - Accent2 2 3 2 5" xfId="10087" xr:uid="{28CFD2D9-18D9-4E49-9300-D21602082F6C}"/>
    <cellStyle name="40% - Accent2 2 3 2 6" xfId="19386" xr:uid="{C772F0DF-AB37-4394-9980-FCF8C37C0112}"/>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C680694A-8034-40A6-B151-B9F891B0BF92}"/>
    <cellStyle name="40% - Accent2 2 3 3 2 2 3" xfId="26161" xr:uid="{89C7EFB1-4D54-4D60-ABA4-EEBF16DE0D5A}"/>
    <cellStyle name="40% - Accent2 2 3 3 2 3" xfId="12645" xr:uid="{ACF698BA-DA00-4978-894F-08E39B0C13D9}"/>
    <cellStyle name="40% - Accent2 2 3 3 2 4" xfId="21944" xr:uid="{B76819BE-29D4-4B75-801C-F60439E1CCD1}"/>
    <cellStyle name="40% - Accent2 2 3 3 3" xfId="5391" xr:uid="{00000000-0005-0000-0000-000093040000}"/>
    <cellStyle name="40% - Accent2 2 3 3 3 2" xfId="14717" xr:uid="{7D5C5FF1-22EB-425D-A2EA-588D410D13E2}"/>
    <cellStyle name="40% - Accent2 2 3 3 3 3" xfId="24016" xr:uid="{B5E77024-FB57-408A-B2AC-2C42A2D54E2E}"/>
    <cellStyle name="40% - Accent2 2 3 3 4" xfId="10500" xr:uid="{66DF3CC0-FC79-4E53-A7B1-E6C9BC7A5024}"/>
    <cellStyle name="40% - Accent2 2 3 3 5" xfId="19799" xr:uid="{F6860B8A-D2A4-4F5E-9F5B-233B2423C268}"/>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E127ABFF-94DD-4EE8-A519-F91F94CBA5A3}"/>
    <cellStyle name="40% - Accent2 2 3 4 2 2 3" xfId="26574" xr:uid="{D7D582FB-EE9D-430D-9C80-3936B828E786}"/>
    <cellStyle name="40% - Accent2 2 3 4 2 3" xfId="13058" xr:uid="{9A6E9F1E-2267-42E9-AD91-C62D056B0769}"/>
    <cellStyle name="40% - Accent2 2 3 4 2 4" xfId="22357" xr:uid="{9659D8E6-9662-4504-B139-581B04C27F4D}"/>
    <cellStyle name="40% - Accent2 2 3 4 3" xfId="5804" xr:uid="{00000000-0005-0000-0000-000097040000}"/>
    <cellStyle name="40% - Accent2 2 3 4 3 2" xfId="15130" xr:uid="{EA14A536-47E6-4795-BCBB-2AD354344ED4}"/>
    <cellStyle name="40% - Accent2 2 3 4 3 3" xfId="24429" xr:uid="{B4EFF90C-490D-4032-A722-181675B34648}"/>
    <cellStyle name="40% - Accent2 2 3 4 4" xfId="10913" xr:uid="{26648F45-604B-41AC-B7C3-D2EE5DB6EBFE}"/>
    <cellStyle name="40% - Accent2 2 3 4 5" xfId="20212" xr:uid="{699BC799-AEE0-4807-8144-2107D9510DBD}"/>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17E016EE-4F0A-4EFA-998C-C667D7DADB76}"/>
    <cellStyle name="40% - Accent2 2 3 5 2 2 3" xfId="26987" xr:uid="{2B67A41B-364B-4965-9F8A-59FE918AC469}"/>
    <cellStyle name="40% - Accent2 2 3 5 2 3" xfId="13471" xr:uid="{E99ADBF7-0443-443C-A5F6-12D9116D5629}"/>
    <cellStyle name="40% - Accent2 2 3 5 2 4" xfId="22770" xr:uid="{0C312097-E0CB-4948-AF81-7D6D5778A8A8}"/>
    <cellStyle name="40% - Accent2 2 3 5 3" xfId="6217" xr:uid="{00000000-0005-0000-0000-00009B040000}"/>
    <cellStyle name="40% - Accent2 2 3 5 3 2" xfId="15543" xr:uid="{73127B2C-5A0C-4112-95AD-696253B2D10A}"/>
    <cellStyle name="40% - Accent2 2 3 5 3 3" xfId="24842" xr:uid="{90FD303B-1045-4E21-ACA8-1E742BDF8F28}"/>
    <cellStyle name="40% - Accent2 2 3 5 4" xfId="11326" xr:uid="{92656DCA-CE54-4BF4-A406-5A5FD745A96A}"/>
    <cellStyle name="40% - Accent2 2 3 5 5" xfId="20625" xr:uid="{FD1EB1A2-A48D-4B55-981A-27D8C7908076}"/>
    <cellStyle name="40% - Accent2 2 3 6" xfId="2324" xr:uid="{00000000-0005-0000-0000-00009C040000}"/>
    <cellStyle name="40% - Accent2 2 3 6 2" xfId="6630" xr:uid="{00000000-0005-0000-0000-00009D040000}"/>
    <cellStyle name="40% - Accent2 2 3 6 2 2" xfId="15956" xr:uid="{7B98A736-E0F6-4A76-B347-4FA9FA68DBF3}"/>
    <cellStyle name="40% - Accent2 2 3 6 2 3" xfId="25255" xr:uid="{CEED5094-9E62-4D74-A8BF-22996BB71605}"/>
    <cellStyle name="40% - Accent2 2 3 6 3" xfId="11739" xr:uid="{B4A4D6BB-6E83-4070-90D5-CBC6A3F10D99}"/>
    <cellStyle name="40% - Accent2 2 3 6 4" xfId="21038" xr:uid="{AF9D5D29-D8D6-4483-B198-A4E3E5C595B5}"/>
    <cellStyle name="40% - Accent2 2 3 7" xfId="4564" xr:uid="{00000000-0005-0000-0000-00009E040000}"/>
    <cellStyle name="40% - Accent2 2 3 7 2" xfId="13890" xr:uid="{9C38B6F2-2E5A-478D-99BA-23F6DF19C05D}"/>
    <cellStyle name="40% - Accent2 2 3 7 3" xfId="23189" xr:uid="{398797FF-9437-473D-8BFC-601D5CE6BF73}"/>
    <cellStyle name="40% - Accent2 2 3 8" xfId="9006" xr:uid="{E6E89EA5-B76F-4FCC-89B9-DD4135B6364B}"/>
    <cellStyle name="40% - Accent2 2 3 8 2" xfId="18330" xr:uid="{15E5539E-F71D-49F1-8D6F-B331450B75B7}"/>
    <cellStyle name="40% - Accent2 2 3 8 3" xfId="27628" xr:uid="{2E4D9CDF-A7E0-449E-9F99-E970AAEE0127}"/>
    <cellStyle name="40% - Accent2 2 3 9" xfId="9673" xr:uid="{FF3718FF-EA61-48F7-B99B-D2C4C03DE432}"/>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6C6FE746-7F40-4ABD-829F-455FDD73FDBB}"/>
    <cellStyle name="40% - Accent2 2 4 2 2 3" xfId="25745" xr:uid="{5FEDD0AE-D3B3-4AFA-B344-73591952490E}"/>
    <cellStyle name="40% - Accent2 2 4 2 3" xfId="12229" xr:uid="{BD41F1FF-FEF9-406F-89EC-389E2EA376B4}"/>
    <cellStyle name="40% - Accent2 2 4 2 4" xfId="21528" xr:uid="{5D91B528-C49B-41A6-A201-A0BE1E54BC96}"/>
    <cellStyle name="40% - Accent2 2 4 3" xfId="4975" xr:uid="{00000000-0005-0000-0000-0000A2040000}"/>
    <cellStyle name="40% - Accent2 2 4 3 2" xfId="14301" xr:uid="{D8E20A20-80C7-4F3E-9703-97FBE6DB3113}"/>
    <cellStyle name="40% - Accent2 2 4 3 3" xfId="23600" xr:uid="{6D811661-F242-4A04-BD88-531D403423E3}"/>
    <cellStyle name="40% - Accent2 2 4 4" xfId="9223" xr:uid="{FA9890B4-781A-4E4C-81EE-BC7448559828}"/>
    <cellStyle name="40% - Accent2 2 4 4 2" xfId="18539" xr:uid="{F2D9F750-CDA7-4CFB-A67F-97D76D629084}"/>
    <cellStyle name="40% - Accent2 2 4 4 3" xfId="27836" xr:uid="{180EA1A7-44E5-4C90-BB56-B65C5D0D717B}"/>
    <cellStyle name="40% - Accent2 2 4 5" xfId="10084" xr:uid="{92DC9C93-C9C7-4B88-8AF8-02965442EA5D}"/>
    <cellStyle name="40% - Accent2 2 4 6" xfId="19383" xr:uid="{3CE4B343-F8A6-41F2-80B8-D74915EFDA8C}"/>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F95829F3-CCE6-4DE5-B755-C0799908E8EA}"/>
    <cellStyle name="40% - Accent2 2 5 2 2 3" xfId="26158" xr:uid="{304DD96F-BD5D-43FC-A5F9-351607E6CC8C}"/>
    <cellStyle name="40% - Accent2 2 5 2 3" xfId="12642" xr:uid="{F207782C-1DEE-49ED-80D5-E1EB9AF45131}"/>
    <cellStyle name="40% - Accent2 2 5 2 4" xfId="21941" xr:uid="{9A830693-50A4-4951-93DA-E11F4DACAB44}"/>
    <cellStyle name="40% - Accent2 2 5 3" xfId="5388" xr:uid="{00000000-0005-0000-0000-0000A6040000}"/>
    <cellStyle name="40% - Accent2 2 5 3 2" xfId="14714" xr:uid="{BB2BEF6F-4ACA-47E6-BECD-C3D6B51AAAAB}"/>
    <cellStyle name="40% - Accent2 2 5 3 3" xfId="24013" xr:uid="{A3881F5F-AF11-4F51-8C41-81CDB87D5D03}"/>
    <cellStyle name="40% - Accent2 2 5 4" xfId="10497" xr:uid="{7E1614DB-3651-46E1-AFF1-F89EA1AC24FD}"/>
    <cellStyle name="40% - Accent2 2 5 5" xfId="19796" xr:uid="{AFEC725D-0BB2-4C73-9D17-003553DB154C}"/>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8BF9DE81-0047-4882-9EBD-8AC9FC7F885F}"/>
    <cellStyle name="40% - Accent2 2 6 2 2 3" xfId="26571" xr:uid="{DF9A4F85-ED6E-4BC6-9C46-6FDB333C8528}"/>
    <cellStyle name="40% - Accent2 2 6 2 3" xfId="13055" xr:uid="{B8DC0404-04F2-4570-872F-DDFD2DEB4E34}"/>
    <cellStyle name="40% - Accent2 2 6 2 4" xfId="22354" xr:uid="{C522B56F-8323-4897-BBAE-2A1FEA13E12E}"/>
    <cellStyle name="40% - Accent2 2 6 3" xfId="5801" xr:uid="{00000000-0005-0000-0000-0000AA040000}"/>
    <cellStyle name="40% - Accent2 2 6 3 2" xfId="15127" xr:uid="{5E60A67B-9007-418F-966A-27162601F94B}"/>
    <cellStyle name="40% - Accent2 2 6 3 3" xfId="24426" xr:uid="{E600A668-DAA0-4692-92C8-F714E0205917}"/>
    <cellStyle name="40% - Accent2 2 6 4" xfId="10910" xr:uid="{549CB0A4-78CE-4677-AB52-104EB2C351C1}"/>
    <cellStyle name="40% - Accent2 2 6 5" xfId="20209" xr:uid="{6A170FCA-1926-45FC-8882-36A1D20CED98}"/>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9506CC51-BBED-45A3-917B-6145B9BAAE45}"/>
    <cellStyle name="40% - Accent2 2 7 2 2 3" xfId="26984" xr:uid="{E40A9A08-A7FD-4D63-84C6-E9680665E993}"/>
    <cellStyle name="40% - Accent2 2 7 2 3" xfId="13468" xr:uid="{D662B1A0-BFFE-40BE-8D10-D38F1B035448}"/>
    <cellStyle name="40% - Accent2 2 7 2 4" xfId="22767" xr:uid="{B1F958E1-6FA8-4E49-B287-A56CA8ACCB99}"/>
    <cellStyle name="40% - Accent2 2 7 3" xfId="6214" xr:uid="{00000000-0005-0000-0000-0000AE040000}"/>
    <cellStyle name="40% - Accent2 2 7 3 2" xfId="15540" xr:uid="{C899424F-84E3-4E00-AF42-67107BA888C8}"/>
    <cellStyle name="40% - Accent2 2 7 3 3" xfId="24839" xr:uid="{0AEE8235-7FB3-410A-AAD7-290D2088F883}"/>
    <cellStyle name="40% - Accent2 2 7 4" xfId="11323" xr:uid="{1492A9C4-B5A1-4F5F-8338-0779D90F2792}"/>
    <cellStyle name="40% - Accent2 2 7 5" xfId="20622" xr:uid="{EE35339F-A29B-4131-8A7B-CAAF8628E68B}"/>
    <cellStyle name="40% - Accent2 2 8" xfId="2321" xr:uid="{00000000-0005-0000-0000-0000AF040000}"/>
    <cellStyle name="40% - Accent2 2 8 2" xfId="6627" xr:uid="{00000000-0005-0000-0000-0000B0040000}"/>
    <cellStyle name="40% - Accent2 2 8 2 2" xfId="15953" xr:uid="{75C85B4F-43A1-4DE6-A5DF-22DA451C2E18}"/>
    <cellStyle name="40% - Accent2 2 8 2 3" xfId="25252" xr:uid="{3CB796D6-EEC8-438C-BCD7-AB5DD4D046CF}"/>
    <cellStyle name="40% - Accent2 2 8 3" xfId="11736" xr:uid="{BEF10AF0-1705-4968-8CDD-FA2E18C2B647}"/>
    <cellStyle name="40% - Accent2 2 8 4" xfId="21035" xr:uid="{A644AB49-1E36-4BAF-A48C-3B4149778DBD}"/>
    <cellStyle name="40% - Accent2 2 9" xfId="4561" xr:uid="{00000000-0005-0000-0000-0000B1040000}"/>
    <cellStyle name="40% - Accent2 2 9 2" xfId="13887" xr:uid="{7044A920-D529-4F55-853A-7DC4F7D965E4}"/>
    <cellStyle name="40% - Accent2 2 9 3" xfId="23186" xr:uid="{46215C97-589A-4C4B-B493-F7F4F60D804B}"/>
    <cellStyle name="40% - Accent2 3" xfId="62" xr:uid="{00000000-0005-0000-0000-0000B2040000}"/>
    <cellStyle name="40% - Accent2 3 10" xfId="9674" xr:uid="{6DA61712-FF5A-4E26-8E20-5328EB91A16E}"/>
    <cellStyle name="40% - Accent2 3 11" xfId="18973" xr:uid="{C66778D0-2B02-4B23-926E-48D2353CFEFC}"/>
    <cellStyle name="40% - Accent2 3 2" xfId="63" xr:uid="{00000000-0005-0000-0000-0000B3040000}"/>
    <cellStyle name="40% - Accent2 3 2 10" xfId="18974" xr:uid="{563BFAEA-BEFC-462E-A9F9-2A5D074DCF6C}"/>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B5AD525A-4DEA-42ED-A1FC-D0D63498CB43}"/>
    <cellStyle name="40% - Accent2 3 2 2 2 2 3" xfId="25750" xr:uid="{F04586F9-AE25-42AC-B301-6CED5F8713A1}"/>
    <cellStyle name="40% - Accent2 3 2 2 2 3" xfId="12234" xr:uid="{770AEE5C-C710-438A-A619-E992E61A5173}"/>
    <cellStyle name="40% - Accent2 3 2 2 2 4" xfId="21533" xr:uid="{ABDCBA55-2FA2-484C-8F82-C7A9C3400950}"/>
    <cellStyle name="40% - Accent2 3 2 2 3" xfId="4980" xr:uid="{00000000-0005-0000-0000-0000B7040000}"/>
    <cellStyle name="40% - Accent2 3 2 2 3 2" xfId="14306" xr:uid="{073F7C00-EA0D-42FC-8DBC-184F3BB1FB5E}"/>
    <cellStyle name="40% - Accent2 3 2 2 3 3" xfId="23605" xr:uid="{F34D4726-9A9F-4490-AAF1-BF5D1CF24311}"/>
    <cellStyle name="40% - Accent2 3 2 2 4" xfId="9496" xr:uid="{700FA1AF-D943-4FDB-BFB1-F903AD1F731A}"/>
    <cellStyle name="40% - Accent2 3 2 2 4 2" xfId="18811" xr:uid="{E8B5DAD1-7216-4D37-8ED1-5B5648671159}"/>
    <cellStyle name="40% - Accent2 3 2 2 4 3" xfId="28108" xr:uid="{0CE0E551-02D1-474C-8B4F-FBEF9284A54B}"/>
    <cellStyle name="40% - Accent2 3 2 2 5" xfId="10089" xr:uid="{54921D46-A401-47A5-BCB6-964E169E2B31}"/>
    <cellStyle name="40% - Accent2 3 2 2 6" xfId="19388" xr:uid="{62965066-1F2E-4E92-9267-871C2BA5BA5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9D884E46-B558-44AA-AE0B-AEA33C267677}"/>
    <cellStyle name="40% - Accent2 3 2 3 2 2 3" xfId="26163" xr:uid="{CE227F9C-70B1-49DB-838D-D7DC9F0A99BB}"/>
    <cellStyle name="40% - Accent2 3 2 3 2 3" xfId="12647" xr:uid="{2CD3FEF1-3B11-4E44-BB32-A5A5F9FD6086}"/>
    <cellStyle name="40% - Accent2 3 2 3 2 4" xfId="21946" xr:uid="{21AF378D-4619-4CDF-A1AA-2B019D7B2828}"/>
    <cellStyle name="40% - Accent2 3 2 3 3" xfId="5393" xr:uid="{00000000-0005-0000-0000-0000BB040000}"/>
    <cellStyle name="40% - Accent2 3 2 3 3 2" xfId="14719" xr:uid="{809DCBC6-945D-4DFC-B76E-1AB65D5D3567}"/>
    <cellStyle name="40% - Accent2 3 2 3 3 3" xfId="24018" xr:uid="{95CC57EE-B6F1-44DD-8930-D1478A48A41E}"/>
    <cellStyle name="40% - Accent2 3 2 3 4" xfId="10502" xr:uid="{07EB7FD5-BF5D-4727-86F6-F725CBD0F18F}"/>
    <cellStyle name="40% - Accent2 3 2 3 5" xfId="19801" xr:uid="{69AEFE14-925F-439B-9D1A-DD43CA3D413A}"/>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2ABD558B-AB4D-4FF1-9E3B-FEA45F765D78}"/>
    <cellStyle name="40% - Accent2 3 2 4 2 2 3" xfId="26576" xr:uid="{E5F441DC-4BFD-4BA5-8988-0D775E953552}"/>
    <cellStyle name="40% - Accent2 3 2 4 2 3" xfId="13060" xr:uid="{F11AA081-A3CB-426F-86C6-1C6B1B595DD0}"/>
    <cellStyle name="40% - Accent2 3 2 4 2 4" xfId="22359" xr:uid="{BA34371D-137A-40CE-8680-3423BF0BB1DB}"/>
    <cellStyle name="40% - Accent2 3 2 4 3" xfId="5806" xr:uid="{00000000-0005-0000-0000-0000BF040000}"/>
    <cellStyle name="40% - Accent2 3 2 4 3 2" xfId="15132" xr:uid="{CFAE9F18-C0EB-4ABF-A106-760B94618C06}"/>
    <cellStyle name="40% - Accent2 3 2 4 3 3" xfId="24431" xr:uid="{9235B048-37BB-4C9A-A524-E668EAD6D620}"/>
    <cellStyle name="40% - Accent2 3 2 4 4" xfId="10915" xr:uid="{22C132E3-7584-4B12-96F5-59A1ACA036CB}"/>
    <cellStyle name="40% - Accent2 3 2 4 5" xfId="20214" xr:uid="{D1BBD302-A0B9-43A5-A2BE-B45E40A0B361}"/>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B54F0728-E554-4065-9883-7B062DC13818}"/>
    <cellStyle name="40% - Accent2 3 2 5 2 2 3" xfId="26989" xr:uid="{BB5BDD4F-328C-40F5-991F-B98DA80DEEDF}"/>
    <cellStyle name="40% - Accent2 3 2 5 2 3" xfId="13473" xr:uid="{3E7EEDCA-ED85-405D-AE86-517F85945AE1}"/>
    <cellStyle name="40% - Accent2 3 2 5 2 4" xfId="22772" xr:uid="{4E547879-F82F-4870-9BF3-9CAD7409454A}"/>
    <cellStyle name="40% - Accent2 3 2 5 3" xfId="6219" xr:uid="{00000000-0005-0000-0000-0000C3040000}"/>
    <cellStyle name="40% - Accent2 3 2 5 3 2" xfId="15545" xr:uid="{944D4193-DEF7-4C02-9C91-0707E8EF20F4}"/>
    <cellStyle name="40% - Accent2 3 2 5 3 3" xfId="24844" xr:uid="{CF7D55DF-E40E-4EA4-B56C-C3D7D2FED392}"/>
    <cellStyle name="40% - Accent2 3 2 5 4" xfId="11328" xr:uid="{B471F83C-8CB6-46B9-8620-A05AE1F7F6EF}"/>
    <cellStyle name="40% - Accent2 3 2 5 5" xfId="20627" xr:uid="{FE178A62-063C-40D5-9A9B-BEC5C1F17FDA}"/>
    <cellStyle name="40% - Accent2 3 2 6" xfId="2326" xr:uid="{00000000-0005-0000-0000-0000C4040000}"/>
    <cellStyle name="40% - Accent2 3 2 6 2" xfId="6632" xr:uid="{00000000-0005-0000-0000-0000C5040000}"/>
    <cellStyle name="40% - Accent2 3 2 6 2 2" xfId="15958" xr:uid="{BE39B975-5BD8-4B9A-B74C-0EE04CD3D9D1}"/>
    <cellStyle name="40% - Accent2 3 2 6 2 3" xfId="25257" xr:uid="{C5F90B6D-CB1A-4D1E-9A5E-CC40D151CB19}"/>
    <cellStyle name="40% - Accent2 3 2 6 3" xfId="11741" xr:uid="{4AD16A02-FE36-4D06-ADFD-95AB470A8EE0}"/>
    <cellStyle name="40% - Accent2 3 2 6 4" xfId="21040" xr:uid="{75499AB0-C0FC-484C-BF79-8F77B0626CF6}"/>
    <cellStyle name="40% - Accent2 3 2 7" xfId="4566" xr:uid="{00000000-0005-0000-0000-0000C6040000}"/>
    <cellStyle name="40% - Accent2 3 2 7 2" xfId="13892" xr:uid="{06F82082-044C-40C0-BB9B-F2CD59245A97}"/>
    <cellStyle name="40% - Accent2 3 2 7 3" xfId="23191" xr:uid="{96B6F582-87F7-4758-8EEC-BF82A04AD62A}"/>
    <cellStyle name="40% - Accent2 3 2 8" xfId="9071" xr:uid="{B5463F05-11FC-4377-B380-DDB549C63AA9}"/>
    <cellStyle name="40% - Accent2 3 2 8 2" xfId="18395" xr:uid="{8EBE69B9-227D-4C31-A97E-549C4D1C0B77}"/>
    <cellStyle name="40% - Accent2 3 2 8 3" xfId="27693" xr:uid="{E05E1E9C-092A-4BB2-8372-DBB1F8EC2B86}"/>
    <cellStyle name="40% - Accent2 3 2 9" xfId="9675" xr:uid="{8C7FB3F0-FC47-4E4C-A0D7-3264946BA16C}"/>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46F48E35-052B-468A-9AE9-892CA6DF521D}"/>
    <cellStyle name="40% - Accent2 3 3 2 2 3" xfId="25749" xr:uid="{863F0DC0-0FBB-4411-B63A-9FA51687C17C}"/>
    <cellStyle name="40% - Accent2 3 3 2 3" xfId="12233" xr:uid="{A25E9A2F-2E2D-4439-9D24-D0F6D9DDAE59}"/>
    <cellStyle name="40% - Accent2 3 3 2 4" xfId="21532" xr:uid="{5D626FC1-2040-4FDC-8C6B-2C3FEA851108}"/>
    <cellStyle name="40% - Accent2 3 3 3" xfId="4979" xr:uid="{00000000-0005-0000-0000-0000CA040000}"/>
    <cellStyle name="40% - Accent2 3 3 3 2" xfId="14305" xr:uid="{7B6CE7C1-9D2A-4D4F-B6D0-E6C9A7F5929E}"/>
    <cellStyle name="40% - Accent2 3 3 3 3" xfId="23604" xr:uid="{A07E92A2-6996-46AD-99A6-F761BD0A127F}"/>
    <cellStyle name="40% - Accent2 3 3 4" xfId="9289" xr:uid="{B234EB9F-4AFE-41A2-A17D-ABC1D0F80875}"/>
    <cellStyle name="40% - Accent2 3 3 4 2" xfId="18604" xr:uid="{90D23168-8C31-4FEF-A8AC-4909D848763F}"/>
    <cellStyle name="40% - Accent2 3 3 4 3" xfId="27901" xr:uid="{59D3D622-040D-4803-B148-0EE49A70BB37}"/>
    <cellStyle name="40% - Accent2 3 3 5" xfId="10088" xr:uid="{A8A949D9-1249-45B0-B076-9EA56D1B588C}"/>
    <cellStyle name="40% - Accent2 3 3 6" xfId="19387" xr:uid="{614BF379-5819-4757-845A-152E5262D65C}"/>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00859C17-DBE1-44E3-8770-84BD3DDD64F0}"/>
    <cellStyle name="40% - Accent2 3 4 2 2 3" xfId="26162" xr:uid="{857AC693-FA3C-4185-A6A4-A10127FED084}"/>
    <cellStyle name="40% - Accent2 3 4 2 3" xfId="12646" xr:uid="{4861319C-0EB9-46A9-87F8-7EFD6D00D661}"/>
    <cellStyle name="40% - Accent2 3 4 2 4" xfId="21945" xr:uid="{8E37B0DB-E013-4A9F-BEA3-560339ACB86C}"/>
    <cellStyle name="40% - Accent2 3 4 3" xfId="5392" xr:uid="{00000000-0005-0000-0000-0000CE040000}"/>
    <cellStyle name="40% - Accent2 3 4 3 2" xfId="14718" xr:uid="{05C0FB3D-3EAF-40A0-A776-2EEDF0DB5828}"/>
    <cellStyle name="40% - Accent2 3 4 3 3" xfId="24017" xr:uid="{125534E1-698B-478A-88B9-CDC24E45CDAE}"/>
    <cellStyle name="40% - Accent2 3 4 4" xfId="10501" xr:uid="{B06F4DE8-EBBD-4EC4-A08C-F2388AAFA54F}"/>
    <cellStyle name="40% - Accent2 3 4 5" xfId="19800" xr:uid="{AF584787-DFE3-4484-AFE3-4CA1B556C680}"/>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11780965-FF39-439A-8A30-8D8975158219}"/>
    <cellStyle name="40% - Accent2 3 5 2 2 3" xfId="26575" xr:uid="{47F77E6A-D71F-46FD-94F4-4DD203442FBD}"/>
    <cellStyle name="40% - Accent2 3 5 2 3" xfId="13059" xr:uid="{C1A10780-678C-4975-BE94-432907CE9D49}"/>
    <cellStyle name="40% - Accent2 3 5 2 4" xfId="22358" xr:uid="{8444885D-C621-4A90-B7AD-585E0A76F7D4}"/>
    <cellStyle name="40% - Accent2 3 5 3" xfId="5805" xr:uid="{00000000-0005-0000-0000-0000D2040000}"/>
    <cellStyle name="40% - Accent2 3 5 3 2" xfId="15131" xr:uid="{AFBBACEC-BA43-440B-BB3E-48657BE339F2}"/>
    <cellStyle name="40% - Accent2 3 5 3 3" xfId="24430" xr:uid="{3016B7AE-1207-4481-A177-2E8134016F87}"/>
    <cellStyle name="40% - Accent2 3 5 4" xfId="10914" xr:uid="{0890CAB0-D087-4112-8DA3-121DE3840BFE}"/>
    <cellStyle name="40% - Accent2 3 5 5" xfId="20213" xr:uid="{89A346A5-04AD-43A3-8141-D888794EDFE3}"/>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C3CB0A94-3F31-4629-B8B6-25D67C4E6596}"/>
    <cellStyle name="40% - Accent2 3 6 2 2 3" xfId="26988" xr:uid="{DED87A1E-5D38-47DB-822F-734322431397}"/>
    <cellStyle name="40% - Accent2 3 6 2 3" xfId="13472" xr:uid="{079825D7-6778-42BC-8271-B74D0E64DFED}"/>
    <cellStyle name="40% - Accent2 3 6 2 4" xfId="22771" xr:uid="{F3F54663-6C9E-4F8A-8355-4C45F6F063CC}"/>
    <cellStyle name="40% - Accent2 3 6 3" xfId="6218" xr:uid="{00000000-0005-0000-0000-0000D6040000}"/>
    <cellStyle name="40% - Accent2 3 6 3 2" xfId="15544" xr:uid="{086F953A-0A55-41BC-A036-4F957A14B611}"/>
    <cellStyle name="40% - Accent2 3 6 3 3" xfId="24843" xr:uid="{A7BFC1CB-A073-4322-8A42-655EB9AC0FD2}"/>
    <cellStyle name="40% - Accent2 3 6 4" xfId="11327" xr:uid="{D02B81AF-14EB-435A-B855-FA761814C6A8}"/>
    <cellStyle name="40% - Accent2 3 6 5" xfId="20626" xr:uid="{A57F5115-ED35-4B39-B8D7-192AB485636D}"/>
    <cellStyle name="40% - Accent2 3 7" xfId="2325" xr:uid="{00000000-0005-0000-0000-0000D7040000}"/>
    <cellStyle name="40% - Accent2 3 7 2" xfId="6631" xr:uid="{00000000-0005-0000-0000-0000D8040000}"/>
    <cellStyle name="40% - Accent2 3 7 2 2" xfId="15957" xr:uid="{49C78686-73CC-4992-9BB9-ACAEABA53C71}"/>
    <cellStyle name="40% - Accent2 3 7 2 3" xfId="25256" xr:uid="{467E6590-9656-4CA6-82C5-EBD4C0F8F9B5}"/>
    <cellStyle name="40% - Accent2 3 7 3" xfId="11740" xr:uid="{E6ADC0D1-CC9A-468E-8A84-5365D2EA1C7D}"/>
    <cellStyle name="40% - Accent2 3 7 4" xfId="21039" xr:uid="{8EE564E0-FF7B-4702-A682-E11CA64D96AE}"/>
    <cellStyle name="40% - Accent2 3 8" xfId="4565" xr:uid="{00000000-0005-0000-0000-0000D9040000}"/>
    <cellStyle name="40% - Accent2 3 8 2" xfId="13891" xr:uid="{453766B3-A5D9-4ED2-829C-713C5E1B5DD4}"/>
    <cellStyle name="40% - Accent2 3 8 3" xfId="23190" xr:uid="{7664151B-8423-437B-B18E-3FEF26A53980}"/>
    <cellStyle name="40% - Accent2 3 9" xfId="8864" xr:uid="{311EF031-8CA9-4ACC-8705-6D408E1B50DB}"/>
    <cellStyle name="40% - Accent2 3 9 2" xfId="18188" xr:uid="{2450D414-8C94-49CF-8F8E-244620FD0A36}"/>
    <cellStyle name="40% - Accent2 3 9 3" xfId="27486" xr:uid="{E58B2DEB-33B4-4E46-889F-88A761EB5510}"/>
    <cellStyle name="40% - Accent2 4" xfId="64" xr:uid="{00000000-0005-0000-0000-0000DA040000}"/>
    <cellStyle name="40% - Accent2 4 10" xfId="18975" xr:uid="{3DC75E97-4253-4B22-BC10-CD0617E7A609}"/>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FA4140D1-C1EF-442E-8437-2F530B3D43F5}"/>
    <cellStyle name="40% - Accent2 4 2 2 2 3" xfId="25751" xr:uid="{52E9A15E-F422-4ED5-8E03-DA586FC0B0F0}"/>
    <cellStyle name="40% - Accent2 4 2 2 3" xfId="12235" xr:uid="{A08E0A0E-1C27-44B8-A28E-E96CE2473521}"/>
    <cellStyle name="40% - Accent2 4 2 2 4" xfId="21534" xr:uid="{E0D7F769-A76B-42CA-B5E2-FC53FAD224BF}"/>
    <cellStyle name="40% - Accent2 4 2 3" xfId="4981" xr:uid="{00000000-0005-0000-0000-0000DE040000}"/>
    <cellStyle name="40% - Accent2 4 2 3 2" xfId="14307" xr:uid="{C9C3BA91-AD03-4C40-9B71-F6E6B13206C5}"/>
    <cellStyle name="40% - Accent2 4 2 3 3" xfId="23606" xr:uid="{6F426477-2DAD-45C7-8E33-261F2DF82C55}"/>
    <cellStyle name="40% - Accent2 4 2 4" xfId="9375" xr:uid="{E0F8B4F7-419E-40A5-89E1-F3F0DF6ADFF8}"/>
    <cellStyle name="40% - Accent2 4 2 4 2" xfId="18690" xr:uid="{EF4C7070-E53D-4F43-90DA-9A60D5E431B5}"/>
    <cellStyle name="40% - Accent2 4 2 4 3" xfId="27987" xr:uid="{D735F61E-72F9-4F8C-806C-8273D43D9CFE}"/>
    <cellStyle name="40% - Accent2 4 2 5" xfId="10090" xr:uid="{57A955EF-846E-4446-ADFE-D6DA5CD3EF92}"/>
    <cellStyle name="40% - Accent2 4 2 6" xfId="19389" xr:uid="{18431937-C068-445E-9448-BC3C7EC6A7A1}"/>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E408F354-618F-491C-BE2E-698A00E09509}"/>
    <cellStyle name="40% - Accent2 4 3 2 2 3" xfId="26164" xr:uid="{AC45D7C9-B965-492B-AE06-E365F0A571C2}"/>
    <cellStyle name="40% - Accent2 4 3 2 3" xfId="12648" xr:uid="{E75C2F13-10DE-4EBD-8DAC-02F60681843A}"/>
    <cellStyle name="40% - Accent2 4 3 2 4" xfId="21947" xr:uid="{E45F6E7E-9B5E-4C14-A69C-B23980072E90}"/>
    <cellStyle name="40% - Accent2 4 3 3" xfId="5394" xr:uid="{00000000-0005-0000-0000-0000E2040000}"/>
    <cellStyle name="40% - Accent2 4 3 3 2" xfId="14720" xr:uid="{DAEDC4E7-D006-476E-85B3-DC279DCFDF9E}"/>
    <cellStyle name="40% - Accent2 4 3 3 3" xfId="24019" xr:uid="{B1243BCF-EBA2-40E8-8E4F-93630C8E4C4C}"/>
    <cellStyle name="40% - Accent2 4 3 4" xfId="10503" xr:uid="{B0E4B021-6D5A-4C15-9F66-FF0CBBAFF741}"/>
    <cellStyle name="40% - Accent2 4 3 5" xfId="19802" xr:uid="{F1EBE33C-946A-4325-B2D1-F4E7E90520CA}"/>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CBA1DEEB-BA50-4E78-A051-67D9C55A65E7}"/>
    <cellStyle name="40% - Accent2 4 4 2 2 3" xfId="26577" xr:uid="{FA9113AC-7ACB-420A-BDD4-91B38E32ED39}"/>
    <cellStyle name="40% - Accent2 4 4 2 3" xfId="13061" xr:uid="{D77FA440-60F1-423B-AE2F-979F87188D89}"/>
    <cellStyle name="40% - Accent2 4 4 2 4" xfId="22360" xr:uid="{06E04995-7C09-4414-8BF2-1E1DAC6967F8}"/>
    <cellStyle name="40% - Accent2 4 4 3" xfId="5807" xr:uid="{00000000-0005-0000-0000-0000E6040000}"/>
    <cellStyle name="40% - Accent2 4 4 3 2" xfId="15133" xr:uid="{27566A00-BDA5-446F-A15B-7B12C7A7CB43}"/>
    <cellStyle name="40% - Accent2 4 4 3 3" xfId="24432" xr:uid="{E6FE37D1-5081-4685-B011-58DC970F64C8}"/>
    <cellStyle name="40% - Accent2 4 4 4" xfId="10916" xr:uid="{44257818-5F1B-49C7-8C98-B9ACA21D24E1}"/>
    <cellStyle name="40% - Accent2 4 4 5" xfId="20215" xr:uid="{E8C39651-815D-4705-B444-969FDF3A3FD1}"/>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ADE3706B-3EA2-4B30-9567-07362378D63C}"/>
    <cellStyle name="40% - Accent2 4 5 2 2 3" xfId="26990" xr:uid="{C2CCD300-1C23-4D2E-98AD-7F22D16F3BAE}"/>
    <cellStyle name="40% - Accent2 4 5 2 3" xfId="13474" xr:uid="{3431128C-8DB7-4D8A-BD19-4B02E9FCE7B5}"/>
    <cellStyle name="40% - Accent2 4 5 2 4" xfId="22773" xr:uid="{08645EF4-3951-40C6-8B59-FA4C75D48282}"/>
    <cellStyle name="40% - Accent2 4 5 3" xfId="6220" xr:uid="{00000000-0005-0000-0000-0000EA040000}"/>
    <cellStyle name="40% - Accent2 4 5 3 2" xfId="15546" xr:uid="{3AC6D027-BA64-4655-81A7-94D10D789454}"/>
    <cellStyle name="40% - Accent2 4 5 3 3" xfId="24845" xr:uid="{B7C6F647-5F0F-450B-AA32-20D02CD9876E}"/>
    <cellStyle name="40% - Accent2 4 5 4" xfId="11329" xr:uid="{B9D92E48-0D4B-4CB3-9C26-D7CF1C12883A}"/>
    <cellStyle name="40% - Accent2 4 5 5" xfId="20628" xr:uid="{C96D1047-ACFF-409C-A27F-2780307479B0}"/>
    <cellStyle name="40% - Accent2 4 6" xfId="2327" xr:uid="{00000000-0005-0000-0000-0000EB040000}"/>
    <cellStyle name="40% - Accent2 4 6 2" xfId="6633" xr:uid="{00000000-0005-0000-0000-0000EC040000}"/>
    <cellStyle name="40% - Accent2 4 6 2 2" xfId="15959" xr:uid="{91359EBC-77CF-4D4C-958B-09A6E71A22ED}"/>
    <cellStyle name="40% - Accent2 4 6 2 3" xfId="25258" xr:uid="{6568621D-6380-4102-8847-5DE8F33B3E2D}"/>
    <cellStyle name="40% - Accent2 4 6 3" xfId="11742" xr:uid="{CD66FDE7-4EE5-4112-B722-F2C29E51332F}"/>
    <cellStyle name="40% - Accent2 4 6 4" xfId="21041" xr:uid="{2DD4663D-10DA-44B3-A77C-D0A3C844E00F}"/>
    <cellStyle name="40% - Accent2 4 7" xfId="4567" xr:uid="{00000000-0005-0000-0000-0000ED040000}"/>
    <cellStyle name="40% - Accent2 4 7 2" xfId="13893" xr:uid="{138B9490-9DFB-4E74-B88E-3D7EA224B354}"/>
    <cellStyle name="40% - Accent2 4 7 3" xfId="23192" xr:uid="{F3D5CA05-F57B-48A9-8928-7885903C6D51}"/>
    <cellStyle name="40% - Accent2 4 8" xfId="8950" xr:uid="{02FCA414-0598-4779-8636-7B176A3552C0}"/>
    <cellStyle name="40% - Accent2 4 8 2" xfId="18274" xr:uid="{9C2AC021-4854-4C06-9C07-C39DDACB0E29}"/>
    <cellStyle name="40% - Accent2 4 8 3" xfId="27572" xr:uid="{B89E96D9-430D-44C3-8304-F86734D2B1CF}"/>
    <cellStyle name="40% - Accent2 4 9" xfId="9676" xr:uid="{BD85A4AE-387E-4515-8C7B-2082A0F94DC8}"/>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9613CA83-A9F1-40CF-892A-210B9434F667}"/>
    <cellStyle name="40% - Accent2 5 2 2 3" xfId="25744" xr:uid="{AD1E3CAB-8E5B-4109-87D0-8BB34F821688}"/>
    <cellStyle name="40% - Accent2 5 2 3" xfId="12228" xr:uid="{42F8ADCE-7ACD-4B1B-B634-00F527930497}"/>
    <cellStyle name="40% - Accent2 5 2 4" xfId="21527" xr:uid="{8184744B-1262-4830-BBC1-446870507CC1}"/>
    <cellStyle name="40% - Accent2 5 3" xfId="4974" xr:uid="{00000000-0005-0000-0000-0000F1040000}"/>
    <cellStyle name="40% - Accent2 5 3 2" xfId="14300" xr:uid="{5946E1D3-3A85-4F94-B07D-8FFFFAA57E54}"/>
    <cellStyle name="40% - Accent2 5 3 3" xfId="23599" xr:uid="{C2D39F54-52AB-445A-B113-90A3D4E54966}"/>
    <cellStyle name="40% - Accent2 5 4" xfId="9183" xr:uid="{071EDB8E-9FD1-4063-BCEF-70B734E5ECF1}"/>
    <cellStyle name="40% - Accent2 5 4 2" xfId="18501" xr:uid="{C10BCA5D-F60B-4BA6-B12E-1453CE057CD9}"/>
    <cellStyle name="40% - Accent2 5 4 3" xfId="27798" xr:uid="{D8B4504B-61EC-41FE-A324-C38619746F2D}"/>
    <cellStyle name="40% - Accent2 5 5" xfId="10083" xr:uid="{8E84C6BA-E929-4FE0-9163-16B156DC6FBA}"/>
    <cellStyle name="40% - Accent2 5 6" xfId="19382" xr:uid="{364ABE49-21CF-42DC-9922-F44EEEF85734}"/>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B3D86BC8-7D81-46B9-95D9-ED0A1771A4BD}"/>
    <cellStyle name="40% - Accent2 6 2 2 3" xfId="26157" xr:uid="{46D1BF58-C80C-4F79-A7BE-8CA006485CA7}"/>
    <cellStyle name="40% - Accent2 6 2 3" xfId="12641" xr:uid="{97A76680-82AB-47BB-819B-BFE79887D1FE}"/>
    <cellStyle name="40% - Accent2 6 2 4" xfId="21940" xr:uid="{AC9C4AF7-603D-4DE8-9AB0-CCE8FB3B1BD1}"/>
    <cellStyle name="40% - Accent2 6 3" xfId="5387" xr:uid="{00000000-0005-0000-0000-0000F5040000}"/>
    <cellStyle name="40% - Accent2 6 3 2" xfId="14713" xr:uid="{02B5F12C-3855-4DF8-BC2C-75A09DF019B3}"/>
    <cellStyle name="40% - Accent2 6 3 3" xfId="24012" xr:uid="{8190B0F5-AAD7-4B57-87FE-F84CF091B3BE}"/>
    <cellStyle name="40% - Accent2 6 4" xfId="10496" xr:uid="{486B6409-426A-46BD-B9E2-2F9DB7F66786}"/>
    <cellStyle name="40% - Accent2 6 5" xfId="19795" xr:uid="{69F58D74-9544-496F-9B11-C000B0C5CFC2}"/>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EBF96E65-6D1A-4D52-B546-33AC23FB6D89}"/>
    <cellStyle name="40% - Accent2 7 2 2 3" xfId="26570" xr:uid="{E5B5483C-BB8A-4FDF-A005-59B1A359255D}"/>
    <cellStyle name="40% - Accent2 7 2 3" xfId="13054" xr:uid="{E41E81D7-D0E7-4BB7-A644-81C26A5CD317}"/>
    <cellStyle name="40% - Accent2 7 2 4" xfId="22353" xr:uid="{17992479-3659-40FE-BBA5-6DDB9AFF2D88}"/>
    <cellStyle name="40% - Accent2 7 3" xfId="5800" xr:uid="{00000000-0005-0000-0000-0000F9040000}"/>
    <cellStyle name="40% - Accent2 7 3 2" xfId="15126" xr:uid="{45E20763-FB64-4A7A-BB07-885A1534D2F7}"/>
    <cellStyle name="40% - Accent2 7 3 3" xfId="24425" xr:uid="{7DE2D5DB-A7B3-42C5-AC53-23D1B3DCC8CA}"/>
    <cellStyle name="40% - Accent2 7 4" xfId="10909" xr:uid="{7DD3F2FA-6CDD-4D3C-80DE-0D0EB786A5E0}"/>
    <cellStyle name="40% - Accent2 7 5" xfId="20208" xr:uid="{FF360F83-4F2E-4AC1-AE45-BB728E9DDF49}"/>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97F61BA9-9360-46D4-BEA9-02D04DD65182}"/>
    <cellStyle name="40% - Accent2 8 2 2 3" xfId="26983" xr:uid="{FE96BF6E-CDFF-49BB-8F7D-201B3D5C7F8F}"/>
    <cellStyle name="40% - Accent2 8 2 3" xfId="13467" xr:uid="{A745C7D4-C57B-4BD3-A505-3E6431C93D8D}"/>
    <cellStyle name="40% - Accent2 8 2 4" xfId="22766" xr:uid="{866FEC01-BFC0-4572-95C0-0C34FB83F4FA}"/>
    <cellStyle name="40% - Accent2 8 3" xfId="6213" xr:uid="{00000000-0005-0000-0000-0000FD040000}"/>
    <cellStyle name="40% - Accent2 8 3 2" xfId="15539" xr:uid="{3983E817-B9E6-4577-BB31-F3EF540702E1}"/>
    <cellStyle name="40% - Accent2 8 3 3" xfId="24838" xr:uid="{E2BC3D75-8102-4C2E-87E9-F935819A3222}"/>
    <cellStyle name="40% - Accent2 8 4" xfId="11322" xr:uid="{47B2E265-8324-424E-96AD-014137CC2BF3}"/>
    <cellStyle name="40% - Accent2 8 5" xfId="20621" xr:uid="{F02EFA54-9E4E-4C26-B12F-4088489C6180}"/>
    <cellStyle name="40% - Accent2 9" xfId="2320" xr:uid="{00000000-0005-0000-0000-0000FE040000}"/>
    <cellStyle name="40% - Accent2 9 2" xfId="6626" xr:uid="{00000000-0005-0000-0000-0000FF040000}"/>
    <cellStyle name="40% - Accent2 9 2 2" xfId="15952" xr:uid="{3327B2A9-24B5-4031-93D7-4333389BACD1}"/>
    <cellStyle name="40% - Accent2 9 2 3" xfId="25251" xr:uid="{E3B1F082-3FEC-4340-9EE4-14D94DB765B8}"/>
    <cellStyle name="40% - Accent2 9 3" xfId="11735" xr:uid="{2DF5E7B9-150C-498E-A577-1B47E33CFC46}"/>
    <cellStyle name="40% - Accent2 9 4" xfId="21034" xr:uid="{89AE3C88-3863-49D3-A779-E23E8214C011}"/>
    <cellStyle name="40% - Accent3" xfId="65" builtinId="39" customBuiltin="1"/>
    <cellStyle name="40% - Accent3 10" xfId="4568" xr:uid="{00000000-0005-0000-0000-000001050000}"/>
    <cellStyle name="40% - Accent3 10 2" xfId="13894" xr:uid="{D10B121F-F1EB-4E20-97A9-87868A8C4F7A}"/>
    <cellStyle name="40% - Accent3 10 3" xfId="23193" xr:uid="{0911EA1B-BA30-47C4-B2FD-47B606F93152}"/>
    <cellStyle name="40% - Accent3 11" xfId="8763" xr:uid="{CEFBFA85-5B68-4AEB-BF0D-8E604938B05F}"/>
    <cellStyle name="40% - Accent3 11 2" xfId="18087" xr:uid="{97043209-5465-4E02-A383-2D77869394BD}"/>
    <cellStyle name="40% - Accent3 11 3" xfId="27385" xr:uid="{5F70BD3E-1354-4227-B6B6-C34DDF6E3306}"/>
    <cellStyle name="40% - Accent3 12" xfId="9677" xr:uid="{8C3D3951-ADA7-485A-A061-88EC01CE89F2}"/>
    <cellStyle name="40% - Accent3 13" xfId="18976" xr:uid="{61901733-E72B-4F56-B8F1-DA80C3B706DA}"/>
    <cellStyle name="40% - Accent3 2" xfId="66" xr:uid="{00000000-0005-0000-0000-000002050000}"/>
    <cellStyle name="40% - Accent3 2 10" xfId="8800" xr:uid="{00FF2AAD-7D96-45B5-8981-0BB923A3505B}"/>
    <cellStyle name="40% - Accent3 2 10 2" xfId="18124" xr:uid="{E48400E8-4200-4920-A8D7-CB83BB78E926}"/>
    <cellStyle name="40% - Accent3 2 10 3" xfId="27422" xr:uid="{BCAB316D-0322-4EAF-BDF6-DB4E292F30CD}"/>
    <cellStyle name="40% - Accent3 2 11" xfId="9678" xr:uid="{A8814EEA-67BC-40EE-90C3-F51DB4618A90}"/>
    <cellStyle name="40% - Accent3 2 12" xfId="18977" xr:uid="{DB33971F-5ABB-4B75-B0F1-BF388601347F}"/>
    <cellStyle name="40% - Accent3 2 2" xfId="67" xr:uid="{00000000-0005-0000-0000-000003050000}"/>
    <cellStyle name="40% - Accent3 2 2 10" xfId="9679" xr:uid="{421EDCD0-D567-4722-A323-484FFE4802DD}"/>
    <cellStyle name="40% - Accent3 2 2 11" xfId="18978" xr:uid="{3FD4D5B3-7A47-4022-84C7-52158B1E3726}"/>
    <cellStyle name="40% - Accent3 2 2 2" xfId="68" xr:uid="{00000000-0005-0000-0000-000004050000}"/>
    <cellStyle name="40% - Accent3 2 2 2 10" xfId="18979" xr:uid="{CDE1A72E-D019-4B03-B0AE-844D75105726}"/>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8769BD5F-F913-4605-91E9-29CD32E5A61D}"/>
    <cellStyle name="40% - Accent3 2 2 2 2 2 2 3" xfId="25755" xr:uid="{A4E02430-6710-489A-A490-58490019103E}"/>
    <cellStyle name="40% - Accent3 2 2 2 2 2 3" xfId="12239" xr:uid="{0EE6349F-2586-4F82-B183-4CE63888EC95}"/>
    <cellStyle name="40% - Accent3 2 2 2 2 2 4" xfId="21538" xr:uid="{54098AC7-5C67-4814-8F5B-9CC68A121713}"/>
    <cellStyle name="40% - Accent3 2 2 2 2 3" xfId="4985" xr:uid="{00000000-0005-0000-0000-000008050000}"/>
    <cellStyle name="40% - Accent3 2 2 2 2 3 2" xfId="14311" xr:uid="{E4DA3039-12C7-4C33-B96D-DFF8ACD1773F}"/>
    <cellStyle name="40% - Accent3 2 2 2 2 3 3" xfId="23610" xr:uid="{67FE7C58-33E5-42FC-9C27-F69EEECEF61D}"/>
    <cellStyle name="40% - Accent3 2 2 2 2 4" xfId="9535" xr:uid="{3AC66435-D4C7-42EF-A799-3DC81A57BDF4}"/>
    <cellStyle name="40% - Accent3 2 2 2 2 4 2" xfId="18850" xr:uid="{033FDC01-A619-4562-B0EB-3B6EAB4CD567}"/>
    <cellStyle name="40% - Accent3 2 2 2 2 4 3" xfId="28147" xr:uid="{89E2CF59-69C8-4834-A4DB-7D453E5A05FB}"/>
    <cellStyle name="40% - Accent3 2 2 2 2 5" xfId="10094" xr:uid="{8C1E179E-5813-442A-9092-214FD9D04E19}"/>
    <cellStyle name="40% - Accent3 2 2 2 2 6" xfId="19393" xr:uid="{A1DC81BB-9DA2-4A5C-A601-617868B70B6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8B3BFFB0-2A8C-43BA-9183-A40FF65E8C29}"/>
    <cellStyle name="40% - Accent3 2 2 2 3 2 2 3" xfId="26168" xr:uid="{30AC3529-0E61-484D-B030-FAB2A3615B72}"/>
    <cellStyle name="40% - Accent3 2 2 2 3 2 3" xfId="12652" xr:uid="{0F4510DF-014B-412C-8EB2-5F5703CBFD01}"/>
    <cellStyle name="40% - Accent3 2 2 2 3 2 4" xfId="21951" xr:uid="{69110791-2F0B-4475-A2B5-8502C67CFF0E}"/>
    <cellStyle name="40% - Accent3 2 2 2 3 3" xfId="5398" xr:uid="{00000000-0005-0000-0000-00000C050000}"/>
    <cellStyle name="40% - Accent3 2 2 2 3 3 2" xfId="14724" xr:uid="{3B349F55-5CAD-44CA-A761-6A617BA607EE}"/>
    <cellStyle name="40% - Accent3 2 2 2 3 3 3" xfId="24023" xr:uid="{EDA2788C-42ED-43E1-BA84-F24E8A3F70D2}"/>
    <cellStyle name="40% - Accent3 2 2 2 3 4" xfId="10507" xr:uid="{753219D7-F6DA-4605-AD82-CDA1B26C4352}"/>
    <cellStyle name="40% - Accent3 2 2 2 3 5" xfId="19806" xr:uid="{1EB05B56-BE0A-480B-94B6-4B7828BA097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4F6E4921-B48C-4EC7-A4C1-D8FBA292AF34}"/>
    <cellStyle name="40% - Accent3 2 2 2 4 2 2 3" xfId="26581" xr:uid="{00929946-1961-4955-9648-039A2AD724EB}"/>
    <cellStyle name="40% - Accent3 2 2 2 4 2 3" xfId="13065" xr:uid="{8FC2A865-826A-4D7F-A097-8C40AE7AFB4A}"/>
    <cellStyle name="40% - Accent3 2 2 2 4 2 4" xfId="22364" xr:uid="{180D7317-32A3-424D-87C5-71D7B39C9C1A}"/>
    <cellStyle name="40% - Accent3 2 2 2 4 3" xfId="5811" xr:uid="{00000000-0005-0000-0000-000010050000}"/>
    <cellStyle name="40% - Accent3 2 2 2 4 3 2" xfId="15137" xr:uid="{A3DDC07A-BCC0-4472-92CC-83E6FED2ED37}"/>
    <cellStyle name="40% - Accent3 2 2 2 4 3 3" xfId="24436" xr:uid="{B1559B60-9589-42D3-BA77-ECEB2558E6E9}"/>
    <cellStyle name="40% - Accent3 2 2 2 4 4" xfId="10920" xr:uid="{66A6CC09-E85C-4AC0-8FA9-C47D268EF11F}"/>
    <cellStyle name="40% - Accent3 2 2 2 4 5" xfId="20219" xr:uid="{440198BF-E5C3-4122-88E4-4E077913E30A}"/>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37E7B913-D4FC-480E-B121-3593EF4DA0B5}"/>
    <cellStyle name="40% - Accent3 2 2 2 5 2 2 3" xfId="26994" xr:uid="{2AE0A561-317F-49DD-8080-260F96F35330}"/>
    <cellStyle name="40% - Accent3 2 2 2 5 2 3" xfId="13478" xr:uid="{00EFF962-FD27-476C-A27E-C63D40930897}"/>
    <cellStyle name="40% - Accent3 2 2 2 5 2 4" xfId="22777" xr:uid="{7771F667-F8CD-4B13-A27E-771B09CAB04A}"/>
    <cellStyle name="40% - Accent3 2 2 2 5 3" xfId="6224" xr:uid="{00000000-0005-0000-0000-000014050000}"/>
    <cellStyle name="40% - Accent3 2 2 2 5 3 2" xfId="15550" xr:uid="{FF4FF934-9597-4032-BF43-2E5A6693A6EA}"/>
    <cellStyle name="40% - Accent3 2 2 2 5 3 3" xfId="24849" xr:uid="{83537E77-7BE3-4C3E-BF5F-54FA320EEF60}"/>
    <cellStyle name="40% - Accent3 2 2 2 5 4" xfId="11333" xr:uid="{A0A5E5DA-5251-4782-9720-743985333F78}"/>
    <cellStyle name="40% - Accent3 2 2 2 5 5" xfId="20632" xr:uid="{8024AA2F-AA02-48B8-B961-4AE49F1F4EF8}"/>
    <cellStyle name="40% - Accent3 2 2 2 6" xfId="2331" xr:uid="{00000000-0005-0000-0000-000015050000}"/>
    <cellStyle name="40% - Accent3 2 2 2 6 2" xfId="6637" xr:uid="{00000000-0005-0000-0000-000016050000}"/>
    <cellStyle name="40% - Accent3 2 2 2 6 2 2" xfId="15963" xr:uid="{EF00C720-CE40-4586-8663-18855491666C}"/>
    <cellStyle name="40% - Accent3 2 2 2 6 2 3" xfId="25262" xr:uid="{57129D33-D956-423F-9CDE-AC167AE1FA79}"/>
    <cellStyle name="40% - Accent3 2 2 2 6 3" xfId="11746" xr:uid="{18A4A495-2B1E-4812-A010-578F71AAF6D9}"/>
    <cellStyle name="40% - Accent3 2 2 2 6 4" xfId="21045" xr:uid="{E09B1C31-2710-4CBF-A171-ADF9B858D2CC}"/>
    <cellStyle name="40% - Accent3 2 2 2 7" xfId="4571" xr:uid="{00000000-0005-0000-0000-000017050000}"/>
    <cellStyle name="40% - Accent3 2 2 2 7 2" xfId="13897" xr:uid="{BD317F6C-111C-4F09-A7BE-F12D13C87C51}"/>
    <cellStyle name="40% - Accent3 2 2 2 7 3" xfId="23196" xr:uid="{1A99FCC1-1B35-4CC9-8250-3828070329DB}"/>
    <cellStyle name="40% - Accent3 2 2 2 8" xfId="9110" xr:uid="{E41CBEF9-86F8-44B9-895F-532A7BDC9A2A}"/>
    <cellStyle name="40% - Accent3 2 2 2 8 2" xfId="18434" xr:uid="{7F03593D-6239-4788-AF19-A5A17671EBA4}"/>
    <cellStyle name="40% - Accent3 2 2 2 8 3" xfId="27732" xr:uid="{570827FA-B738-4570-ABF5-20B56402A230}"/>
    <cellStyle name="40% - Accent3 2 2 2 9" xfId="9680" xr:uid="{477C0AF0-3EAC-4A55-B297-547C0256F2DB}"/>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3C504943-AED5-4C6F-AC31-254160FC248B}"/>
    <cellStyle name="40% - Accent3 2 2 3 2 2 3" xfId="25754" xr:uid="{6A90BC2B-56D8-4359-843A-D13E6B60B6BF}"/>
    <cellStyle name="40% - Accent3 2 2 3 2 3" xfId="12238" xr:uid="{21ECC5E0-20C3-4838-96A1-359B759ACFC1}"/>
    <cellStyle name="40% - Accent3 2 2 3 2 4" xfId="21537" xr:uid="{62FA422F-65A1-4B5D-8F03-745F2B4A2004}"/>
    <cellStyle name="40% - Accent3 2 2 3 3" xfId="4984" xr:uid="{00000000-0005-0000-0000-00001B050000}"/>
    <cellStyle name="40% - Accent3 2 2 3 3 2" xfId="14310" xr:uid="{72E8658C-D4BE-4A60-B006-CF8B015BB813}"/>
    <cellStyle name="40% - Accent3 2 2 3 3 3" xfId="23609" xr:uid="{1B21B590-12DA-4594-A54A-D34EC6B5C579}"/>
    <cellStyle name="40% - Accent3 2 2 3 4" xfId="9328" xr:uid="{1DAEB9B9-01CE-426D-A8F1-CE08999D7264}"/>
    <cellStyle name="40% - Accent3 2 2 3 4 2" xfId="18643" xr:uid="{80A09030-567B-4140-8121-099134604151}"/>
    <cellStyle name="40% - Accent3 2 2 3 4 3" xfId="27940" xr:uid="{4D4E848B-99EA-4D56-8AE3-7E5A94731EFC}"/>
    <cellStyle name="40% - Accent3 2 2 3 5" xfId="10093" xr:uid="{30C1D483-D792-4BF0-A530-6FC875CDC1F5}"/>
    <cellStyle name="40% - Accent3 2 2 3 6" xfId="19392" xr:uid="{9427ABBD-D620-446A-B649-165AE2A154C9}"/>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088AB22A-6563-4CB6-B10C-198F312D703F}"/>
    <cellStyle name="40% - Accent3 2 2 4 2 2 3" xfId="26167" xr:uid="{11A8A9FC-1E38-4187-97D6-26F548B9D71D}"/>
    <cellStyle name="40% - Accent3 2 2 4 2 3" xfId="12651" xr:uid="{BB73A16D-AE77-45F7-8887-4EF43B3E08B7}"/>
    <cellStyle name="40% - Accent3 2 2 4 2 4" xfId="21950" xr:uid="{0602BA9D-2756-4376-A55A-36E3D3C0317B}"/>
    <cellStyle name="40% - Accent3 2 2 4 3" xfId="5397" xr:uid="{00000000-0005-0000-0000-00001F050000}"/>
    <cellStyle name="40% - Accent3 2 2 4 3 2" xfId="14723" xr:uid="{B05A2939-B984-42DD-AAF2-8035B4B96F31}"/>
    <cellStyle name="40% - Accent3 2 2 4 3 3" xfId="24022" xr:uid="{5AC2698C-3295-4FF0-B830-B72921894BF1}"/>
    <cellStyle name="40% - Accent3 2 2 4 4" xfId="10506" xr:uid="{850DBE53-7BA7-4180-BAA5-B5E7BAEC8F85}"/>
    <cellStyle name="40% - Accent3 2 2 4 5" xfId="19805" xr:uid="{EF34A8EC-CE77-45EF-96C3-B72EEF8E57B6}"/>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31172F20-08C8-40C1-AD58-9EE9EA6AA644}"/>
    <cellStyle name="40% - Accent3 2 2 5 2 2 3" xfId="26580" xr:uid="{16AB9C87-94E2-4BED-B575-83960F2FD6F9}"/>
    <cellStyle name="40% - Accent3 2 2 5 2 3" xfId="13064" xr:uid="{FBA85A2C-1F6F-4107-A69D-04B4038162CB}"/>
    <cellStyle name="40% - Accent3 2 2 5 2 4" xfId="22363" xr:uid="{01D1C216-EFEF-4C51-8F6D-874E6B80EC2D}"/>
    <cellStyle name="40% - Accent3 2 2 5 3" xfId="5810" xr:uid="{00000000-0005-0000-0000-000023050000}"/>
    <cellStyle name="40% - Accent3 2 2 5 3 2" xfId="15136" xr:uid="{9FC389B4-CE7B-4D1F-A5CF-CBC03BE30A42}"/>
    <cellStyle name="40% - Accent3 2 2 5 3 3" xfId="24435" xr:uid="{10AB8932-5CE5-4F56-895B-9A7052DD0DDB}"/>
    <cellStyle name="40% - Accent3 2 2 5 4" xfId="10919" xr:uid="{7F521C57-B27B-4891-8128-39DF3534651D}"/>
    <cellStyle name="40% - Accent3 2 2 5 5" xfId="20218" xr:uid="{4C226414-7B73-416D-A5C6-9A31D5102562}"/>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FF3ED329-E134-438E-96CA-40326DFBC6BF}"/>
    <cellStyle name="40% - Accent3 2 2 6 2 2 3" xfId="26993" xr:uid="{CD84AE62-749F-4D69-AAC9-DB13A8808A70}"/>
    <cellStyle name="40% - Accent3 2 2 6 2 3" xfId="13477" xr:uid="{558E6D39-048D-4464-AC4E-14706C430BF6}"/>
    <cellStyle name="40% - Accent3 2 2 6 2 4" xfId="22776" xr:uid="{2059F105-13FD-49AC-9820-4EE47D553C82}"/>
    <cellStyle name="40% - Accent3 2 2 6 3" xfId="6223" xr:uid="{00000000-0005-0000-0000-000027050000}"/>
    <cellStyle name="40% - Accent3 2 2 6 3 2" xfId="15549" xr:uid="{134E9D93-BD76-43E5-B9C1-32B9F72E6026}"/>
    <cellStyle name="40% - Accent3 2 2 6 3 3" xfId="24848" xr:uid="{E2C97B80-D04C-4C06-93DE-3A7F6F84394E}"/>
    <cellStyle name="40% - Accent3 2 2 6 4" xfId="11332" xr:uid="{837C4470-04A6-4EBF-B25B-0AD624B2F05A}"/>
    <cellStyle name="40% - Accent3 2 2 6 5" xfId="20631" xr:uid="{47432484-C9D4-497B-B410-B9E07C1F548E}"/>
    <cellStyle name="40% - Accent3 2 2 7" xfId="2330" xr:uid="{00000000-0005-0000-0000-000028050000}"/>
    <cellStyle name="40% - Accent3 2 2 7 2" xfId="6636" xr:uid="{00000000-0005-0000-0000-000029050000}"/>
    <cellStyle name="40% - Accent3 2 2 7 2 2" xfId="15962" xr:uid="{E49F6BC5-CC64-442F-8B21-8CF4A5461249}"/>
    <cellStyle name="40% - Accent3 2 2 7 2 3" xfId="25261" xr:uid="{6F598153-6C99-4EF9-90CE-86D65254194B}"/>
    <cellStyle name="40% - Accent3 2 2 7 3" xfId="11745" xr:uid="{13EBA098-A07A-4096-9A22-88BBDA338C08}"/>
    <cellStyle name="40% - Accent3 2 2 7 4" xfId="21044" xr:uid="{EA509364-C14B-4453-BC63-CF09916CEA8C}"/>
    <cellStyle name="40% - Accent3 2 2 8" xfId="4570" xr:uid="{00000000-0005-0000-0000-00002A050000}"/>
    <cellStyle name="40% - Accent3 2 2 8 2" xfId="13896" xr:uid="{1F351999-B575-4B99-97CF-086A025900B9}"/>
    <cellStyle name="40% - Accent3 2 2 8 3" xfId="23195" xr:uid="{82A08559-878B-47F9-A544-C2F7B636AA75}"/>
    <cellStyle name="40% - Accent3 2 2 9" xfId="8903" xr:uid="{D9C85917-26AE-466C-8B98-905BCDA9E329}"/>
    <cellStyle name="40% - Accent3 2 2 9 2" xfId="18227" xr:uid="{B812740E-9032-4DEA-A3A2-A2A81E3EE071}"/>
    <cellStyle name="40% - Accent3 2 2 9 3" xfId="27525" xr:uid="{A6AD1889-E85E-444F-9ACB-8C1F62C40EFD}"/>
    <cellStyle name="40% - Accent3 2 3" xfId="69" xr:uid="{00000000-0005-0000-0000-00002B050000}"/>
    <cellStyle name="40% - Accent3 2 3 10" xfId="18980" xr:uid="{2E6A99EC-52B2-4B9E-ADEC-A681BB7D2B55}"/>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240F95C4-909C-4D3B-AB3E-C17A5B01D83D}"/>
    <cellStyle name="40% - Accent3 2 3 2 2 2 3" xfId="25756" xr:uid="{B2A5E876-9516-4092-AF10-D41F537DE964}"/>
    <cellStyle name="40% - Accent3 2 3 2 2 3" xfId="12240" xr:uid="{32185F7D-4F44-4DDA-95EC-1D80DC20D217}"/>
    <cellStyle name="40% - Accent3 2 3 2 2 4" xfId="21539" xr:uid="{B3210AC8-39C1-4FA4-AEF9-0E53A1362D80}"/>
    <cellStyle name="40% - Accent3 2 3 2 3" xfId="4986" xr:uid="{00000000-0005-0000-0000-00002F050000}"/>
    <cellStyle name="40% - Accent3 2 3 2 3 2" xfId="14312" xr:uid="{C325C01A-DD91-4A67-A1DF-7626631B9B25}"/>
    <cellStyle name="40% - Accent3 2 3 2 3 3" xfId="23611" xr:uid="{5CF35614-D407-4503-A53F-086A1BA171C6}"/>
    <cellStyle name="40% - Accent3 2 3 2 4" xfId="9432" xr:uid="{54D6848B-0200-4F42-820D-262A8F9A2C0F}"/>
    <cellStyle name="40% - Accent3 2 3 2 4 2" xfId="18747" xr:uid="{61AAF896-186F-4012-AAFA-26A8F170D5C5}"/>
    <cellStyle name="40% - Accent3 2 3 2 4 3" xfId="28044" xr:uid="{0D77769D-C040-496F-A7A4-A1A56C7D2495}"/>
    <cellStyle name="40% - Accent3 2 3 2 5" xfId="10095" xr:uid="{9777CA04-9281-4034-AF8A-4880DE51991F}"/>
    <cellStyle name="40% - Accent3 2 3 2 6" xfId="19394" xr:uid="{4AC03E32-E5F2-40E1-AAA4-1ACF26E4C6B4}"/>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9BA62B50-10E7-473F-B1F9-F3CB72539555}"/>
    <cellStyle name="40% - Accent3 2 3 3 2 2 3" xfId="26169" xr:uid="{144A3443-D308-4A92-83FE-BC811976F586}"/>
    <cellStyle name="40% - Accent3 2 3 3 2 3" xfId="12653" xr:uid="{4345E4AB-AD35-4D89-94C6-B43C2D5793C2}"/>
    <cellStyle name="40% - Accent3 2 3 3 2 4" xfId="21952" xr:uid="{D3D51845-6C28-458C-934E-6FD0D77DC4DF}"/>
    <cellStyle name="40% - Accent3 2 3 3 3" xfId="5399" xr:uid="{00000000-0005-0000-0000-000033050000}"/>
    <cellStyle name="40% - Accent3 2 3 3 3 2" xfId="14725" xr:uid="{4FB942E7-7440-4576-84CF-CB17EFE4C488}"/>
    <cellStyle name="40% - Accent3 2 3 3 3 3" xfId="24024" xr:uid="{4576399A-266B-4709-9607-3518F2A2D013}"/>
    <cellStyle name="40% - Accent3 2 3 3 4" xfId="10508" xr:uid="{39F3A3E6-BF06-4B1A-BDCC-8CFCCB58556D}"/>
    <cellStyle name="40% - Accent3 2 3 3 5" xfId="19807" xr:uid="{275CE2F1-6718-4A9A-A408-A92330738D31}"/>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B6E820E1-79D7-4A8F-B406-89301D117FE8}"/>
    <cellStyle name="40% - Accent3 2 3 4 2 2 3" xfId="26582" xr:uid="{6670ABC5-9898-47EE-A13F-85BA970B7A4C}"/>
    <cellStyle name="40% - Accent3 2 3 4 2 3" xfId="13066" xr:uid="{FEB7F9F7-6D78-4C14-93D7-55E48C0655F1}"/>
    <cellStyle name="40% - Accent3 2 3 4 2 4" xfId="22365" xr:uid="{6A559BB9-6805-42C9-A3DD-3B38779B6D00}"/>
    <cellStyle name="40% - Accent3 2 3 4 3" xfId="5812" xr:uid="{00000000-0005-0000-0000-000037050000}"/>
    <cellStyle name="40% - Accent3 2 3 4 3 2" xfId="15138" xr:uid="{2E8AD068-9008-4E32-B70F-8B4A7C77858B}"/>
    <cellStyle name="40% - Accent3 2 3 4 3 3" xfId="24437" xr:uid="{0656E91B-1DE8-443C-B225-0093B8E65A51}"/>
    <cellStyle name="40% - Accent3 2 3 4 4" xfId="10921" xr:uid="{B759B6C0-3F81-42F2-BBD5-FA5AE16B1FE7}"/>
    <cellStyle name="40% - Accent3 2 3 4 5" xfId="20220" xr:uid="{62C02AC0-10D7-4B40-BB84-9AA4EA3C55B9}"/>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ACF957FB-6174-42E7-A92C-54D108FEAF46}"/>
    <cellStyle name="40% - Accent3 2 3 5 2 2 3" xfId="26995" xr:uid="{55E6C75C-6C69-4139-9BF6-93F16377F808}"/>
    <cellStyle name="40% - Accent3 2 3 5 2 3" xfId="13479" xr:uid="{D7FE6DA3-39FB-4967-8235-AC642B7558AC}"/>
    <cellStyle name="40% - Accent3 2 3 5 2 4" xfId="22778" xr:uid="{8FA55855-986A-42E1-BCBF-F39F6BAEC286}"/>
    <cellStyle name="40% - Accent3 2 3 5 3" xfId="6225" xr:uid="{00000000-0005-0000-0000-00003B050000}"/>
    <cellStyle name="40% - Accent3 2 3 5 3 2" xfId="15551" xr:uid="{20A59A7F-1FB3-4B05-9EF6-1049CD6710F8}"/>
    <cellStyle name="40% - Accent3 2 3 5 3 3" xfId="24850" xr:uid="{69449BEB-7764-4F5B-9D20-658DC9757D84}"/>
    <cellStyle name="40% - Accent3 2 3 5 4" xfId="11334" xr:uid="{B25A0672-3C1C-41DF-949D-01345C92CBD6}"/>
    <cellStyle name="40% - Accent3 2 3 5 5" xfId="20633" xr:uid="{AB22EDA6-836D-4DE1-84C1-3FE86CB9458F}"/>
    <cellStyle name="40% - Accent3 2 3 6" xfId="2332" xr:uid="{00000000-0005-0000-0000-00003C050000}"/>
    <cellStyle name="40% - Accent3 2 3 6 2" xfId="6638" xr:uid="{00000000-0005-0000-0000-00003D050000}"/>
    <cellStyle name="40% - Accent3 2 3 6 2 2" xfId="15964" xr:uid="{9B202A53-9030-4DE9-BD0C-F1AFDD58EFE3}"/>
    <cellStyle name="40% - Accent3 2 3 6 2 3" xfId="25263" xr:uid="{F4CA7F85-FDD7-4A39-8A99-E27A8E128B48}"/>
    <cellStyle name="40% - Accent3 2 3 6 3" xfId="11747" xr:uid="{F65E161A-D3E7-4F8F-AB33-4D3096CF8949}"/>
    <cellStyle name="40% - Accent3 2 3 6 4" xfId="21046" xr:uid="{3D112802-3CB9-4407-840F-49B2EBF4BEF3}"/>
    <cellStyle name="40% - Accent3 2 3 7" xfId="4572" xr:uid="{00000000-0005-0000-0000-00003E050000}"/>
    <cellStyle name="40% - Accent3 2 3 7 2" xfId="13898" xr:uid="{726A5618-B2A3-4959-85DC-9A05BAE62A5A}"/>
    <cellStyle name="40% - Accent3 2 3 7 3" xfId="23197" xr:uid="{FCA7E2B9-4A99-41D9-ABC1-9C8F715992A6}"/>
    <cellStyle name="40% - Accent3 2 3 8" xfId="9007" xr:uid="{2DEFD82C-2A62-4C1E-AA8D-7F2606BD9091}"/>
    <cellStyle name="40% - Accent3 2 3 8 2" xfId="18331" xr:uid="{B0092F46-1F78-45F7-9D4C-03D0D9DE39BB}"/>
    <cellStyle name="40% - Accent3 2 3 8 3" xfId="27629" xr:uid="{C52DB719-E55B-4BC3-B5CF-7BAB8EB68CBB}"/>
    <cellStyle name="40% - Accent3 2 3 9" xfId="9681" xr:uid="{4AC77BD4-8571-43D0-80A1-49F7247BE31A}"/>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E7752D18-D7BC-4B02-A5E8-AF90DC9DDD2A}"/>
    <cellStyle name="40% - Accent3 2 4 2 2 3" xfId="25753" xr:uid="{781E69D2-27C6-4A05-94C2-3B91BD37D895}"/>
    <cellStyle name="40% - Accent3 2 4 2 3" xfId="12237" xr:uid="{94DDC21D-168E-4A3F-AB26-87E28A18A912}"/>
    <cellStyle name="40% - Accent3 2 4 2 4" xfId="21536" xr:uid="{487F2629-BEA0-4BA1-A1A0-05220D84D4B7}"/>
    <cellStyle name="40% - Accent3 2 4 3" xfId="4983" xr:uid="{00000000-0005-0000-0000-000042050000}"/>
    <cellStyle name="40% - Accent3 2 4 3 2" xfId="14309" xr:uid="{E872319C-4DA2-4BED-A94C-5AED447F1BBB}"/>
    <cellStyle name="40% - Accent3 2 4 3 3" xfId="23608" xr:uid="{54DEFBBD-9B65-49F7-AD67-D191EE1B25DE}"/>
    <cellStyle name="40% - Accent3 2 4 4" xfId="9224" xr:uid="{6B91012A-BFF2-4F1F-901C-A91F06F80031}"/>
    <cellStyle name="40% - Accent3 2 4 4 2" xfId="18540" xr:uid="{1B3B5420-5B6F-4BAA-8799-C7B79549B1BF}"/>
    <cellStyle name="40% - Accent3 2 4 4 3" xfId="27837" xr:uid="{C7978EE7-E284-4BBB-966C-73FD1E907778}"/>
    <cellStyle name="40% - Accent3 2 4 5" xfId="10092" xr:uid="{A1CC55BB-2205-4EAF-AB3E-9D802C1E6E20}"/>
    <cellStyle name="40% - Accent3 2 4 6" xfId="19391" xr:uid="{75286645-A10D-409B-A356-AE551F35C919}"/>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5614E1A9-A445-4D11-8F23-8A88846CF15E}"/>
    <cellStyle name="40% - Accent3 2 5 2 2 3" xfId="26166" xr:uid="{A9F021D1-04CF-4EAF-B59D-054DC049F926}"/>
    <cellStyle name="40% - Accent3 2 5 2 3" xfId="12650" xr:uid="{8EFDE51F-9BBC-431F-9735-162EF628E68D}"/>
    <cellStyle name="40% - Accent3 2 5 2 4" xfId="21949" xr:uid="{13A59DAD-5D29-4E29-8F59-F2DCE098EC83}"/>
    <cellStyle name="40% - Accent3 2 5 3" xfId="5396" xr:uid="{00000000-0005-0000-0000-000046050000}"/>
    <cellStyle name="40% - Accent3 2 5 3 2" xfId="14722" xr:uid="{5F8CC485-F864-4E6F-9E56-FAF3D94A0F39}"/>
    <cellStyle name="40% - Accent3 2 5 3 3" xfId="24021" xr:uid="{AEBE4238-B546-406F-8FBD-0B54BEA09323}"/>
    <cellStyle name="40% - Accent3 2 5 4" xfId="10505" xr:uid="{B360833A-968F-41DD-8DD7-2FD96B077EED}"/>
    <cellStyle name="40% - Accent3 2 5 5" xfId="19804" xr:uid="{B7532D78-D24C-4FF3-8A30-BFAA405BBE59}"/>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A7D6E220-5419-4472-93BA-B1404A3CE082}"/>
    <cellStyle name="40% - Accent3 2 6 2 2 3" xfId="26579" xr:uid="{CE3C0479-BE29-4C2E-81DB-ED86C53DB8E8}"/>
    <cellStyle name="40% - Accent3 2 6 2 3" xfId="13063" xr:uid="{477A835C-4879-4E90-B35E-61F642EFD3BE}"/>
    <cellStyle name="40% - Accent3 2 6 2 4" xfId="22362" xr:uid="{693F1EE4-CC6D-43AE-9972-09A82E1D4DC5}"/>
    <cellStyle name="40% - Accent3 2 6 3" xfId="5809" xr:uid="{00000000-0005-0000-0000-00004A050000}"/>
    <cellStyle name="40% - Accent3 2 6 3 2" xfId="15135" xr:uid="{FA5B9BDF-A9D1-4D4B-B34C-9297B2C3C656}"/>
    <cellStyle name="40% - Accent3 2 6 3 3" xfId="24434" xr:uid="{625F0078-EC2A-4145-95CD-67992C3A96E4}"/>
    <cellStyle name="40% - Accent3 2 6 4" xfId="10918" xr:uid="{78D29551-6398-470C-86D4-13D5AD921836}"/>
    <cellStyle name="40% - Accent3 2 6 5" xfId="20217" xr:uid="{0207D017-101C-4107-8FB3-B981538BA5DA}"/>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D812A665-833B-49E6-A96D-79254DF3DCB7}"/>
    <cellStyle name="40% - Accent3 2 7 2 2 3" xfId="26992" xr:uid="{A5E1D75F-9965-4853-B179-016BCE05D9F0}"/>
    <cellStyle name="40% - Accent3 2 7 2 3" xfId="13476" xr:uid="{803FBB1A-971D-401A-B596-E1C12C8BB0EF}"/>
    <cellStyle name="40% - Accent3 2 7 2 4" xfId="22775" xr:uid="{A788546B-E90F-4F1B-9061-FEDA85E6ED17}"/>
    <cellStyle name="40% - Accent3 2 7 3" xfId="6222" xr:uid="{00000000-0005-0000-0000-00004E050000}"/>
    <cellStyle name="40% - Accent3 2 7 3 2" xfId="15548" xr:uid="{421666CA-1884-4E4F-B665-8E2DAFB57D94}"/>
    <cellStyle name="40% - Accent3 2 7 3 3" xfId="24847" xr:uid="{647483DD-A821-491A-BD60-517AF6174B86}"/>
    <cellStyle name="40% - Accent3 2 7 4" xfId="11331" xr:uid="{D41B1264-A45D-4877-8AD9-DFB56C233DA1}"/>
    <cellStyle name="40% - Accent3 2 7 5" xfId="20630" xr:uid="{9FB59E81-21C1-40CE-93DB-B3EE242634DE}"/>
    <cellStyle name="40% - Accent3 2 8" xfId="2329" xr:uid="{00000000-0005-0000-0000-00004F050000}"/>
    <cellStyle name="40% - Accent3 2 8 2" xfId="6635" xr:uid="{00000000-0005-0000-0000-000050050000}"/>
    <cellStyle name="40% - Accent3 2 8 2 2" xfId="15961" xr:uid="{7F5E750E-7F26-4C83-9F54-691C012E971F}"/>
    <cellStyle name="40% - Accent3 2 8 2 3" xfId="25260" xr:uid="{02CB9CCA-85D2-4CB8-BA9C-4FBDE8CF3B70}"/>
    <cellStyle name="40% - Accent3 2 8 3" xfId="11744" xr:uid="{2FC5C6F4-D726-4270-A282-BF9B07F2E63F}"/>
    <cellStyle name="40% - Accent3 2 8 4" xfId="21043" xr:uid="{56A64E8B-349B-4758-8C05-34E571B8249B}"/>
    <cellStyle name="40% - Accent3 2 9" xfId="4569" xr:uid="{00000000-0005-0000-0000-000051050000}"/>
    <cellStyle name="40% - Accent3 2 9 2" xfId="13895" xr:uid="{087380F7-0214-4D90-A84F-AE9FD63F4ECB}"/>
    <cellStyle name="40% - Accent3 2 9 3" xfId="23194" xr:uid="{E7EEB2E9-A8B9-43E5-9FD6-03E4D9E2ADC1}"/>
    <cellStyle name="40% - Accent3 3" xfId="70" xr:uid="{00000000-0005-0000-0000-000052050000}"/>
    <cellStyle name="40% - Accent3 3 10" xfId="9682" xr:uid="{664534AB-D8EC-4C25-926E-07346D064A28}"/>
    <cellStyle name="40% - Accent3 3 11" xfId="18981" xr:uid="{37B800D9-4A18-442C-AEE5-AF4406423DD7}"/>
    <cellStyle name="40% - Accent3 3 2" xfId="71" xr:uid="{00000000-0005-0000-0000-000053050000}"/>
    <cellStyle name="40% - Accent3 3 2 10" xfId="18982" xr:uid="{DC7DD0D2-5D3A-431D-B06D-E26D33814CEE}"/>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B53C97C6-2214-4ED1-A216-0210B979DBE8}"/>
    <cellStyle name="40% - Accent3 3 2 2 2 2 3" xfId="25758" xr:uid="{3E2410F5-89A2-4D2D-B68F-DFC58EC691A3}"/>
    <cellStyle name="40% - Accent3 3 2 2 2 3" xfId="12242" xr:uid="{68306EF9-11F8-4FBD-8AD1-03911B7204AF}"/>
    <cellStyle name="40% - Accent3 3 2 2 2 4" xfId="21541" xr:uid="{F01035DD-7DC5-4CB3-8C02-F626ECD31B0C}"/>
    <cellStyle name="40% - Accent3 3 2 2 3" xfId="4988" xr:uid="{00000000-0005-0000-0000-000057050000}"/>
    <cellStyle name="40% - Accent3 3 2 2 3 2" xfId="14314" xr:uid="{F9FDB036-51EA-4C19-B6A3-4546335FC7AA}"/>
    <cellStyle name="40% - Accent3 3 2 2 3 3" xfId="23613" xr:uid="{0590D3BE-519F-43B7-BB8C-B26A2FA9FAD9}"/>
    <cellStyle name="40% - Accent3 3 2 2 4" xfId="9498" xr:uid="{7C43CF58-5AE0-4BAA-9D2B-CAB92F3612F1}"/>
    <cellStyle name="40% - Accent3 3 2 2 4 2" xfId="18813" xr:uid="{375C8493-A7C0-4CA9-B1DA-B3C5FF3AC334}"/>
    <cellStyle name="40% - Accent3 3 2 2 4 3" xfId="28110" xr:uid="{C21BDD60-5BFC-470E-929C-DFBCD3F7CFE3}"/>
    <cellStyle name="40% - Accent3 3 2 2 5" xfId="10097" xr:uid="{E7277C3F-8909-437C-8D69-A9FB9C69BAF2}"/>
    <cellStyle name="40% - Accent3 3 2 2 6" xfId="19396" xr:uid="{81C4B154-499E-4D13-A257-D0529B8B5095}"/>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5073C32F-9D70-4074-B023-415932C8A0B2}"/>
    <cellStyle name="40% - Accent3 3 2 3 2 2 3" xfId="26171" xr:uid="{3D0536AD-3654-4122-880A-C1EA38695E5F}"/>
    <cellStyle name="40% - Accent3 3 2 3 2 3" xfId="12655" xr:uid="{B7A5F5C9-AA12-4C2F-AA5F-56C5FA805545}"/>
    <cellStyle name="40% - Accent3 3 2 3 2 4" xfId="21954" xr:uid="{5D441819-1487-4CF8-A239-7210A10D4C0A}"/>
    <cellStyle name="40% - Accent3 3 2 3 3" xfId="5401" xr:uid="{00000000-0005-0000-0000-00005B050000}"/>
    <cellStyle name="40% - Accent3 3 2 3 3 2" xfId="14727" xr:uid="{113EB17C-17DC-4E8F-A48D-5939FEA53F4C}"/>
    <cellStyle name="40% - Accent3 3 2 3 3 3" xfId="24026" xr:uid="{C8B66109-BC37-4F7D-90F3-89CC21586336}"/>
    <cellStyle name="40% - Accent3 3 2 3 4" xfId="10510" xr:uid="{84996852-47C5-425D-9E5A-80F889C83696}"/>
    <cellStyle name="40% - Accent3 3 2 3 5" xfId="19809" xr:uid="{A16B2CAD-4FC4-4DD9-AF08-AB40B294A6F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0DDBF445-8F07-43EE-B764-E20892669B85}"/>
    <cellStyle name="40% - Accent3 3 2 4 2 2 3" xfId="26584" xr:uid="{D6E8E870-C051-428C-AF40-E0AF4025F742}"/>
    <cellStyle name="40% - Accent3 3 2 4 2 3" xfId="13068" xr:uid="{A722AA73-3DF5-4EBA-B9E4-ED07EEA41461}"/>
    <cellStyle name="40% - Accent3 3 2 4 2 4" xfId="22367" xr:uid="{AD4FB480-7330-45E1-A2FA-2FAB44444000}"/>
    <cellStyle name="40% - Accent3 3 2 4 3" xfId="5814" xr:uid="{00000000-0005-0000-0000-00005F050000}"/>
    <cellStyle name="40% - Accent3 3 2 4 3 2" xfId="15140" xr:uid="{1D9FF0C2-07DB-4DD0-9705-366ED74D4553}"/>
    <cellStyle name="40% - Accent3 3 2 4 3 3" xfId="24439" xr:uid="{84380A9D-F841-407E-843D-AA55713BACC4}"/>
    <cellStyle name="40% - Accent3 3 2 4 4" xfId="10923" xr:uid="{465AA287-1A81-4E3E-AFB3-6BDE1BBD5ED5}"/>
    <cellStyle name="40% - Accent3 3 2 4 5" xfId="20222" xr:uid="{707F99AA-F71E-485F-BA69-A8B365231162}"/>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563C9297-7391-4FAA-910E-C5E50DBAF89A}"/>
    <cellStyle name="40% - Accent3 3 2 5 2 2 3" xfId="26997" xr:uid="{9B2451E3-92C1-4A5E-A754-40588C02C4CD}"/>
    <cellStyle name="40% - Accent3 3 2 5 2 3" xfId="13481" xr:uid="{9E62EA79-5989-41CE-B46A-01E7D766A2CF}"/>
    <cellStyle name="40% - Accent3 3 2 5 2 4" xfId="22780" xr:uid="{1710D3A2-A28F-4519-B962-F9976DC86CCB}"/>
    <cellStyle name="40% - Accent3 3 2 5 3" xfId="6227" xr:uid="{00000000-0005-0000-0000-000063050000}"/>
    <cellStyle name="40% - Accent3 3 2 5 3 2" xfId="15553" xr:uid="{CAE0745C-BF6A-4FA2-AC2A-BA370E0ED761}"/>
    <cellStyle name="40% - Accent3 3 2 5 3 3" xfId="24852" xr:uid="{A33CDE1F-5B93-4A58-9408-9188DA673C1E}"/>
    <cellStyle name="40% - Accent3 3 2 5 4" xfId="11336" xr:uid="{CDCB9A46-EA35-40EA-8808-69653CC971B7}"/>
    <cellStyle name="40% - Accent3 3 2 5 5" xfId="20635" xr:uid="{8F3B8633-0D2B-4189-A8F0-A90A4456BBDF}"/>
    <cellStyle name="40% - Accent3 3 2 6" xfId="2334" xr:uid="{00000000-0005-0000-0000-000064050000}"/>
    <cellStyle name="40% - Accent3 3 2 6 2" xfId="6640" xr:uid="{00000000-0005-0000-0000-000065050000}"/>
    <cellStyle name="40% - Accent3 3 2 6 2 2" xfId="15966" xr:uid="{C8D97F77-AB32-45C1-B21A-E2051AC38D05}"/>
    <cellStyle name="40% - Accent3 3 2 6 2 3" xfId="25265" xr:uid="{4991484B-8BC9-4D3C-8DC8-55AF9FE79419}"/>
    <cellStyle name="40% - Accent3 3 2 6 3" xfId="11749" xr:uid="{03BE6E9B-5ED4-43DD-BA58-6BF968B61638}"/>
    <cellStyle name="40% - Accent3 3 2 6 4" xfId="21048" xr:uid="{12EFBE7F-F4F5-4BDE-82B9-C77AFAD37B74}"/>
    <cellStyle name="40% - Accent3 3 2 7" xfId="4574" xr:uid="{00000000-0005-0000-0000-000066050000}"/>
    <cellStyle name="40% - Accent3 3 2 7 2" xfId="13900" xr:uid="{65E17690-9A5D-472C-AEF6-3D3A41B9312E}"/>
    <cellStyle name="40% - Accent3 3 2 7 3" xfId="23199" xr:uid="{19A23125-89A7-4C1E-B0B1-2C3E38CCC4B5}"/>
    <cellStyle name="40% - Accent3 3 2 8" xfId="9073" xr:uid="{0E71C752-2CF0-411D-A05E-4DA4A73CFC34}"/>
    <cellStyle name="40% - Accent3 3 2 8 2" xfId="18397" xr:uid="{E389CBA3-446A-440C-AEA7-D294925E4BD2}"/>
    <cellStyle name="40% - Accent3 3 2 8 3" xfId="27695" xr:uid="{DF7F0D1E-1635-4343-B173-86067353B815}"/>
    <cellStyle name="40% - Accent3 3 2 9" xfId="9683" xr:uid="{1FC12207-35A3-4F9B-AA11-38357B4E498B}"/>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41D70B6A-93C6-4965-A2AB-7C2204645630}"/>
    <cellStyle name="40% - Accent3 3 3 2 2 3" xfId="25757" xr:uid="{0895BE5A-8F5D-47AD-9985-0B1EB0CBB042}"/>
    <cellStyle name="40% - Accent3 3 3 2 3" xfId="12241" xr:uid="{96F13AA4-47BB-42CB-A522-945AF7FFDE7B}"/>
    <cellStyle name="40% - Accent3 3 3 2 4" xfId="21540" xr:uid="{9FEC0637-171D-4C9C-AC57-1D30708F5D7D}"/>
    <cellStyle name="40% - Accent3 3 3 3" xfId="4987" xr:uid="{00000000-0005-0000-0000-00006A050000}"/>
    <cellStyle name="40% - Accent3 3 3 3 2" xfId="14313" xr:uid="{59FD596A-83EA-4A50-B98C-5B05327E2491}"/>
    <cellStyle name="40% - Accent3 3 3 3 3" xfId="23612" xr:uid="{D3BAB652-133E-4B4F-B6A7-29298E5FE4AB}"/>
    <cellStyle name="40% - Accent3 3 3 4" xfId="9291" xr:uid="{59AB3F6D-A8C6-4A37-A8E3-967850079A77}"/>
    <cellStyle name="40% - Accent3 3 3 4 2" xfId="18606" xr:uid="{E3ADE7C9-BC6E-467C-A61F-F00B37C976AE}"/>
    <cellStyle name="40% - Accent3 3 3 4 3" xfId="27903" xr:uid="{542875B7-A572-4A12-A8C0-F6922BB0C4BB}"/>
    <cellStyle name="40% - Accent3 3 3 5" xfId="10096" xr:uid="{05CC30DE-EE65-44CA-9871-075EAC42191A}"/>
    <cellStyle name="40% - Accent3 3 3 6" xfId="19395" xr:uid="{04514AE7-AA73-4500-8BA8-71B93739516C}"/>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F6B41889-1AEF-4234-8858-415D21FD13E9}"/>
    <cellStyle name="40% - Accent3 3 4 2 2 3" xfId="26170" xr:uid="{941A4106-7122-4C04-B13C-504FAF114E33}"/>
    <cellStyle name="40% - Accent3 3 4 2 3" xfId="12654" xr:uid="{3A78A2DA-5E9E-4501-951A-FD78B546A4D0}"/>
    <cellStyle name="40% - Accent3 3 4 2 4" xfId="21953" xr:uid="{6E60D0B5-6FDC-4327-9496-DB58912CBB08}"/>
    <cellStyle name="40% - Accent3 3 4 3" xfId="5400" xr:uid="{00000000-0005-0000-0000-00006E050000}"/>
    <cellStyle name="40% - Accent3 3 4 3 2" xfId="14726" xr:uid="{957D1D94-780F-45EC-8745-E23B3B8B355D}"/>
    <cellStyle name="40% - Accent3 3 4 3 3" xfId="24025" xr:uid="{6A3EAF7A-2B81-4D31-BBD0-ECFA8089CF4A}"/>
    <cellStyle name="40% - Accent3 3 4 4" xfId="10509" xr:uid="{6330C5E5-28F0-409B-BD30-1CC2A8EE56F3}"/>
    <cellStyle name="40% - Accent3 3 4 5" xfId="19808" xr:uid="{CA467BB1-E825-44B3-AC67-939D478C58BE}"/>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264689EC-9BB7-4E04-9A29-D3B1AE24EBEE}"/>
    <cellStyle name="40% - Accent3 3 5 2 2 3" xfId="26583" xr:uid="{CB45307E-ADAE-432E-8074-62414C2CE9E1}"/>
    <cellStyle name="40% - Accent3 3 5 2 3" xfId="13067" xr:uid="{10AAB8F0-CFCD-4D23-A372-AC6F7E57904F}"/>
    <cellStyle name="40% - Accent3 3 5 2 4" xfId="22366" xr:uid="{2FFE0B5E-2A0D-4173-AAF6-E58BFD6FC0CF}"/>
    <cellStyle name="40% - Accent3 3 5 3" xfId="5813" xr:uid="{00000000-0005-0000-0000-000072050000}"/>
    <cellStyle name="40% - Accent3 3 5 3 2" xfId="15139" xr:uid="{A2F50565-0A74-41D4-98E1-52806F213D4D}"/>
    <cellStyle name="40% - Accent3 3 5 3 3" xfId="24438" xr:uid="{5B445B2B-813B-421D-9CF6-F4266886B7D7}"/>
    <cellStyle name="40% - Accent3 3 5 4" xfId="10922" xr:uid="{A774319A-773A-4C8D-80A5-54C48AD7F6D1}"/>
    <cellStyle name="40% - Accent3 3 5 5" xfId="20221" xr:uid="{0B5389E6-8A8E-4B1A-BE1D-6CB60A55AD4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B92E4AA6-E95F-4FE9-B20F-B4F8C3470335}"/>
    <cellStyle name="40% - Accent3 3 6 2 2 3" xfId="26996" xr:uid="{A001AD4C-F2E4-4799-99F2-B2F77903ED8E}"/>
    <cellStyle name="40% - Accent3 3 6 2 3" xfId="13480" xr:uid="{E7EA3081-1364-4576-AD1E-A793FB211F29}"/>
    <cellStyle name="40% - Accent3 3 6 2 4" xfId="22779" xr:uid="{9EDD030D-7B6E-4B61-8A31-8D1A465DA5D6}"/>
    <cellStyle name="40% - Accent3 3 6 3" xfId="6226" xr:uid="{00000000-0005-0000-0000-000076050000}"/>
    <cellStyle name="40% - Accent3 3 6 3 2" xfId="15552" xr:uid="{F3BC9C02-9434-46DA-9804-84ADDEAAB511}"/>
    <cellStyle name="40% - Accent3 3 6 3 3" xfId="24851" xr:uid="{8432337A-1745-4D11-AB0E-DA69CCCC16C3}"/>
    <cellStyle name="40% - Accent3 3 6 4" xfId="11335" xr:uid="{F6D6119B-856C-4298-9F33-17AB1F5986FA}"/>
    <cellStyle name="40% - Accent3 3 6 5" xfId="20634" xr:uid="{71F7793A-1B36-4793-B74A-77A8F78B2848}"/>
    <cellStyle name="40% - Accent3 3 7" xfId="2333" xr:uid="{00000000-0005-0000-0000-000077050000}"/>
    <cellStyle name="40% - Accent3 3 7 2" xfId="6639" xr:uid="{00000000-0005-0000-0000-000078050000}"/>
    <cellStyle name="40% - Accent3 3 7 2 2" xfId="15965" xr:uid="{DCADCA15-0ADD-499D-9EBB-C461A1C35DF5}"/>
    <cellStyle name="40% - Accent3 3 7 2 3" xfId="25264" xr:uid="{775E7098-DFEF-472A-B8C1-B37A49FD26E8}"/>
    <cellStyle name="40% - Accent3 3 7 3" xfId="11748" xr:uid="{40485B83-37DD-4C8E-BECC-BA813EE00D08}"/>
    <cellStyle name="40% - Accent3 3 7 4" xfId="21047" xr:uid="{A5454D80-4839-4373-A815-5B32A32F6E69}"/>
    <cellStyle name="40% - Accent3 3 8" xfId="4573" xr:uid="{00000000-0005-0000-0000-000079050000}"/>
    <cellStyle name="40% - Accent3 3 8 2" xfId="13899" xr:uid="{DDEC31AC-FB71-41A9-AC37-D84E3CAF07A8}"/>
    <cellStyle name="40% - Accent3 3 8 3" xfId="23198" xr:uid="{91970E60-5846-4E3D-BA5E-1DDC02F9C8B6}"/>
    <cellStyle name="40% - Accent3 3 9" xfId="8866" xr:uid="{1A1EF43E-4A2B-42A8-98A3-CEC34DD3B00D}"/>
    <cellStyle name="40% - Accent3 3 9 2" xfId="18190" xr:uid="{B4DD2BF5-9DE6-4DEC-8CB1-7DC21AFA7F0E}"/>
    <cellStyle name="40% - Accent3 3 9 3" xfId="27488" xr:uid="{370586F2-D86D-4DBC-993F-60FE4D304137}"/>
    <cellStyle name="40% - Accent3 4" xfId="72" xr:uid="{00000000-0005-0000-0000-00007A050000}"/>
    <cellStyle name="40% - Accent3 4 10" xfId="18983" xr:uid="{C4D5EA77-F164-4F76-9A75-08049AD1BAF7}"/>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2BEF2EF2-FF1F-4031-8FA0-10D26DD7E986}"/>
    <cellStyle name="40% - Accent3 4 2 2 2 3" xfId="25759" xr:uid="{D48514D6-649B-46D3-8B56-CE701C4B7AEF}"/>
    <cellStyle name="40% - Accent3 4 2 2 3" xfId="12243" xr:uid="{15F87663-6FFD-43E9-913D-C3FE4946BFA4}"/>
    <cellStyle name="40% - Accent3 4 2 2 4" xfId="21542" xr:uid="{5CEF3D4C-D45A-4681-8088-DEE93DB79241}"/>
    <cellStyle name="40% - Accent3 4 2 3" xfId="4989" xr:uid="{00000000-0005-0000-0000-00007E050000}"/>
    <cellStyle name="40% - Accent3 4 2 3 2" xfId="14315" xr:uid="{0E3517B3-43E1-46EE-ACF6-BB40BD6E0155}"/>
    <cellStyle name="40% - Accent3 4 2 3 3" xfId="23614" xr:uid="{2D34F554-7079-4D7E-86C4-B6EB18BB48EB}"/>
    <cellStyle name="40% - Accent3 4 2 4" xfId="9377" xr:uid="{F4393833-4E73-4685-9332-CF918D5239A9}"/>
    <cellStyle name="40% - Accent3 4 2 4 2" xfId="18692" xr:uid="{82AF9486-7DCB-4FF7-9ACE-44F715150D0B}"/>
    <cellStyle name="40% - Accent3 4 2 4 3" xfId="27989" xr:uid="{7B0DA6EB-6AA6-4F8C-9DB6-015ACE91B816}"/>
    <cellStyle name="40% - Accent3 4 2 5" xfId="10098" xr:uid="{22B20373-43E8-4A97-B82D-F2E1CB4915E5}"/>
    <cellStyle name="40% - Accent3 4 2 6" xfId="19397" xr:uid="{F8471ED0-D2C3-4206-8C69-D46CD876CB48}"/>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910DAE99-27F8-4B63-BA47-54FF4682C78A}"/>
    <cellStyle name="40% - Accent3 4 3 2 2 3" xfId="26172" xr:uid="{4F54D9BB-A7F9-4A8B-9D5A-0FF24AE7ACE7}"/>
    <cellStyle name="40% - Accent3 4 3 2 3" xfId="12656" xr:uid="{01A36D95-161D-4089-A69B-E66ABF49F51A}"/>
    <cellStyle name="40% - Accent3 4 3 2 4" xfId="21955" xr:uid="{B5B41868-EFC1-4EA8-A446-082C1017CD58}"/>
    <cellStyle name="40% - Accent3 4 3 3" xfId="5402" xr:uid="{00000000-0005-0000-0000-000082050000}"/>
    <cellStyle name="40% - Accent3 4 3 3 2" xfId="14728" xr:uid="{B77C4A52-9AD0-4BAD-9D4D-29AF164F6CD4}"/>
    <cellStyle name="40% - Accent3 4 3 3 3" xfId="24027" xr:uid="{D71F2215-7B99-4120-8B08-21952668D93F}"/>
    <cellStyle name="40% - Accent3 4 3 4" xfId="10511" xr:uid="{C2FBD7A8-34EC-43E5-AA5A-C91B7706371F}"/>
    <cellStyle name="40% - Accent3 4 3 5" xfId="19810" xr:uid="{1AF2746C-1BD3-46D4-8E40-A0E7F79D1871}"/>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0E5C8BEF-7892-450F-B873-347B11879BE8}"/>
    <cellStyle name="40% - Accent3 4 4 2 2 3" xfId="26585" xr:uid="{5CBACA4F-577F-46FD-91E4-140B654A0A98}"/>
    <cellStyle name="40% - Accent3 4 4 2 3" xfId="13069" xr:uid="{5CDD6A7F-9FBD-47EB-9E4C-35C009616FE9}"/>
    <cellStyle name="40% - Accent3 4 4 2 4" xfId="22368" xr:uid="{57474426-06B3-42D6-97E6-9D33D39C09EB}"/>
    <cellStyle name="40% - Accent3 4 4 3" xfId="5815" xr:uid="{00000000-0005-0000-0000-000086050000}"/>
    <cellStyle name="40% - Accent3 4 4 3 2" xfId="15141" xr:uid="{94A5696F-31B2-4106-9E99-2EA3FFAC755F}"/>
    <cellStyle name="40% - Accent3 4 4 3 3" xfId="24440" xr:uid="{E3B2F35C-9F86-4775-BE8F-F152C75C3A36}"/>
    <cellStyle name="40% - Accent3 4 4 4" xfId="10924" xr:uid="{71A8E7C8-311D-43FE-ABFA-F7527522EF27}"/>
    <cellStyle name="40% - Accent3 4 4 5" xfId="20223" xr:uid="{37FD747A-BA75-467D-BC83-15B5D8BE4591}"/>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C1828C20-BCDD-4097-B13B-9FF8C6F7441D}"/>
    <cellStyle name="40% - Accent3 4 5 2 2 3" xfId="26998" xr:uid="{B9BADE92-B30F-420B-AF81-B632B24FBCBE}"/>
    <cellStyle name="40% - Accent3 4 5 2 3" xfId="13482" xr:uid="{6FFCB1A4-0B81-4AB4-A5FB-DFE0EBF3657B}"/>
    <cellStyle name="40% - Accent3 4 5 2 4" xfId="22781" xr:uid="{2F755C5F-B6CE-47BC-B807-65EC57A1F43A}"/>
    <cellStyle name="40% - Accent3 4 5 3" xfId="6228" xr:uid="{00000000-0005-0000-0000-00008A050000}"/>
    <cellStyle name="40% - Accent3 4 5 3 2" xfId="15554" xr:uid="{AFED40B7-3218-4C90-82EC-1A55FF57D9F0}"/>
    <cellStyle name="40% - Accent3 4 5 3 3" xfId="24853" xr:uid="{99247422-0E97-4E9D-A9B0-DCCB8AC277F2}"/>
    <cellStyle name="40% - Accent3 4 5 4" xfId="11337" xr:uid="{0DB6F306-1869-4521-BA2D-A471174BAE8F}"/>
    <cellStyle name="40% - Accent3 4 5 5" xfId="20636" xr:uid="{63C35152-AD88-409F-A5F3-9A6072785CB1}"/>
    <cellStyle name="40% - Accent3 4 6" xfId="2335" xr:uid="{00000000-0005-0000-0000-00008B050000}"/>
    <cellStyle name="40% - Accent3 4 6 2" xfId="6641" xr:uid="{00000000-0005-0000-0000-00008C050000}"/>
    <cellStyle name="40% - Accent3 4 6 2 2" xfId="15967" xr:uid="{114CC2DB-A5A4-4553-8109-548F29189CD6}"/>
    <cellStyle name="40% - Accent3 4 6 2 3" xfId="25266" xr:uid="{99C058CB-D5D8-47FF-A634-D262904D8154}"/>
    <cellStyle name="40% - Accent3 4 6 3" xfId="11750" xr:uid="{AB963440-CFB5-4E77-875F-856A760410FA}"/>
    <cellStyle name="40% - Accent3 4 6 4" xfId="21049" xr:uid="{7FE3F3B4-D6AC-4F86-A895-B883E0A81913}"/>
    <cellStyle name="40% - Accent3 4 7" xfId="4575" xr:uid="{00000000-0005-0000-0000-00008D050000}"/>
    <cellStyle name="40% - Accent3 4 7 2" xfId="13901" xr:uid="{307623D8-D102-4218-AA87-049A88DEE771}"/>
    <cellStyle name="40% - Accent3 4 7 3" xfId="23200" xr:uid="{BA5579E4-D2F8-475E-93D5-77E75FBAB0C6}"/>
    <cellStyle name="40% - Accent3 4 8" xfId="8952" xr:uid="{74BF8F1E-4A34-4787-9BA1-0B97E446635F}"/>
    <cellStyle name="40% - Accent3 4 8 2" xfId="18276" xr:uid="{9409824F-D256-4D21-8723-890E732202AE}"/>
    <cellStyle name="40% - Accent3 4 8 3" xfId="27574" xr:uid="{291920AA-A5D4-4669-99C1-9CEBC7E7B026}"/>
    <cellStyle name="40% - Accent3 4 9" xfId="9684" xr:uid="{39E05C62-3220-4904-A9D6-462C7E692DE9}"/>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004E33D9-7BE2-40B5-BE07-57749EA08397}"/>
    <cellStyle name="40% - Accent3 5 2 2 3" xfId="25752" xr:uid="{97ADFE69-2760-47F8-A2B3-7217D0C0705E}"/>
    <cellStyle name="40% - Accent3 5 2 3" xfId="12236" xr:uid="{2FDE7429-675A-44BA-9E29-DD6A3BF05E11}"/>
    <cellStyle name="40% - Accent3 5 2 4" xfId="21535" xr:uid="{AA048235-009B-4E4D-A5E7-FD056101CCA3}"/>
    <cellStyle name="40% - Accent3 5 3" xfId="4982" xr:uid="{00000000-0005-0000-0000-000091050000}"/>
    <cellStyle name="40% - Accent3 5 3 2" xfId="14308" xr:uid="{85D19B16-A0E8-4325-8DE9-5544F0E4DBE8}"/>
    <cellStyle name="40% - Accent3 5 3 3" xfId="23607" xr:uid="{B88B19C5-A216-4597-8936-1F239B7DA00E}"/>
    <cellStyle name="40% - Accent3 5 4" xfId="9185" xr:uid="{526F025D-EBF7-4976-9E38-4C0631A2843B}"/>
    <cellStyle name="40% - Accent3 5 4 2" xfId="18503" xr:uid="{6CCCA9A0-F61F-49A9-9129-7D6162B31AA6}"/>
    <cellStyle name="40% - Accent3 5 4 3" xfId="27800" xr:uid="{D283084E-D2C4-49F3-A455-F55523F94A23}"/>
    <cellStyle name="40% - Accent3 5 5" xfId="10091" xr:uid="{658D224D-5D21-424D-8B4D-7339FF12A892}"/>
    <cellStyle name="40% - Accent3 5 6" xfId="19390" xr:uid="{F1F63A6F-8B22-4D0F-9627-B2A073FABD3F}"/>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63923A46-E17C-4658-8024-8DD4FC00BBE2}"/>
    <cellStyle name="40% - Accent3 6 2 2 3" xfId="26165" xr:uid="{BFFAE367-97AF-4ABB-9382-B2CC3C6AD847}"/>
    <cellStyle name="40% - Accent3 6 2 3" xfId="12649" xr:uid="{4D502436-EAB0-4E77-A005-C5FE5A2A10FB}"/>
    <cellStyle name="40% - Accent3 6 2 4" xfId="21948" xr:uid="{C6835CC5-21DC-4939-8F7E-C850AAFA425F}"/>
    <cellStyle name="40% - Accent3 6 3" xfId="5395" xr:uid="{00000000-0005-0000-0000-000095050000}"/>
    <cellStyle name="40% - Accent3 6 3 2" xfId="14721" xr:uid="{3E858246-269E-4562-A4F0-765BB4998FD9}"/>
    <cellStyle name="40% - Accent3 6 3 3" xfId="24020" xr:uid="{AE5B8DEC-1276-4219-8D62-86512E145ED4}"/>
    <cellStyle name="40% - Accent3 6 4" xfId="10504" xr:uid="{C05CEF79-361C-4A2C-9C8B-FAF34196FDFE}"/>
    <cellStyle name="40% - Accent3 6 5" xfId="19803" xr:uid="{4183980A-BAF0-409D-98E9-21D17E3ABFBF}"/>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D318098D-F2AC-4F2A-B457-08D7431D2903}"/>
    <cellStyle name="40% - Accent3 7 2 2 3" xfId="26578" xr:uid="{AF80EAE9-B7F0-4127-929D-E2AA85EB548B}"/>
    <cellStyle name="40% - Accent3 7 2 3" xfId="13062" xr:uid="{AF75C3BB-0D4B-4332-88E6-E71EDB064C55}"/>
    <cellStyle name="40% - Accent3 7 2 4" xfId="22361" xr:uid="{9FEA9C1F-FF92-495F-91F7-12E7FE2CC8A7}"/>
    <cellStyle name="40% - Accent3 7 3" xfId="5808" xr:uid="{00000000-0005-0000-0000-000099050000}"/>
    <cellStyle name="40% - Accent3 7 3 2" xfId="15134" xr:uid="{54271692-72F2-49A9-8719-AEE7BF03EBB7}"/>
    <cellStyle name="40% - Accent3 7 3 3" xfId="24433" xr:uid="{F2E35414-C2EC-477B-BFAA-D80F590299DB}"/>
    <cellStyle name="40% - Accent3 7 4" xfId="10917" xr:uid="{61A5EC73-FCD9-4B27-94EB-9B56D940207F}"/>
    <cellStyle name="40% - Accent3 7 5" xfId="20216" xr:uid="{6750CA78-DA43-4FFE-B4D8-B9534B069D3C}"/>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3BAE4A3C-4097-4D9F-936C-127CD1BE94E2}"/>
    <cellStyle name="40% - Accent3 8 2 2 3" xfId="26991" xr:uid="{DDA909CD-C616-497E-829C-BA5B8B8AB358}"/>
    <cellStyle name="40% - Accent3 8 2 3" xfId="13475" xr:uid="{E0242DAD-2283-4387-8A86-91988DA036E6}"/>
    <cellStyle name="40% - Accent3 8 2 4" xfId="22774" xr:uid="{8E229E81-AF67-4797-B1D3-3C4E7D3C6A6D}"/>
    <cellStyle name="40% - Accent3 8 3" xfId="6221" xr:uid="{00000000-0005-0000-0000-00009D050000}"/>
    <cellStyle name="40% - Accent3 8 3 2" xfId="15547" xr:uid="{D8FC5AE7-4934-4E55-AC01-D97F9CF4475D}"/>
    <cellStyle name="40% - Accent3 8 3 3" xfId="24846" xr:uid="{DDF52581-4131-4622-9231-93A5D088DDBF}"/>
    <cellStyle name="40% - Accent3 8 4" xfId="11330" xr:uid="{DEF211CA-12FC-48D0-A433-C9B963D190D1}"/>
    <cellStyle name="40% - Accent3 8 5" xfId="20629" xr:uid="{4F43E711-D1CB-4E78-B6BB-0AF1ADFD531A}"/>
    <cellStyle name="40% - Accent3 9" xfId="2328" xr:uid="{00000000-0005-0000-0000-00009E050000}"/>
    <cellStyle name="40% - Accent3 9 2" xfId="6634" xr:uid="{00000000-0005-0000-0000-00009F050000}"/>
    <cellStyle name="40% - Accent3 9 2 2" xfId="15960" xr:uid="{C57CD8CE-E675-4E97-A1D8-1DAFF52C9BD9}"/>
    <cellStyle name="40% - Accent3 9 2 3" xfId="25259" xr:uid="{0E3138AE-E137-49EE-BFF3-8BDDFCCC189A}"/>
    <cellStyle name="40% - Accent3 9 3" xfId="11743" xr:uid="{6981FA28-272C-4C50-B80C-DAA5A877B408}"/>
    <cellStyle name="40% - Accent3 9 4" xfId="21042" xr:uid="{4B31E750-B77D-41E4-A77B-2EB31A0D14CB}"/>
    <cellStyle name="40% - Accent4" xfId="73" builtinId="43" customBuiltin="1"/>
    <cellStyle name="40% - Accent4 10" xfId="4576" xr:uid="{00000000-0005-0000-0000-0000A1050000}"/>
    <cellStyle name="40% - Accent4 10 2" xfId="13902" xr:uid="{A5922BD4-7478-4019-AE65-E105135223BF}"/>
    <cellStyle name="40% - Accent4 10 3" xfId="23201" xr:uid="{82A50294-B956-45CF-A1B8-94832EAA4C22}"/>
    <cellStyle name="40% - Accent4 11" xfId="8765" xr:uid="{18B6B6D6-5043-43D1-BB02-3855BF7027C3}"/>
    <cellStyle name="40% - Accent4 11 2" xfId="18089" xr:uid="{99F7C7A5-C115-4A38-B433-744B1759C080}"/>
    <cellStyle name="40% - Accent4 11 3" xfId="27387" xr:uid="{1CE11590-3FA3-4EBE-9C46-7581E9DA2176}"/>
    <cellStyle name="40% - Accent4 12" xfId="9685" xr:uid="{C356D87A-FE8D-4453-A58B-83E6D22B99E3}"/>
    <cellStyle name="40% - Accent4 13" xfId="18984" xr:uid="{426475BF-9D98-4CE8-9BAD-749CF6D605E2}"/>
    <cellStyle name="40% - Accent4 2" xfId="74" xr:uid="{00000000-0005-0000-0000-0000A2050000}"/>
    <cellStyle name="40% - Accent4 2 10" xfId="8801" xr:uid="{223FCC58-A05E-4022-8080-E75A80678FA6}"/>
    <cellStyle name="40% - Accent4 2 10 2" xfId="18125" xr:uid="{C2E119A5-10AA-4E28-AA44-A93CFD132132}"/>
    <cellStyle name="40% - Accent4 2 10 3" xfId="27423" xr:uid="{19B06FE3-6446-49E4-A91C-EDCD465AA3E0}"/>
    <cellStyle name="40% - Accent4 2 11" xfId="9686" xr:uid="{6F0177A4-4796-49B6-9C43-D111CCABB74B}"/>
    <cellStyle name="40% - Accent4 2 12" xfId="18985" xr:uid="{641DFD56-6367-47FE-B4CF-593EF1B9C42E}"/>
    <cellStyle name="40% - Accent4 2 2" xfId="75" xr:uid="{00000000-0005-0000-0000-0000A3050000}"/>
    <cellStyle name="40% - Accent4 2 2 10" xfId="9687" xr:uid="{E0723497-8F5A-4866-8128-8F53498250EC}"/>
    <cellStyle name="40% - Accent4 2 2 11" xfId="18986" xr:uid="{36D977BC-AA2A-46F9-A68C-0CF1F22289A1}"/>
    <cellStyle name="40% - Accent4 2 2 2" xfId="76" xr:uid="{00000000-0005-0000-0000-0000A4050000}"/>
    <cellStyle name="40% - Accent4 2 2 2 10" xfId="18987" xr:uid="{F3AC67AE-00A4-485E-9C18-60650B325A08}"/>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BA1BBFBC-3365-4D0A-8FB2-A80A77DAECEF}"/>
    <cellStyle name="40% - Accent4 2 2 2 2 2 2 3" xfId="25763" xr:uid="{3411DAE2-3608-4649-946B-436ED4E969A7}"/>
    <cellStyle name="40% - Accent4 2 2 2 2 2 3" xfId="12247" xr:uid="{170B28F4-C817-434A-BF1C-E4E9D82F1117}"/>
    <cellStyle name="40% - Accent4 2 2 2 2 2 4" xfId="21546" xr:uid="{CC46E217-5A85-4D53-A807-E6567F8930F9}"/>
    <cellStyle name="40% - Accent4 2 2 2 2 3" xfId="4993" xr:uid="{00000000-0005-0000-0000-0000A8050000}"/>
    <cellStyle name="40% - Accent4 2 2 2 2 3 2" xfId="14319" xr:uid="{DCAF57E3-C636-4C1C-AAF8-4C95F4BF3832}"/>
    <cellStyle name="40% - Accent4 2 2 2 2 3 3" xfId="23618" xr:uid="{BD1B674E-AD65-4E1A-AFD2-9AC7A279611E}"/>
    <cellStyle name="40% - Accent4 2 2 2 2 4" xfId="9536" xr:uid="{4351D24F-CE30-4CFD-968F-4B882F0FC9B5}"/>
    <cellStyle name="40% - Accent4 2 2 2 2 4 2" xfId="18851" xr:uid="{94E45FCE-ECC5-4246-9A98-C823E1DAD4DF}"/>
    <cellStyle name="40% - Accent4 2 2 2 2 4 3" xfId="28148" xr:uid="{E6BE752D-00E5-42C0-A30A-7051D2A68F42}"/>
    <cellStyle name="40% - Accent4 2 2 2 2 5" xfId="10102" xr:uid="{A935F0AF-2ADE-4445-B00D-120471D35A71}"/>
    <cellStyle name="40% - Accent4 2 2 2 2 6" xfId="19401" xr:uid="{E8E10C41-682E-4F0C-8716-ED368DE23ABA}"/>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B862BFBE-70CF-4504-B304-8DFAE728E23A}"/>
    <cellStyle name="40% - Accent4 2 2 2 3 2 2 3" xfId="26176" xr:uid="{736B833E-1EAC-4CF9-A078-792205122C13}"/>
    <cellStyle name="40% - Accent4 2 2 2 3 2 3" xfId="12660" xr:uid="{26BF4430-D93C-4B59-83B6-43B28A5E800D}"/>
    <cellStyle name="40% - Accent4 2 2 2 3 2 4" xfId="21959" xr:uid="{D347A73C-CE26-4CA9-9F6A-520F50F7BFDF}"/>
    <cellStyle name="40% - Accent4 2 2 2 3 3" xfId="5406" xr:uid="{00000000-0005-0000-0000-0000AC050000}"/>
    <cellStyle name="40% - Accent4 2 2 2 3 3 2" xfId="14732" xr:uid="{BB999948-9260-44D9-912A-05CC9793DF11}"/>
    <cellStyle name="40% - Accent4 2 2 2 3 3 3" xfId="24031" xr:uid="{AC7EC3D3-019E-4D1A-9176-02DA68E663D3}"/>
    <cellStyle name="40% - Accent4 2 2 2 3 4" xfId="10515" xr:uid="{D9E65191-44F8-417C-AD35-F2FA56174869}"/>
    <cellStyle name="40% - Accent4 2 2 2 3 5" xfId="19814" xr:uid="{2CC99C17-5613-4B59-858A-78DB85D03D6A}"/>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CCF53C0A-BD69-45DE-A9B3-EF7AB39CCF97}"/>
    <cellStyle name="40% - Accent4 2 2 2 4 2 2 3" xfId="26589" xr:uid="{A970D7A3-A47E-4D9D-A5BD-E36D1AF188C9}"/>
    <cellStyle name="40% - Accent4 2 2 2 4 2 3" xfId="13073" xr:uid="{B03E3054-839F-4B5D-A19A-1A7DD935CDA1}"/>
    <cellStyle name="40% - Accent4 2 2 2 4 2 4" xfId="22372" xr:uid="{912C043F-2BC2-4FBF-AEA6-E7572545D303}"/>
    <cellStyle name="40% - Accent4 2 2 2 4 3" xfId="5819" xr:uid="{00000000-0005-0000-0000-0000B0050000}"/>
    <cellStyle name="40% - Accent4 2 2 2 4 3 2" xfId="15145" xr:uid="{DB285AD6-7EA6-4529-91DD-1E17A36A78D9}"/>
    <cellStyle name="40% - Accent4 2 2 2 4 3 3" xfId="24444" xr:uid="{F28B7005-69DE-4627-BF8F-247206A05E01}"/>
    <cellStyle name="40% - Accent4 2 2 2 4 4" xfId="10928" xr:uid="{F6094C8C-F0EC-4875-AC70-AEF3F857CECC}"/>
    <cellStyle name="40% - Accent4 2 2 2 4 5" xfId="20227" xr:uid="{DD53BE3A-E0A4-4EA8-9498-F61ABEC9460B}"/>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734B00C6-90FE-45BE-BA1A-B2F73E9B7B6C}"/>
    <cellStyle name="40% - Accent4 2 2 2 5 2 2 3" xfId="27002" xr:uid="{2B40CB7C-E064-4066-8EDC-AFDBEE014D7D}"/>
    <cellStyle name="40% - Accent4 2 2 2 5 2 3" xfId="13486" xr:uid="{003080B9-82C4-40A4-BA0D-3AE7F75C083D}"/>
    <cellStyle name="40% - Accent4 2 2 2 5 2 4" xfId="22785" xr:uid="{92DCD0C6-7361-4B28-8B85-5D9941633067}"/>
    <cellStyle name="40% - Accent4 2 2 2 5 3" xfId="6232" xr:uid="{00000000-0005-0000-0000-0000B4050000}"/>
    <cellStyle name="40% - Accent4 2 2 2 5 3 2" xfId="15558" xr:uid="{09E56A85-84E8-4714-90C6-22B3F12DBE49}"/>
    <cellStyle name="40% - Accent4 2 2 2 5 3 3" xfId="24857" xr:uid="{05C89C0B-CE51-47ED-9DB4-E15FD7811AD4}"/>
    <cellStyle name="40% - Accent4 2 2 2 5 4" xfId="11341" xr:uid="{ACC6BCFA-2406-44D2-B4A3-275025BA3BF7}"/>
    <cellStyle name="40% - Accent4 2 2 2 5 5" xfId="20640" xr:uid="{F21D23AB-B373-4454-94B8-F9152871DFBC}"/>
    <cellStyle name="40% - Accent4 2 2 2 6" xfId="2339" xr:uid="{00000000-0005-0000-0000-0000B5050000}"/>
    <cellStyle name="40% - Accent4 2 2 2 6 2" xfId="6645" xr:uid="{00000000-0005-0000-0000-0000B6050000}"/>
    <cellStyle name="40% - Accent4 2 2 2 6 2 2" xfId="15971" xr:uid="{36225C1E-71B6-48BD-AB8F-A0B5580D7BEF}"/>
    <cellStyle name="40% - Accent4 2 2 2 6 2 3" xfId="25270" xr:uid="{6E18C5FA-59C6-487E-AD8F-49CFC81216AD}"/>
    <cellStyle name="40% - Accent4 2 2 2 6 3" xfId="11754" xr:uid="{54EAD304-C75F-4DF2-9FE2-24E8597638EE}"/>
    <cellStyle name="40% - Accent4 2 2 2 6 4" xfId="21053" xr:uid="{F33FC2C2-74B7-423F-8472-9F441356623F}"/>
    <cellStyle name="40% - Accent4 2 2 2 7" xfId="4579" xr:uid="{00000000-0005-0000-0000-0000B7050000}"/>
    <cellStyle name="40% - Accent4 2 2 2 7 2" xfId="13905" xr:uid="{81613C94-FC7F-4346-839D-435D71756D2A}"/>
    <cellStyle name="40% - Accent4 2 2 2 7 3" xfId="23204" xr:uid="{62B42FF2-D682-4EB6-A5DE-4B9E10088CC2}"/>
    <cellStyle name="40% - Accent4 2 2 2 8" xfId="9111" xr:uid="{1DD86F12-0D11-497C-88D9-78D90E1EF65F}"/>
    <cellStyle name="40% - Accent4 2 2 2 8 2" xfId="18435" xr:uid="{D98518A7-2838-49A7-89B3-2A2EEA32B8CF}"/>
    <cellStyle name="40% - Accent4 2 2 2 8 3" xfId="27733" xr:uid="{5D072F02-6075-4D0C-9C47-266636453CF2}"/>
    <cellStyle name="40% - Accent4 2 2 2 9" xfId="9688" xr:uid="{BF857D02-DA5B-41F6-A815-DE886CB2DB0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1ED48706-6122-4F4D-9ED4-60533A17DC05}"/>
    <cellStyle name="40% - Accent4 2 2 3 2 2 3" xfId="25762" xr:uid="{C938C543-9212-4AC1-BC07-F7E200F17C83}"/>
    <cellStyle name="40% - Accent4 2 2 3 2 3" xfId="12246" xr:uid="{C3EC0107-803B-448E-BA8F-30D1DB934BA5}"/>
    <cellStyle name="40% - Accent4 2 2 3 2 4" xfId="21545" xr:uid="{D250E611-86A4-4884-AC41-F675D5097741}"/>
    <cellStyle name="40% - Accent4 2 2 3 3" xfId="4992" xr:uid="{00000000-0005-0000-0000-0000BB050000}"/>
    <cellStyle name="40% - Accent4 2 2 3 3 2" xfId="14318" xr:uid="{5255338D-ED03-4A57-8B9D-63826052D55B}"/>
    <cellStyle name="40% - Accent4 2 2 3 3 3" xfId="23617" xr:uid="{4AABD2DF-BF3E-478D-83EC-E20E724C4812}"/>
    <cellStyle name="40% - Accent4 2 2 3 4" xfId="9329" xr:uid="{62CB3536-9FC4-4DBF-9121-AD0025D891C9}"/>
    <cellStyle name="40% - Accent4 2 2 3 4 2" xfId="18644" xr:uid="{9307708A-F380-4759-8DAC-F88CE18A9138}"/>
    <cellStyle name="40% - Accent4 2 2 3 4 3" xfId="27941" xr:uid="{5AAE834A-A7FD-48DA-B05B-D2110EEF8E78}"/>
    <cellStyle name="40% - Accent4 2 2 3 5" xfId="10101" xr:uid="{4E09A80D-6930-44B5-A462-D967DE2B0FA7}"/>
    <cellStyle name="40% - Accent4 2 2 3 6" xfId="19400" xr:uid="{56565662-2404-4B84-B149-C95433A2ECFE}"/>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3773953F-A92C-4B25-8D88-80D3A1979E2D}"/>
    <cellStyle name="40% - Accent4 2 2 4 2 2 3" xfId="26175" xr:uid="{AFC74F5D-6A20-40EE-B480-33EA4E25D98B}"/>
    <cellStyle name="40% - Accent4 2 2 4 2 3" xfId="12659" xr:uid="{FA5C4A8E-839D-4D56-9056-C1EE7A713F2A}"/>
    <cellStyle name="40% - Accent4 2 2 4 2 4" xfId="21958" xr:uid="{367C4252-0DE5-4457-B74F-5DCF94E2C504}"/>
    <cellStyle name="40% - Accent4 2 2 4 3" xfId="5405" xr:uid="{00000000-0005-0000-0000-0000BF050000}"/>
    <cellStyle name="40% - Accent4 2 2 4 3 2" xfId="14731" xr:uid="{CC8070AA-159B-4AF3-9D04-24F80D49D400}"/>
    <cellStyle name="40% - Accent4 2 2 4 3 3" xfId="24030" xr:uid="{CDC4BB05-07DF-4756-A2CD-CE50130BE982}"/>
    <cellStyle name="40% - Accent4 2 2 4 4" xfId="10514" xr:uid="{AFC52118-1E02-4130-B992-E2D565A297FF}"/>
    <cellStyle name="40% - Accent4 2 2 4 5" xfId="19813" xr:uid="{6D1FB476-A7BE-4BE8-B923-24B4A681C6DA}"/>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DA904C6E-80BC-4A1E-BB44-8040A937EE90}"/>
    <cellStyle name="40% - Accent4 2 2 5 2 2 3" xfId="26588" xr:uid="{F7F6ECA0-9E47-427C-A25A-9AFF29C3B71B}"/>
    <cellStyle name="40% - Accent4 2 2 5 2 3" xfId="13072" xr:uid="{B48CEC61-9CF0-43A3-B3FA-51BA6A5A47D9}"/>
    <cellStyle name="40% - Accent4 2 2 5 2 4" xfId="22371" xr:uid="{1E3469E3-1EAA-4BEB-AA72-497EB71C1D0F}"/>
    <cellStyle name="40% - Accent4 2 2 5 3" xfId="5818" xr:uid="{00000000-0005-0000-0000-0000C3050000}"/>
    <cellStyle name="40% - Accent4 2 2 5 3 2" xfId="15144" xr:uid="{59E9DBFB-010C-4778-9E61-0BDB2B5753F9}"/>
    <cellStyle name="40% - Accent4 2 2 5 3 3" xfId="24443" xr:uid="{848BA743-A73A-4369-AE72-4EEFB7964FE9}"/>
    <cellStyle name="40% - Accent4 2 2 5 4" xfId="10927" xr:uid="{9740D2B6-5491-45FB-A61D-C61657749721}"/>
    <cellStyle name="40% - Accent4 2 2 5 5" xfId="20226" xr:uid="{BB0024CA-637D-431C-B680-33EF783DB671}"/>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BA4F1569-DB86-47D3-BAB0-D09EAE106AB1}"/>
    <cellStyle name="40% - Accent4 2 2 6 2 2 3" xfId="27001" xr:uid="{AB30FA88-BF67-4448-816E-53CC991A73AD}"/>
    <cellStyle name="40% - Accent4 2 2 6 2 3" xfId="13485" xr:uid="{40AE17E8-DA0F-48C3-A726-D6126B304651}"/>
    <cellStyle name="40% - Accent4 2 2 6 2 4" xfId="22784" xr:uid="{7836108E-A702-4F6F-9093-552192511CB0}"/>
    <cellStyle name="40% - Accent4 2 2 6 3" xfId="6231" xr:uid="{00000000-0005-0000-0000-0000C7050000}"/>
    <cellStyle name="40% - Accent4 2 2 6 3 2" xfId="15557" xr:uid="{FE244ABF-60FF-4CFA-9791-F991E56DAF5D}"/>
    <cellStyle name="40% - Accent4 2 2 6 3 3" xfId="24856" xr:uid="{AB8D18CE-B5DB-447A-A7D8-85C733BA4E61}"/>
    <cellStyle name="40% - Accent4 2 2 6 4" xfId="11340" xr:uid="{F7803130-74C1-43C1-BFDF-B08B3032CA73}"/>
    <cellStyle name="40% - Accent4 2 2 6 5" xfId="20639" xr:uid="{976E2381-6A86-449B-9333-7288AAF1E695}"/>
    <cellStyle name="40% - Accent4 2 2 7" xfId="2338" xr:uid="{00000000-0005-0000-0000-0000C8050000}"/>
    <cellStyle name="40% - Accent4 2 2 7 2" xfId="6644" xr:uid="{00000000-0005-0000-0000-0000C9050000}"/>
    <cellStyle name="40% - Accent4 2 2 7 2 2" xfId="15970" xr:uid="{F5724E06-CC7E-461A-AF70-972C77B4798A}"/>
    <cellStyle name="40% - Accent4 2 2 7 2 3" xfId="25269" xr:uid="{C053DE9D-4266-4E98-899E-373B06A0141B}"/>
    <cellStyle name="40% - Accent4 2 2 7 3" xfId="11753" xr:uid="{1E65294C-2700-4FFF-875B-3AE96869FEBF}"/>
    <cellStyle name="40% - Accent4 2 2 7 4" xfId="21052" xr:uid="{4918E52D-1141-49B0-870D-A7C81232B75E}"/>
    <cellStyle name="40% - Accent4 2 2 8" xfId="4578" xr:uid="{00000000-0005-0000-0000-0000CA050000}"/>
    <cellStyle name="40% - Accent4 2 2 8 2" xfId="13904" xr:uid="{1DAD4A8F-9282-4E1C-B9EA-EFD1CDD946C0}"/>
    <cellStyle name="40% - Accent4 2 2 8 3" xfId="23203" xr:uid="{65731010-87A0-4B8C-B18D-95EB578F92E7}"/>
    <cellStyle name="40% - Accent4 2 2 9" xfId="8904" xr:uid="{64C959C5-2FAF-462D-88B6-14B59CDC763B}"/>
    <cellStyle name="40% - Accent4 2 2 9 2" xfId="18228" xr:uid="{22225623-0785-4338-A94F-7317F53E494A}"/>
    <cellStyle name="40% - Accent4 2 2 9 3" xfId="27526" xr:uid="{51D88E28-7892-4FC2-98C4-1B6943D96566}"/>
    <cellStyle name="40% - Accent4 2 3" xfId="77" xr:uid="{00000000-0005-0000-0000-0000CB050000}"/>
    <cellStyle name="40% - Accent4 2 3 10" xfId="18988" xr:uid="{5CC51A10-60BA-4759-92E5-73803EF5143C}"/>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F28A8B8C-7525-49CC-B3AA-F5BC65974D45}"/>
    <cellStyle name="40% - Accent4 2 3 2 2 2 3" xfId="25764" xr:uid="{E606741F-ACC5-4D70-8252-5481EF7BC366}"/>
    <cellStyle name="40% - Accent4 2 3 2 2 3" xfId="12248" xr:uid="{2943A6D1-3A07-4715-98AD-D9185C3C0216}"/>
    <cellStyle name="40% - Accent4 2 3 2 2 4" xfId="21547" xr:uid="{DBB7DDF2-14A5-4DFE-A9E8-7EC71232716D}"/>
    <cellStyle name="40% - Accent4 2 3 2 3" xfId="4994" xr:uid="{00000000-0005-0000-0000-0000CF050000}"/>
    <cellStyle name="40% - Accent4 2 3 2 3 2" xfId="14320" xr:uid="{9465A9A1-FEA2-44A9-B297-6D875E1D7E3A}"/>
    <cellStyle name="40% - Accent4 2 3 2 3 3" xfId="23619" xr:uid="{654A6A3D-9A92-4AF4-9EAF-6262409B4F97}"/>
    <cellStyle name="40% - Accent4 2 3 2 4" xfId="9433" xr:uid="{058786D1-7E7D-40D9-9218-B4C7219F4E53}"/>
    <cellStyle name="40% - Accent4 2 3 2 4 2" xfId="18748" xr:uid="{A12CB0C7-91C8-40CA-AA1F-D3FA9BB750AF}"/>
    <cellStyle name="40% - Accent4 2 3 2 4 3" xfId="28045" xr:uid="{64A8C9D6-89A2-48D8-B56D-EDC8410BA600}"/>
    <cellStyle name="40% - Accent4 2 3 2 5" xfId="10103" xr:uid="{B5A61149-5FCF-4CCA-8E79-A7653EDBC8B7}"/>
    <cellStyle name="40% - Accent4 2 3 2 6" xfId="19402" xr:uid="{6FB166C6-1F2F-4999-B744-A2966EE3989C}"/>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B4800270-7DB4-46EC-81B3-5EDF907DC9E0}"/>
    <cellStyle name="40% - Accent4 2 3 3 2 2 3" xfId="26177" xr:uid="{EAB93CBE-D914-4E42-9F8D-B594BE72544B}"/>
    <cellStyle name="40% - Accent4 2 3 3 2 3" xfId="12661" xr:uid="{DBCD0DB3-922F-4E95-AC70-9A3F47711615}"/>
    <cellStyle name="40% - Accent4 2 3 3 2 4" xfId="21960" xr:uid="{0EC6EB17-FDBC-4BC2-BF00-D5BA5507D39F}"/>
    <cellStyle name="40% - Accent4 2 3 3 3" xfId="5407" xr:uid="{00000000-0005-0000-0000-0000D3050000}"/>
    <cellStyle name="40% - Accent4 2 3 3 3 2" xfId="14733" xr:uid="{23CA2956-AE54-4EBB-99FC-359730FE670E}"/>
    <cellStyle name="40% - Accent4 2 3 3 3 3" xfId="24032" xr:uid="{0947EF48-21BE-4E7B-BAF8-47DFF544CC68}"/>
    <cellStyle name="40% - Accent4 2 3 3 4" xfId="10516" xr:uid="{7CA4D0C4-F9BF-4F93-8703-BEF32D33B6F3}"/>
    <cellStyle name="40% - Accent4 2 3 3 5" xfId="19815" xr:uid="{56ECD669-38B6-40C6-9B17-F311A27B370C}"/>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EF4FA505-D3C3-439F-99E9-191AC0F1CDDB}"/>
    <cellStyle name="40% - Accent4 2 3 4 2 2 3" xfId="26590" xr:uid="{8F6AD454-379F-4B9B-B709-5E30D495EA75}"/>
    <cellStyle name="40% - Accent4 2 3 4 2 3" xfId="13074" xr:uid="{8A6F5255-EE52-496C-93B4-424CE0C0B9CB}"/>
    <cellStyle name="40% - Accent4 2 3 4 2 4" xfId="22373" xr:uid="{3B20B657-D669-45FC-95F5-A51B081DE5F5}"/>
    <cellStyle name="40% - Accent4 2 3 4 3" xfId="5820" xr:uid="{00000000-0005-0000-0000-0000D7050000}"/>
    <cellStyle name="40% - Accent4 2 3 4 3 2" xfId="15146" xr:uid="{793C3B9B-7E6F-4BF6-9B3D-A2A1155F1605}"/>
    <cellStyle name="40% - Accent4 2 3 4 3 3" xfId="24445" xr:uid="{75CE3349-68BD-45BD-93B9-55E59373B1D1}"/>
    <cellStyle name="40% - Accent4 2 3 4 4" xfId="10929" xr:uid="{B52026BF-8D0F-4064-88CD-B9FC56487FE9}"/>
    <cellStyle name="40% - Accent4 2 3 4 5" xfId="20228" xr:uid="{A2D7AC7D-78CC-4DD7-B3AB-B68124C9797A}"/>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0E1BC16A-C649-4AA4-A7D4-708804794C86}"/>
    <cellStyle name="40% - Accent4 2 3 5 2 2 3" xfId="27003" xr:uid="{D6CE04C7-3469-48A3-A382-CF82488BA222}"/>
    <cellStyle name="40% - Accent4 2 3 5 2 3" xfId="13487" xr:uid="{8A452DF9-5558-4F03-BEAC-8A9608E013C7}"/>
    <cellStyle name="40% - Accent4 2 3 5 2 4" xfId="22786" xr:uid="{2E92CAFD-76E5-4102-95E0-0901874C59CA}"/>
    <cellStyle name="40% - Accent4 2 3 5 3" xfId="6233" xr:uid="{00000000-0005-0000-0000-0000DB050000}"/>
    <cellStyle name="40% - Accent4 2 3 5 3 2" xfId="15559" xr:uid="{18259509-086C-47B6-A354-894EFC780E0B}"/>
    <cellStyle name="40% - Accent4 2 3 5 3 3" xfId="24858" xr:uid="{0F4FBBDB-0773-40D8-8AD0-6CB08EF0FF3A}"/>
    <cellStyle name="40% - Accent4 2 3 5 4" xfId="11342" xr:uid="{5DBA0FA4-9081-4AF6-8C8F-634D49303E90}"/>
    <cellStyle name="40% - Accent4 2 3 5 5" xfId="20641" xr:uid="{8E485CC0-6196-41F3-84A3-C827D8D9F30D}"/>
    <cellStyle name="40% - Accent4 2 3 6" xfId="2340" xr:uid="{00000000-0005-0000-0000-0000DC050000}"/>
    <cellStyle name="40% - Accent4 2 3 6 2" xfId="6646" xr:uid="{00000000-0005-0000-0000-0000DD050000}"/>
    <cellStyle name="40% - Accent4 2 3 6 2 2" xfId="15972" xr:uid="{3C7A7AC1-F5B9-465F-AD9F-08C6AF079080}"/>
    <cellStyle name="40% - Accent4 2 3 6 2 3" xfId="25271" xr:uid="{B9AE9489-DD57-4853-97ED-864BAD574094}"/>
    <cellStyle name="40% - Accent4 2 3 6 3" xfId="11755" xr:uid="{72E3755B-6ECD-4243-A1C7-0273280A25E0}"/>
    <cellStyle name="40% - Accent4 2 3 6 4" xfId="21054" xr:uid="{4D2ED4A8-686E-47DA-974F-58BC96FD7923}"/>
    <cellStyle name="40% - Accent4 2 3 7" xfId="4580" xr:uid="{00000000-0005-0000-0000-0000DE050000}"/>
    <cellStyle name="40% - Accent4 2 3 7 2" xfId="13906" xr:uid="{9F2D9AB7-BB50-43E3-B7BC-D288C5D8F084}"/>
    <cellStyle name="40% - Accent4 2 3 7 3" xfId="23205" xr:uid="{90737233-A6C0-4000-B4CF-C973423B0313}"/>
    <cellStyle name="40% - Accent4 2 3 8" xfId="9008" xr:uid="{270F4CAB-C86F-4D9D-804F-69497913908B}"/>
    <cellStyle name="40% - Accent4 2 3 8 2" xfId="18332" xr:uid="{12E4F5D5-8B9D-40B5-9E81-EC221C2A3CCA}"/>
    <cellStyle name="40% - Accent4 2 3 8 3" xfId="27630" xr:uid="{BF2354C9-8FB4-4970-91DA-F1506CBDAB9D}"/>
    <cellStyle name="40% - Accent4 2 3 9" xfId="9689" xr:uid="{A49FC449-B619-413A-A8B2-5BC50A92B802}"/>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8C4923ED-15DA-47D0-ADF0-CA98E8B8D5D8}"/>
    <cellStyle name="40% - Accent4 2 4 2 2 3" xfId="25761" xr:uid="{A58A9C3B-5656-4137-BEBE-DE9B976FF267}"/>
    <cellStyle name="40% - Accent4 2 4 2 3" xfId="12245" xr:uid="{10010D56-B918-457E-ADD7-961AB5FFC08D}"/>
    <cellStyle name="40% - Accent4 2 4 2 4" xfId="21544" xr:uid="{8C456234-2725-4427-98A1-7F3D9C72F481}"/>
    <cellStyle name="40% - Accent4 2 4 3" xfId="4991" xr:uid="{00000000-0005-0000-0000-0000E2050000}"/>
    <cellStyle name="40% - Accent4 2 4 3 2" xfId="14317" xr:uid="{78945FF1-149A-4AFF-9FC3-FFD92CF86F4B}"/>
    <cellStyle name="40% - Accent4 2 4 3 3" xfId="23616" xr:uid="{AD479041-F95D-467A-AA60-8C8C35AC9BCB}"/>
    <cellStyle name="40% - Accent4 2 4 4" xfId="9225" xr:uid="{40EEB981-54C4-40E4-A2F9-BCD479248D23}"/>
    <cellStyle name="40% - Accent4 2 4 4 2" xfId="18541" xr:uid="{4BBA7CA4-E465-4057-BE24-5B2F8C924517}"/>
    <cellStyle name="40% - Accent4 2 4 4 3" xfId="27838" xr:uid="{6BFBA8A7-5565-418A-9568-9A9DE40F712C}"/>
    <cellStyle name="40% - Accent4 2 4 5" xfId="10100" xr:uid="{43769CE6-B55B-4EA6-A6FA-30F6A05FCA42}"/>
    <cellStyle name="40% - Accent4 2 4 6" xfId="19399" xr:uid="{72D06DBA-6C6B-46AF-AAF7-34ABC0DB7435}"/>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E170A239-90B5-4639-A1D4-3A928A3641E1}"/>
    <cellStyle name="40% - Accent4 2 5 2 2 3" xfId="26174" xr:uid="{D7AD51C4-6E3D-467C-994C-B491C9F40FE8}"/>
    <cellStyle name="40% - Accent4 2 5 2 3" xfId="12658" xr:uid="{114397BE-C608-48CC-A0E0-A5320C121498}"/>
    <cellStyle name="40% - Accent4 2 5 2 4" xfId="21957" xr:uid="{570C5B64-A5C0-46B3-998B-8F45FB084671}"/>
    <cellStyle name="40% - Accent4 2 5 3" xfId="5404" xr:uid="{00000000-0005-0000-0000-0000E6050000}"/>
    <cellStyle name="40% - Accent4 2 5 3 2" xfId="14730" xr:uid="{8259AD70-221C-43B7-ACB6-0C4C04B60F05}"/>
    <cellStyle name="40% - Accent4 2 5 3 3" xfId="24029" xr:uid="{6B9E45CC-27F9-4DA8-9694-FFA25FCFC982}"/>
    <cellStyle name="40% - Accent4 2 5 4" xfId="10513" xr:uid="{9EDEB8F4-6A26-4915-B4FD-E7D671696762}"/>
    <cellStyle name="40% - Accent4 2 5 5" xfId="19812" xr:uid="{6CDCADF2-3AE1-47EB-84B9-703239FC6383}"/>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5F8F9D2E-4490-48C1-A507-9DF0A63F8A55}"/>
    <cellStyle name="40% - Accent4 2 6 2 2 3" xfId="26587" xr:uid="{55446521-89A3-47E4-82D3-CAA18A1E792A}"/>
    <cellStyle name="40% - Accent4 2 6 2 3" xfId="13071" xr:uid="{6BF571F1-6E07-4B8B-9DA8-FC9857F4548C}"/>
    <cellStyle name="40% - Accent4 2 6 2 4" xfId="22370" xr:uid="{6FE1804F-421C-4BDA-A72F-F88EEECA4C90}"/>
    <cellStyle name="40% - Accent4 2 6 3" xfId="5817" xr:uid="{00000000-0005-0000-0000-0000EA050000}"/>
    <cellStyle name="40% - Accent4 2 6 3 2" xfId="15143" xr:uid="{07433867-7831-444D-A783-55D99DEF595E}"/>
    <cellStyle name="40% - Accent4 2 6 3 3" xfId="24442" xr:uid="{81ABCAA8-9383-42BB-A432-2583B38E83CB}"/>
    <cellStyle name="40% - Accent4 2 6 4" xfId="10926" xr:uid="{546D3AB7-94A5-4D53-B4FF-E933D56EF528}"/>
    <cellStyle name="40% - Accent4 2 6 5" xfId="20225" xr:uid="{B23C4B4E-FFEE-4218-85CD-901B3F5AE7C9}"/>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899B10DD-FCBA-4477-B765-612664B1E062}"/>
    <cellStyle name="40% - Accent4 2 7 2 2 3" xfId="27000" xr:uid="{77FFDFF4-7674-4DF1-ABF1-C13B33BD3593}"/>
    <cellStyle name="40% - Accent4 2 7 2 3" xfId="13484" xr:uid="{83887D19-7356-453F-9369-8E0B0ABCFF66}"/>
    <cellStyle name="40% - Accent4 2 7 2 4" xfId="22783" xr:uid="{30A5BE60-5E92-4468-AEA9-F47231A406BD}"/>
    <cellStyle name="40% - Accent4 2 7 3" xfId="6230" xr:uid="{00000000-0005-0000-0000-0000EE050000}"/>
    <cellStyle name="40% - Accent4 2 7 3 2" xfId="15556" xr:uid="{BAEB12A1-3357-4F01-BBF2-F105E66509C5}"/>
    <cellStyle name="40% - Accent4 2 7 3 3" xfId="24855" xr:uid="{63BD2AB6-AA99-4AC3-8863-A85873EA73ED}"/>
    <cellStyle name="40% - Accent4 2 7 4" xfId="11339" xr:uid="{95397A0F-B246-473B-97B2-18F5BE9670A4}"/>
    <cellStyle name="40% - Accent4 2 7 5" xfId="20638" xr:uid="{DC123400-5068-4C30-AED3-1DDBBA952442}"/>
    <cellStyle name="40% - Accent4 2 8" xfId="2337" xr:uid="{00000000-0005-0000-0000-0000EF050000}"/>
    <cellStyle name="40% - Accent4 2 8 2" xfId="6643" xr:uid="{00000000-0005-0000-0000-0000F0050000}"/>
    <cellStyle name="40% - Accent4 2 8 2 2" xfId="15969" xr:uid="{9D00322D-71C1-4F27-86E9-10FDF49F4BB4}"/>
    <cellStyle name="40% - Accent4 2 8 2 3" xfId="25268" xr:uid="{5C9F37AF-B4F9-4A67-A19B-BAA628F474A0}"/>
    <cellStyle name="40% - Accent4 2 8 3" xfId="11752" xr:uid="{F9C70CDA-AB5B-49A7-BF03-D747B3648B2A}"/>
    <cellStyle name="40% - Accent4 2 8 4" xfId="21051" xr:uid="{6E1EF770-D729-4675-814E-078D7C75CAE0}"/>
    <cellStyle name="40% - Accent4 2 9" xfId="4577" xr:uid="{00000000-0005-0000-0000-0000F1050000}"/>
    <cellStyle name="40% - Accent4 2 9 2" xfId="13903" xr:uid="{60F255D6-FC96-408D-9606-793CFF24A7C6}"/>
    <cellStyle name="40% - Accent4 2 9 3" xfId="23202" xr:uid="{2274869F-D02E-400E-B840-CF3B38A54BB2}"/>
    <cellStyle name="40% - Accent4 3" xfId="78" xr:uid="{00000000-0005-0000-0000-0000F2050000}"/>
    <cellStyle name="40% - Accent4 3 10" xfId="9690" xr:uid="{46E06B73-523A-482B-B07B-17C7DB341E6D}"/>
    <cellStyle name="40% - Accent4 3 11" xfId="18989" xr:uid="{A2C6F0EA-2C63-46E9-8B6D-0480B98DC136}"/>
    <cellStyle name="40% - Accent4 3 2" xfId="79" xr:uid="{00000000-0005-0000-0000-0000F3050000}"/>
    <cellStyle name="40% - Accent4 3 2 10" xfId="18990" xr:uid="{1B280A1C-FA35-4C3B-8B62-934AABC28D71}"/>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ED231456-0EFC-426E-BD17-CE3CF04338AF}"/>
    <cellStyle name="40% - Accent4 3 2 2 2 2 3" xfId="25766" xr:uid="{D0FC0423-5EEC-4DE2-B66D-E7E1C94942CB}"/>
    <cellStyle name="40% - Accent4 3 2 2 2 3" xfId="12250" xr:uid="{1C4A31BE-4439-4C8A-9666-6732D8A4E1C8}"/>
    <cellStyle name="40% - Accent4 3 2 2 2 4" xfId="21549" xr:uid="{FFBB1929-312B-45D1-AF23-A7A2B9B9EBFE}"/>
    <cellStyle name="40% - Accent4 3 2 2 3" xfId="4996" xr:uid="{00000000-0005-0000-0000-0000F7050000}"/>
    <cellStyle name="40% - Accent4 3 2 2 3 2" xfId="14322" xr:uid="{392642DE-AE66-4815-A74B-4BA8CF87B1B3}"/>
    <cellStyle name="40% - Accent4 3 2 2 3 3" xfId="23621" xr:uid="{4C1485A4-7F22-440C-B758-C8696D3BAC74}"/>
    <cellStyle name="40% - Accent4 3 2 2 4" xfId="9500" xr:uid="{EAAAC99F-A3A1-40FB-B78D-6862EF121B7A}"/>
    <cellStyle name="40% - Accent4 3 2 2 4 2" xfId="18815" xr:uid="{CBCE2942-6B89-48B1-995A-BE4E440E0B53}"/>
    <cellStyle name="40% - Accent4 3 2 2 4 3" xfId="28112" xr:uid="{0CA28B3D-6886-432B-BDBA-D00BB64787C8}"/>
    <cellStyle name="40% - Accent4 3 2 2 5" xfId="10105" xr:uid="{149ED23E-1317-495A-88E2-99EF1710645E}"/>
    <cellStyle name="40% - Accent4 3 2 2 6" xfId="19404" xr:uid="{4F0CF8E6-C32E-4E87-A2F6-B37B4737A25E}"/>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E9DB0BF4-462B-4D13-B87C-CE9F53E19114}"/>
    <cellStyle name="40% - Accent4 3 2 3 2 2 3" xfId="26179" xr:uid="{753E5C8C-9AAC-4196-B274-6B00EE4D3D6C}"/>
    <cellStyle name="40% - Accent4 3 2 3 2 3" xfId="12663" xr:uid="{F3194104-1AC5-4252-8E43-58204D123DD7}"/>
    <cellStyle name="40% - Accent4 3 2 3 2 4" xfId="21962" xr:uid="{25DFCE91-3B28-47CD-ABD7-C808C1F61BF8}"/>
    <cellStyle name="40% - Accent4 3 2 3 3" xfId="5409" xr:uid="{00000000-0005-0000-0000-0000FB050000}"/>
    <cellStyle name="40% - Accent4 3 2 3 3 2" xfId="14735" xr:uid="{3AAC456C-35AD-4175-83B2-40616BE8F8A3}"/>
    <cellStyle name="40% - Accent4 3 2 3 3 3" xfId="24034" xr:uid="{FB521AB1-8211-4131-B979-FC024995DA91}"/>
    <cellStyle name="40% - Accent4 3 2 3 4" xfId="10518" xr:uid="{FAB2A9B7-4021-44A9-BBE4-3EB92B369313}"/>
    <cellStyle name="40% - Accent4 3 2 3 5" xfId="19817" xr:uid="{1B35E699-CA0F-4A6D-B5A8-5AA1F4066E1B}"/>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1E1E6B6C-4459-46D5-99F2-D9C0A1CBEFDB}"/>
    <cellStyle name="40% - Accent4 3 2 4 2 2 3" xfId="26592" xr:uid="{13903F66-6EAF-4194-B143-DA1945906FBC}"/>
    <cellStyle name="40% - Accent4 3 2 4 2 3" xfId="13076" xr:uid="{7E330038-7ED8-43A4-9B29-9B4102F9EA2C}"/>
    <cellStyle name="40% - Accent4 3 2 4 2 4" xfId="22375" xr:uid="{8CACA09B-D17D-4D1D-A2B5-A4DBCDC78000}"/>
    <cellStyle name="40% - Accent4 3 2 4 3" xfId="5822" xr:uid="{00000000-0005-0000-0000-0000FF050000}"/>
    <cellStyle name="40% - Accent4 3 2 4 3 2" xfId="15148" xr:uid="{777F49AF-40BC-4614-9F83-F7C2E4EE2A91}"/>
    <cellStyle name="40% - Accent4 3 2 4 3 3" xfId="24447" xr:uid="{6615DEFE-2941-4EEE-81EC-438433D8C24F}"/>
    <cellStyle name="40% - Accent4 3 2 4 4" xfId="10931" xr:uid="{3186B0E8-B4D9-4362-A6E3-5197E50CCC8E}"/>
    <cellStyle name="40% - Accent4 3 2 4 5" xfId="20230" xr:uid="{EF00E68C-188C-4739-9991-58910D1617E4}"/>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76DFD961-0230-42B0-9CE1-25ADACF1D02E}"/>
    <cellStyle name="40% - Accent4 3 2 5 2 2 3" xfId="27005" xr:uid="{F9CCD329-664A-47FD-9F40-76398E5E92CB}"/>
    <cellStyle name="40% - Accent4 3 2 5 2 3" xfId="13489" xr:uid="{32DD8E4E-952A-4D1B-A4B6-C5851223C214}"/>
    <cellStyle name="40% - Accent4 3 2 5 2 4" xfId="22788" xr:uid="{9619899C-E468-4438-A383-D07674326F9B}"/>
    <cellStyle name="40% - Accent4 3 2 5 3" xfId="6235" xr:uid="{00000000-0005-0000-0000-000003060000}"/>
    <cellStyle name="40% - Accent4 3 2 5 3 2" xfId="15561" xr:uid="{0B5290DA-2F1A-404E-B36A-0D0CE2B7C1F6}"/>
    <cellStyle name="40% - Accent4 3 2 5 3 3" xfId="24860" xr:uid="{4ABD63B2-7D90-4282-A927-75844CA9D95E}"/>
    <cellStyle name="40% - Accent4 3 2 5 4" xfId="11344" xr:uid="{A9B689EC-BB74-4CA6-ADDE-98A56672B522}"/>
    <cellStyle name="40% - Accent4 3 2 5 5" xfId="20643" xr:uid="{F8CE2E83-058A-4940-8DB0-50255DC1D18D}"/>
    <cellStyle name="40% - Accent4 3 2 6" xfId="2342" xr:uid="{00000000-0005-0000-0000-000004060000}"/>
    <cellStyle name="40% - Accent4 3 2 6 2" xfId="6648" xr:uid="{00000000-0005-0000-0000-000005060000}"/>
    <cellStyle name="40% - Accent4 3 2 6 2 2" xfId="15974" xr:uid="{A1E56322-E3B2-4324-93F6-8AFCDE0F39E1}"/>
    <cellStyle name="40% - Accent4 3 2 6 2 3" xfId="25273" xr:uid="{1C721F8B-F4D7-4306-A597-1BF3A8EFB5DE}"/>
    <cellStyle name="40% - Accent4 3 2 6 3" xfId="11757" xr:uid="{EC697854-EDA0-4846-B476-9B7EFFC1AD50}"/>
    <cellStyle name="40% - Accent4 3 2 6 4" xfId="21056" xr:uid="{FF74F0D4-F851-4C97-9151-6979F5407E4B}"/>
    <cellStyle name="40% - Accent4 3 2 7" xfId="4582" xr:uid="{00000000-0005-0000-0000-000006060000}"/>
    <cellStyle name="40% - Accent4 3 2 7 2" xfId="13908" xr:uid="{35123E3B-066A-4245-9788-3FC108848D7C}"/>
    <cellStyle name="40% - Accent4 3 2 7 3" xfId="23207" xr:uid="{3768FD79-8220-4624-A849-41ADCF2192D5}"/>
    <cellStyle name="40% - Accent4 3 2 8" xfId="9075" xr:uid="{6C51FF47-5618-4E1E-BC97-01FFF287A6C3}"/>
    <cellStyle name="40% - Accent4 3 2 8 2" xfId="18399" xr:uid="{65059A27-1C2F-441B-BBBC-B778C8EBFF38}"/>
    <cellStyle name="40% - Accent4 3 2 8 3" xfId="27697" xr:uid="{39EBC074-34CF-4175-90EA-7F9F7D66DBE6}"/>
    <cellStyle name="40% - Accent4 3 2 9" xfId="9691" xr:uid="{521FCAA3-9D88-4764-8A6B-E8E49AFBACF6}"/>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16E3E570-11A4-4E12-9CC7-584FB1D44A7D}"/>
    <cellStyle name="40% - Accent4 3 3 2 2 3" xfId="25765" xr:uid="{7FBEB088-4DEC-4EBB-AEA2-EE9115CF1E5F}"/>
    <cellStyle name="40% - Accent4 3 3 2 3" xfId="12249" xr:uid="{D7B897D0-FD79-43AE-8BAF-D7378D57707A}"/>
    <cellStyle name="40% - Accent4 3 3 2 4" xfId="21548" xr:uid="{AC7B62C5-F6A6-45D3-99A1-C38D7F77E1DA}"/>
    <cellStyle name="40% - Accent4 3 3 3" xfId="4995" xr:uid="{00000000-0005-0000-0000-00000A060000}"/>
    <cellStyle name="40% - Accent4 3 3 3 2" xfId="14321" xr:uid="{B840468B-DB0F-4C15-A3C8-007650A01A43}"/>
    <cellStyle name="40% - Accent4 3 3 3 3" xfId="23620" xr:uid="{3AF2AA70-01AD-4EEE-9811-287B27B50D7A}"/>
    <cellStyle name="40% - Accent4 3 3 4" xfId="9293" xr:uid="{4A28D7F5-3617-45DC-A350-6C6596CDA765}"/>
    <cellStyle name="40% - Accent4 3 3 4 2" xfId="18608" xr:uid="{485500C7-5187-4623-8E00-2A638E60639C}"/>
    <cellStyle name="40% - Accent4 3 3 4 3" xfId="27905" xr:uid="{4DD3DF3C-6AA5-4218-B6D7-DBC7F8280D51}"/>
    <cellStyle name="40% - Accent4 3 3 5" xfId="10104" xr:uid="{C37CEC6C-0EB0-40DB-9F0E-1E1CA7B22A65}"/>
    <cellStyle name="40% - Accent4 3 3 6" xfId="19403" xr:uid="{AD7044A1-683D-4A35-B054-96446AEC0D0E}"/>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7AB0E4AD-32C3-47CE-962F-97707FFE559B}"/>
    <cellStyle name="40% - Accent4 3 4 2 2 3" xfId="26178" xr:uid="{62B46B10-A1F0-4E75-9817-6A64C80EDC31}"/>
    <cellStyle name="40% - Accent4 3 4 2 3" xfId="12662" xr:uid="{35E6200D-BB16-4A78-BBC0-EB23F12A68DF}"/>
    <cellStyle name="40% - Accent4 3 4 2 4" xfId="21961" xr:uid="{6DE49251-240F-4F57-A384-D57FCA9BC884}"/>
    <cellStyle name="40% - Accent4 3 4 3" xfId="5408" xr:uid="{00000000-0005-0000-0000-00000E060000}"/>
    <cellStyle name="40% - Accent4 3 4 3 2" xfId="14734" xr:uid="{6D7276A9-17E9-40A5-A6FA-973A9D678E1A}"/>
    <cellStyle name="40% - Accent4 3 4 3 3" xfId="24033" xr:uid="{171A61C7-DD86-45AC-8BAD-95ACBF1C447C}"/>
    <cellStyle name="40% - Accent4 3 4 4" xfId="10517" xr:uid="{4E509D94-F732-47D9-BE03-B24AEDBFAF97}"/>
    <cellStyle name="40% - Accent4 3 4 5" xfId="19816" xr:uid="{4165ED14-9BB0-44EE-997C-6DF6339D4FA4}"/>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61B95B5F-6CA5-4F72-B05E-6B70161E47E7}"/>
    <cellStyle name="40% - Accent4 3 5 2 2 3" xfId="26591" xr:uid="{EAA2C0B4-BF24-44B1-A389-56DEAFF91468}"/>
    <cellStyle name="40% - Accent4 3 5 2 3" xfId="13075" xr:uid="{484DA61C-C2C2-46BE-88B6-96E3068A3D16}"/>
    <cellStyle name="40% - Accent4 3 5 2 4" xfId="22374" xr:uid="{F0BB49D1-DA74-43E7-B112-AA1CC443A987}"/>
    <cellStyle name="40% - Accent4 3 5 3" xfId="5821" xr:uid="{00000000-0005-0000-0000-000012060000}"/>
    <cellStyle name="40% - Accent4 3 5 3 2" xfId="15147" xr:uid="{FB7A2F7B-B3BC-461B-84DB-C88FA9A49D40}"/>
    <cellStyle name="40% - Accent4 3 5 3 3" xfId="24446" xr:uid="{F3049755-723E-4FA3-AAF5-7FDF6E07ADE9}"/>
    <cellStyle name="40% - Accent4 3 5 4" xfId="10930" xr:uid="{7E2DE537-E1CE-4ED9-8F05-1817A9360A7C}"/>
    <cellStyle name="40% - Accent4 3 5 5" xfId="20229" xr:uid="{BABDE2D9-059A-4A36-93A6-D6A225EFC51C}"/>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6B569062-ACAA-4A23-8B7D-7D5E472E0879}"/>
    <cellStyle name="40% - Accent4 3 6 2 2 3" xfId="27004" xr:uid="{332FC1D1-590A-4910-A2E2-41A42F1EAA57}"/>
    <cellStyle name="40% - Accent4 3 6 2 3" xfId="13488" xr:uid="{4BF77A47-A29C-434C-84AB-D400070B7EC8}"/>
    <cellStyle name="40% - Accent4 3 6 2 4" xfId="22787" xr:uid="{10B8E19C-09C2-4F4C-A68F-EAD2750EA71D}"/>
    <cellStyle name="40% - Accent4 3 6 3" xfId="6234" xr:uid="{00000000-0005-0000-0000-000016060000}"/>
    <cellStyle name="40% - Accent4 3 6 3 2" xfId="15560" xr:uid="{19CFB2ED-DB29-403F-ACB8-78149005AF81}"/>
    <cellStyle name="40% - Accent4 3 6 3 3" xfId="24859" xr:uid="{9CFFCA82-4C5A-4EE4-B67C-8A61F92B3E24}"/>
    <cellStyle name="40% - Accent4 3 6 4" xfId="11343" xr:uid="{93F7F0FC-3625-403A-A1D5-86AB88FC7E27}"/>
    <cellStyle name="40% - Accent4 3 6 5" xfId="20642" xr:uid="{295E9142-CCC5-40E3-A9A8-E5B7E0565EC9}"/>
    <cellStyle name="40% - Accent4 3 7" xfId="2341" xr:uid="{00000000-0005-0000-0000-000017060000}"/>
    <cellStyle name="40% - Accent4 3 7 2" xfId="6647" xr:uid="{00000000-0005-0000-0000-000018060000}"/>
    <cellStyle name="40% - Accent4 3 7 2 2" xfId="15973" xr:uid="{6530557F-A769-4486-86A9-3CC1F194FE78}"/>
    <cellStyle name="40% - Accent4 3 7 2 3" xfId="25272" xr:uid="{24F2C7AF-C978-4436-98AB-F756BC6FFB13}"/>
    <cellStyle name="40% - Accent4 3 7 3" xfId="11756" xr:uid="{5479C814-5B18-4110-8DA6-1838DD9D56E6}"/>
    <cellStyle name="40% - Accent4 3 7 4" xfId="21055" xr:uid="{81DA5CB5-30E1-410F-AAFE-3C8D241019C0}"/>
    <cellStyle name="40% - Accent4 3 8" xfId="4581" xr:uid="{00000000-0005-0000-0000-000019060000}"/>
    <cellStyle name="40% - Accent4 3 8 2" xfId="13907" xr:uid="{39A50DD7-0357-487B-9E0A-087FBA7A8308}"/>
    <cellStyle name="40% - Accent4 3 8 3" xfId="23206" xr:uid="{F244FCC7-534E-4FD9-B048-87AD0CD6A21B}"/>
    <cellStyle name="40% - Accent4 3 9" xfId="8868" xr:uid="{538D9F50-ACCA-4DB0-A3F1-A129ACFFA0BF}"/>
    <cellStyle name="40% - Accent4 3 9 2" xfId="18192" xr:uid="{03B431D0-02F0-464A-8247-4D44E17D1BD8}"/>
    <cellStyle name="40% - Accent4 3 9 3" xfId="27490" xr:uid="{7D826FDE-3DF6-462F-B2E2-3CABD188F37B}"/>
    <cellStyle name="40% - Accent4 4" xfId="80" xr:uid="{00000000-0005-0000-0000-00001A060000}"/>
    <cellStyle name="40% - Accent4 4 10" xfId="18991" xr:uid="{88270664-C968-46F4-83D9-1920D22D549A}"/>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88FC041A-E0B6-4C1F-AC44-CDB4D3CBA54A}"/>
    <cellStyle name="40% - Accent4 4 2 2 2 3" xfId="25767" xr:uid="{A2C36067-2FF1-4166-B07C-CE9630EB9F60}"/>
    <cellStyle name="40% - Accent4 4 2 2 3" xfId="12251" xr:uid="{0AC5CBE7-B9AB-4A24-B003-844EF4D494ED}"/>
    <cellStyle name="40% - Accent4 4 2 2 4" xfId="21550" xr:uid="{983B6805-34FF-445D-A5F8-009F0E156E03}"/>
    <cellStyle name="40% - Accent4 4 2 3" xfId="4997" xr:uid="{00000000-0005-0000-0000-00001E060000}"/>
    <cellStyle name="40% - Accent4 4 2 3 2" xfId="14323" xr:uid="{E061DF51-07FF-4671-B6CD-6F9F3C2C52CC}"/>
    <cellStyle name="40% - Accent4 4 2 3 3" xfId="23622" xr:uid="{07C44D1D-AF53-4E99-897C-C0DAC6DC2BEF}"/>
    <cellStyle name="40% - Accent4 4 2 4" xfId="9379" xr:uid="{EE31EAE0-1741-4D6E-B7B4-C5DB59044F55}"/>
    <cellStyle name="40% - Accent4 4 2 4 2" xfId="18694" xr:uid="{CD1BEA44-E5A0-4530-977B-EA4EA0D1423E}"/>
    <cellStyle name="40% - Accent4 4 2 4 3" xfId="27991" xr:uid="{EC7B1DF1-28AD-46E4-8CA9-A18F78DC414D}"/>
    <cellStyle name="40% - Accent4 4 2 5" xfId="10106" xr:uid="{F37153D7-42E8-4476-9648-CA3024DB6C49}"/>
    <cellStyle name="40% - Accent4 4 2 6" xfId="19405" xr:uid="{6EC2FF24-3864-4719-86F0-4C022A4E34AA}"/>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967A3D2A-8DC3-42A4-9AB0-5F77B82E7CBD}"/>
    <cellStyle name="40% - Accent4 4 3 2 2 3" xfId="26180" xr:uid="{177D2E3B-60B9-45A9-8FBD-BA699D61B511}"/>
    <cellStyle name="40% - Accent4 4 3 2 3" xfId="12664" xr:uid="{3468FD8B-13CD-4841-A213-62D06A7F86E7}"/>
    <cellStyle name="40% - Accent4 4 3 2 4" xfId="21963" xr:uid="{CE860CA1-7747-456E-8742-8EB81B617A22}"/>
    <cellStyle name="40% - Accent4 4 3 3" xfId="5410" xr:uid="{00000000-0005-0000-0000-000022060000}"/>
    <cellStyle name="40% - Accent4 4 3 3 2" xfId="14736" xr:uid="{09F02FBD-F8E3-447C-AE85-17B5DF5952A6}"/>
    <cellStyle name="40% - Accent4 4 3 3 3" xfId="24035" xr:uid="{249D3CEB-7C46-4684-BD14-0E8E38EAAEE2}"/>
    <cellStyle name="40% - Accent4 4 3 4" xfId="10519" xr:uid="{65D70FE4-1E9F-4B14-9D00-9DD346022E0A}"/>
    <cellStyle name="40% - Accent4 4 3 5" xfId="19818" xr:uid="{22C4A9DD-3FD7-49A7-9FE4-4CA357DA7EAD}"/>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0C60F2A9-CD20-4877-B8D3-96A75603B992}"/>
    <cellStyle name="40% - Accent4 4 4 2 2 3" xfId="26593" xr:uid="{F0790E44-0B0B-42A6-9591-5DF622FA71AE}"/>
    <cellStyle name="40% - Accent4 4 4 2 3" xfId="13077" xr:uid="{DC76EE5E-5B3D-4974-A50C-325D146ED30E}"/>
    <cellStyle name="40% - Accent4 4 4 2 4" xfId="22376" xr:uid="{C73A6FC4-4A27-49FF-9635-172431F0F73E}"/>
    <cellStyle name="40% - Accent4 4 4 3" xfId="5823" xr:uid="{00000000-0005-0000-0000-000026060000}"/>
    <cellStyle name="40% - Accent4 4 4 3 2" xfId="15149" xr:uid="{BA9A920E-4CA3-4907-9C02-6940041EECB3}"/>
    <cellStyle name="40% - Accent4 4 4 3 3" xfId="24448" xr:uid="{4C00EE7D-5C8E-47F4-84C1-CEBFEADB6500}"/>
    <cellStyle name="40% - Accent4 4 4 4" xfId="10932" xr:uid="{1D22E663-FACD-469D-A93F-C080A49C8BC7}"/>
    <cellStyle name="40% - Accent4 4 4 5" xfId="20231" xr:uid="{DB720B89-D98C-4F67-8462-57DEE0B304D1}"/>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D24DBE7B-F46F-47E3-B51B-6B7111D86AC0}"/>
    <cellStyle name="40% - Accent4 4 5 2 2 3" xfId="27006" xr:uid="{AFB92B8F-5B1C-4905-A29C-83558D4B81F7}"/>
    <cellStyle name="40% - Accent4 4 5 2 3" xfId="13490" xr:uid="{39951EEC-EE18-41E3-A320-E697024AE097}"/>
    <cellStyle name="40% - Accent4 4 5 2 4" xfId="22789" xr:uid="{5B5AE3B3-3610-44C8-A898-09EA35F082E6}"/>
    <cellStyle name="40% - Accent4 4 5 3" xfId="6236" xr:uid="{00000000-0005-0000-0000-00002A060000}"/>
    <cellStyle name="40% - Accent4 4 5 3 2" xfId="15562" xr:uid="{8FDA1364-A7B6-49F8-A73D-5493896DED0F}"/>
    <cellStyle name="40% - Accent4 4 5 3 3" xfId="24861" xr:uid="{48B395EE-D04D-4E23-B0E8-4E67A47672DD}"/>
    <cellStyle name="40% - Accent4 4 5 4" xfId="11345" xr:uid="{1A7AE919-9207-4218-8B35-8CF17790D815}"/>
    <cellStyle name="40% - Accent4 4 5 5" xfId="20644" xr:uid="{7326A39E-FF7B-4EFD-95E3-2AD71231266E}"/>
    <cellStyle name="40% - Accent4 4 6" xfId="2343" xr:uid="{00000000-0005-0000-0000-00002B060000}"/>
    <cellStyle name="40% - Accent4 4 6 2" xfId="6649" xr:uid="{00000000-0005-0000-0000-00002C060000}"/>
    <cellStyle name="40% - Accent4 4 6 2 2" xfId="15975" xr:uid="{A146879A-0049-43A1-AAE9-51E43C3B0DE7}"/>
    <cellStyle name="40% - Accent4 4 6 2 3" xfId="25274" xr:uid="{D2C03FFE-4175-4457-8F46-EFFCF6290439}"/>
    <cellStyle name="40% - Accent4 4 6 3" xfId="11758" xr:uid="{FF373674-96F9-47E3-952B-408FDB743E37}"/>
    <cellStyle name="40% - Accent4 4 6 4" xfId="21057" xr:uid="{74A12838-71B3-460F-AB69-5580538CED3A}"/>
    <cellStyle name="40% - Accent4 4 7" xfId="4583" xr:uid="{00000000-0005-0000-0000-00002D060000}"/>
    <cellStyle name="40% - Accent4 4 7 2" xfId="13909" xr:uid="{CBA4393D-0591-4F81-9E07-1F0AA89040B6}"/>
    <cellStyle name="40% - Accent4 4 7 3" xfId="23208" xr:uid="{DC4C719E-41B1-4F8E-BE0B-2036A42C79D3}"/>
    <cellStyle name="40% - Accent4 4 8" xfId="8954" xr:uid="{2C178683-58B3-4513-85E7-15FAC3AC035D}"/>
    <cellStyle name="40% - Accent4 4 8 2" xfId="18278" xr:uid="{6BFDF9A3-5FB4-4DD9-B67B-DF893FB07534}"/>
    <cellStyle name="40% - Accent4 4 8 3" xfId="27576" xr:uid="{39488855-FC16-4F2D-B8CD-2DE7E6EDAB4D}"/>
    <cellStyle name="40% - Accent4 4 9" xfId="9692" xr:uid="{D317174A-56B5-4574-AC84-A8456BC1750B}"/>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D9590256-BAAA-4427-A5F8-B3E6807829CE}"/>
    <cellStyle name="40% - Accent4 5 2 2 3" xfId="25760" xr:uid="{DC6C3C61-3054-4BDB-BABB-C54726379089}"/>
    <cellStyle name="40% - Accent4 5 2 3" xfId="12244" xr:uid="{DDA25EA7-0EED-49DD-AD64-629A3D3DD85D}"/>
    <cellStyle name="40% - Accent4 5 2 4" xfId="21543" xr:uid="{982FFA2C-9946-4618-8579-51733AECBA92}"/>
    <cellStyle name="40% - Accent4 5 3" xfId="4990" xr:uid="{00000000-0005-0000-0000-000031060000}"/>
    <cellStyle name="40% - Accent4 5 3 2" xfId="14316" xr:uid="{F97FEA11-7FA7-42E5-A5F5-A2C317FCD3A6}"/>
    <cellStyle name="40% - Accent4 5 3 3" xfId="23615" xr:uid="{B17063D9-38A2-4672-8745-167BAC177238}"/>
    <cellStyle name="40% - Accent4 5 4" xfId="9187" xr:uid="{33022C89-0CDD-4091-8005-358F63FF8F46}"/>
    <cellStyle name="40% - Accent4 5 4 2" xfId="18505" xr:uid="{C931968D-6F01-4A84-9225-568A8B50A315}"/>
    <cellStyle name="40% - Accent4 5 4 3" xfId="27802" xr:uid="{FD657490-9EC8-437B-A458-C990B76BA764}"/>
    <cellStyle name="40% - Accent4 5 5" xfId="10099" xr:uid="{CB3BAA3A-2A00-4115-9834-6B457F9B2AAE}"/>
    <cellStyle name="40% - Accent4 5 6" xfId="19398" xr:uid="{A9B84ED2-BE81-45B6-B624-37FB41CE0235}"/>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AA64FB0A-052E-44FF-9AA8-CD3DAE09C49D}"/>
    <cellStyle name="40% - Accent4 6 2 2 3" xfId="26173" xr:uid="{6CB4BB64-D36D-44B6-BBEB-BAC682BA6644}"/>
    <cellStyle name="40% - Accent4 6 2 3" xfId="12657" xr:uid="{2FA2E639-BB1D-48E3-BA6D-0B7DE26A6589}"/>
    <cellStyle name="40% - Accent4 6 2 4" xfId="21956" xr:uid="{6E83FF93-226F-428D-80C3-ECED00ED7733}"/>
    <cellStyle name="40% - Accent4 6 3" xfId="5403" xr:uid="{00000000-0005-0000-0000-000035060000}"/>
    <cellStyle name="40% - Accent4 6 3 2" xfId="14729" xr:uid="{B36E448E-351C-4114-98FD-C881523FB51E}"/>
    <cellStyle name="40% - Accent4 6 3 3" xfId="24028" xr:uid="{383E3640-1222-4307-9583-D95F618F86C5}"/>
    <cellStyle name="40% - Accent4 6 4" xfId="10512" xr:uid="{BC5C4009-A13D-4727-8F44-3CF48FD53D73}"/>
    <cellStyle name="40% - Accent4 6 5" xfId="19811" xr:uid="{1ECE200B-9D85-4BAC-A8C7-414CD4DB5522}"/>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F39ACB26-6EC1-4E88-921A-6E0B3BD8A943}"/>
    <cellStyle name="40% - Accent4 7 2 2 3" xfId="26586" xr:uid="{04FA9572-CE8E-4093-A83E-B403C106DE1D}"/>
    <cellStyle name="40% - Accent4 7 2 3" xfId="13070" xr:uid="{A41037DE-8DA1-485E-9636-9D58BFCAFA18}"/>
    <cellStyle name="40% - Accent4 7 2 4" xfId="22369" xr:uid="{9738325E-D03D-42D4-A608-ED9F677903EF}"/>
    <cellStyle name="40% - Accent4 7 3" xfId="5816" xr:uid="{00000000-0005-0000-0000-000039060000}"/>
    <cellStyle name="40% - Accent4 7 3 2" xfId="15142" xr:uid="{1B98F996-B41A-4EB7-96BF-B1F408DF398D}"/>
    <cellStyle name="40% - Accent4 7 3 3" xfId="24441" xr:uid="{75DAD3FF-8D06-4D17-B7C3-75CFF8A0927B}"/>
    <cellStyle name="40% - Accent4 7 4" xfId="10925" xr:uid="{6D779952-8B9C-4762-9AAF-CD2D33E7E33E}"/>
    <cellStyle name="40% - Accent4 7 5" xfId="20224" xr:uid="{FD3DBB12-B213-42A3-9925-964445F46F8E}"/>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DAE5B25A-CE7F-4197-9CDD-313790E6A940}"/>
    <cellStyle name="40% - Accent4 8 2 2 3" xfId="26999" xr:uid="{C73BB15C-24A8-4992-9552-33839391B8E3}"/>
    <cellStyle name="40% - Accent4 8 2 3" xfId="13483" xr:uid="{447F88D0-CEC6-4CAC-8C6C-68C80F48465F}"/>
    <cellStyle name="40% - Accent4 8 2 4" xfId="22782" xr:uid="{97C99F51-B2E0-4413-B6C1-4D2BACFB7EAC}"/>
    <cellStyle name="40% - Accent4 8 3" xfId="6229" xr:uid="{00000000-0005-0000-0000-00003D060000}"/>
    <cellStyle name="40% - Accent4 8 3 2" xfId="15555" xr:uid="{C833D0B4-6CF2-4EFC-B3E1-B18B4FD7C86A}"/>
    <cellStyle name="40% - Accent4 8 3 3" xfId="24854" xr:uid="{1DD41B36-816A-43A1-9A8A-02CCD439301F}"/>
    <cellStyle name="40% - Accent4 8 4" xfId="11338" xr:uid="{2C975660-9D84-4675-ADC1-8D79216EA428}"/>
    <cellStyle name="40% - Accent4 8 5" xfId="20637" xr:uid="{F8FBD97B-E003-4F79-82EF-E334076B5C9A}"/>
    <cellStyle name="40% - Accent4 9" xfId="2336" xr:uid="{00000000-0005-0000-0000-00003E060000}"/>
    <cellStyle name="40% - Accent4 9 2" xfId="6642" xr:uid="{00000000-0005-0000-0000-00003F060000}"/>
    <cellStyle name="40% - Accent4 9 2 2" xfId="15968" xr:uid="{8D707532-5CD3-4C2E-8F17-229E7ADD2BF0}"/>
    <cellStyle name="40% - Accent4 9 2 3" xfId="25267" xr:uid="{E3E4CFDF-BC5C-4336-A02D-3440BEC1CA36}"/>
    <cellStyle name="40% - Accent4 9 3" xfId="11751" xr:uid="{6D8B0181-0076-479B-9C7B-BD93A871ADB5}"/>
    <cellStyle name="40% - Accent4 9 4" xfId="21050" xr:uid="{26B24F0C-B7B9-4068-9CEC-B42A6D29EDA3}"/>
    <cellStyle name="40% - Accent5" xfId="81" builtinId="47" customBuiltin="1"/>
    <cellStyle name="40% - Accent5 10" xfId="4584" xr:uid="{00000000-0005-0000-0000-000041060000}"/>
    <cellStyle name="40% - Accent5 10 2" xfId="13910" xr:uid="{2298470B-D421-469C-BF98-75AC61EC82A7}"/>
    <cellStyle name="40% - Accent5 10 3" xfId="23209" xr:uid="{469827A2-A4E0-41D6-A83D-BAE749CAE066}"/>
    <cellStyle name="40% - Accent5 11" xfId="8767" xr:uid="{7A46ADF8-3420-4D4A-A3FE-8E96F0FA38E7}"/>
    <cellStyle name="40% - Accent5 11 2" xfId="18091" xr:uid="{BF206BFE-8717-4F06-AD11-DE3EA8151AAF}"/>
    <cellStyle name="40% - Accent5 11 3" xfId="27389" xr:uid="{01695C8E-E438-4688-98D0-0BA7A3FB7EA2}"/>
    <cellStyle name="40% - Accent5 12" xfId="9693" xr:uid="{A6B87173-DA33-4E48-ACDC-204B1B3426FD}"/>
    <cellStyle name="40% - Accent5 13" xfId="18992" xr:uid="{8BA2622A-FD6B-450A-8986-791F55661025}"/>
    <cellStyle name="40% - Accent5 2" xfId="82" xr:uid="{00000000-0005-0000-0000-000042060000}"/>
    <cellStyle name="40% - Accent5 2 10" xfId="8802" xr:uid="{CF9BFF45-99AC-47A3-8B01-051C55FBB24D}"/>
    <cellStyle name="40% - Accent5 2 10 2" xfId="18126" xr:uid="{4D9D77D1-2196-466E-AC6D-FDD114CB2704}"/>
    <cellStyle name="40% - Accent5 2 10 3" xfId="27424" xr:uid="{5DC4FF70-57EB-45FF-B5C9-A367C08514BF}"/>
    <cellStyle name="40% - Accent5 2 11" xfId="9694" xr:uid="{A36430CC-F3D9-4ED7-9344-204FBABAFABE}"/>
    <cellStyle name="40% - Accent5 2 12" xfId="18993" xr:uid="{6E61F8F0-C387-4D1E-B710-3BB9F505A79B}"/>
    <cellStyle name="40% - Accent5 2 2" xfId="83" xr:uid="{00000000-0005-0000-0000-000043060000}"/>
    <cellStyle name="40% - Accent5 2 2 10" xfId="9695" xr:uid="{87C835FC-3494-429B-BE0B-0269ABB64445}"/>
    <cellStyle name="40% - Accent5 2 2 11" xfId="18994" xr:uid="{73588725-A1E4-4FBA-9729-EFA9EF3C47D5}"/>
    <cellStyle name="40% - Accent5 2 2 2" xfId="84" xr:uid="{00000000-0005-0000-0000-000044060000}"/>
    <cellStyle name="40% - Accent5 2 2 2 10" xfId="18995" xr:uid="{A3FF6AF5-0AB8-4B46-9019-A9724DDC4E66}"/>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6A162413-0FDF-481B-A3CC-4A1F1D75414A}"/>
    <cellStyle name="40% - Accent5 2 2 2 2 2 2 3" xfId="25771" xr:uid="{B0238B3A-D390-4221-8AB4-9ED2771C4D04}"/>
    <cellStyle name="40% - Accent5 2 2 2 2 2 3" xfId="12255" xr:uid="{D45863FD-8213-42C6-B766-43A7A7B2FDC9}"/>
    <cellStyle name="40% - Accent5 2 2 2 2 2 4" xfId="21554" xr:uid="{9FFB6A74-400E-476C-B1B5-EAD88B9FB197}"/>
    <cellStyle name="40% - Accent5 2 2 2 2 3" xfId="5001" xr:uid="{00000000-0005-0000-0000-000048060000}"/>
    <cellStyle name="40% - Accent5 2 2 2 2 3 2" xfId="14327" xr:uid="{A4861B34-0773-44FE-BD8D-B482919623DD}"/>
    <cellStyle name="40% - Accent5 2 2 2 2 3 3" xfId="23626" xr:uid="{3B75F7B6-7767-4081-B519-F435AA76FDF5}"/>
    <cellStyle name="40% - Accent5 2 2 2 2 4" xfId="9537" xr:uid="{83834145-5D3F-4083-A609-6DB90651C4CE}"/>
    <cellStyle name="40% - Accent5 2 2 2 2 4 2" xfId="18852" xr:uid="{C1BDF343-4F9E-44F2-9C34-86BF332B5365}"/>
    <cellStyle name="40% - Accent5 2 2 2 2 4 3" xfId="28149" xr:uid="{532D621E-BE9D-4230-B110-8973D6D5FB4C}"/>
    <cellStyle name="40% - Accent5 2 2 2 2 5" xfId="10110" xr:uid="{981C4CB2-7950-4A67-9D22-98B3D3ECA5E4}"/>
    <cellStyle name="40% - Accent5 2 2 2 2 6" xfId="19409" xr:uid="{BD63D4F6-E5B4-4D65-9EC5-420B8D73AEA4}"/>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0DD39882-EBBE-436D-91F1-C7468FCD3F65}"/>
    <cellStyle name="40% - Accent5 2 2 2 3 2 2 3" xfId="26184" xr:uid="{FDAC7B66-AB49-4EEB-A3E5-49E8DF446162}"/>
    <cellStyle name="40% - Accent5 2 2 2 3 2 3" xfId="12668" xr:uid="{9622E1B6-AF46-4318-916C-8FC991118A13}"/>
    <cellStyle name="40% - Accent5 2 2 2 3 2 4" xfId="21967" xr:uid="{A3552F2F-0662-4E14-B005-7EE59CF46B16}"/>
    <cellStyle name="40% - Accent5 2 2 2 3 3" xfId="5414" xr:uid="{00000000-0005-0000-0000-00004C060000}"/>
    <cellStyle name="40% - Accent5 2 2 2 3 3 2" xfId="14740" xr:uid="{A2CEE2EE-6F1A-47F8-9990-71D33FAD3F52}"/>
    <cellStyle name="40% - Accent5 2 2 2 3 3 3" xfId="24039" xr:uid="{263236D2-BED1-4A39-9461-483A72B67E4D}"/>
    <cellStyle name="40% - Accent5 2 2 2 3 4" xfId="10523" xr:uid="{3BA3F484-820C-43C5-B6DF-1438E8ADF90E}"/>
    <cellStyle name="40% - Accent5 2 2 2 3 5" xfId="19822" xr:uid="{E7818661-4FFB-4F77-BAB6-B1C8A45B072D}"/>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84E62A3B-BD4F-4414-A431-C26B9F01B288}"/>
    <cellStyle name="40% - Accent5 2 2 2 4 2 2 3" xfId="26597" xr:uid="{E163E30B-60C1-46D5-A942-35B629CE7931}"/>
    <cellStyle name="40% - Accent5 2 2 2 4 2 3" xfId="13081" xr:uid="{A88EA766-1153-47DB-AA5A-DACAEAFF183E}"/>
    <cellStyle name="40% - Accent5 2 2 2 4 2 4" xfId="22380" xr:uid="{C1FC82D3-5DBF-400F-B51A-813259354E4E}"/>
    <cellStyle name="40% - Accent5 2 2 2 4 3" xfId="5827" xr:uid="{00000000-0005-0000-0000-000050060000}"/>
    <cellStyle name="40% - Accent5 2 2 2 4 3 2" xfId="15153" xr:uid="{2525C992-0B8B-44AC-A209-B071BCDD7C93}"/>
    <cellStyle name="40% - Accent5 2 2 2 4 3 3" xfId="24452" xr:uid="{CCF7FDA7-F6C7-4DDE-953F-A2A9797BD64A}"/>
    <cellStyle name="40% - Accent5 2 2 2 4 4" xfId="10936" xr:uid="{51F871C3-3A15-4473-B38B-828694B48804}"/>
    <cellStyle name="40% - Accent5 2 2 2 4 5" xfId="20235" xr:uid="{B89F403C-445F-4BA5-97E8-E0EF7E3C33A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511631E8-C30E-45B4-8549-B38823021133}"/>
    <cellStyle name="40% - Accent5 2 2 2 5 2 2 3" xfId="27010" xr:uid="{7CCFA8CD-2F7F-4ED0-92CE-081688A0AA06}"/>
    <cellStyle name="40% - Accent5 2 2 2 5 2 3" xfId="13494" xr:uid="{96D45A4B-3361-41CA-96D3-9ABEB68FC139}"/>
    <cellStyle name="40% - Accent5 2 2 2 5 2 4" xfId="22793" xr:uid="{2B911FB7-9DD5-4569-B2DF-3514E1B8FEA1}"/>
    <cellStyle name="40% - Accent5 2 2 2 5 3" xfId="6240" xr:uid="{00000000-0005-0000-0000-000054060000}"/>
    <cellStyle name="40% - Accent5 2 2 2 5 3 2" xfId="15566" xr:uid="{F0343DBF-D010-4BA5-86ED-D363C4A574A5}"/>
    <cellStyle name="40% - Accent5 2 2 2 5 3 3" xfId="24865" xr:uid="{94C81233-DFDE-4F91-8576-7B8AFCA1A831}"/>
    <cellStyle name="40% - Accent5 2 2 2 5 4" xfId="11349" xr:uid="{989287F6-BAE4-41E7-BEE0-164B4CB38F40}"/>
    <cellStyle name="40% - Accent5 2 2 2 5 5" xfId="20648" xr:uid="{244BA9DC-8572-4299-9926-8280D13CC657}"/>
    <cellStyle name="40% - Accent5 2 2 2 6" xfId="2347" xr:uid="{00000000-0005-0000-0000-000055060000}"/>
    <cellStyle name="40% - Accent5 2 2 2 6 2" xfId="6653" xr:uid="{00000000-0005-0000-0000-000056060000}"/>
    <cellStyle name="40% - Accent5 2 2 2 6 2 2" xfId="15979" xr:uid="{621A30D1-A99B-42D4-9679-9AC38DBE5DA8}"/>
    <cellStyle name="40% - Accent5 2 2 2 6 2 3" xfId="25278" xr:uid="{AE21CB86-7B45-49FB-9243-043C2DD89A9F}"/>
    <cellStyle name="40% - Accent5 2 2 2 6 3" xfId="11762" xr:uid="{250528F5-7273-4453-B459-7FB43BD9B8D7}"/>
    <cellStyle name="40% - Accent5 2 2 2 6 4" xfId="21061" xr:uid="{8E6511F9-219C-4419-B9C0-1D2038B31836}"/>
    <cellStyle name="40% - Accent5 2 2 2 7" xfId="4587" xr:uid="{00000000-0005-0000-0000-000057060000}"/>
    <cellStyle name="40% - Accent5 2 2 2 7 2" xfId="13913" xr:uid="{5AF28E69-529E-42F0-8FBA-7684093A3B7C}"/>
    <cellStyle name="40% - Accent5 2 2 2 7 3" xfId="23212" xr:uid="{5B14C44C-1FD8-4A49-832B-81AAEFB00553}"/>
    <cellStyle name="40% - Accent5 2 2 2 8" xfId="9112" xr:uid="{65D0CC40-E9D0-4CE3-B684-8DE4A2C7BCD7}"/>
    <cellStyle name="40% - Accent5 2 2 2 8 2" xfId="18436" xr:uid="{D457CECE-2223-4C72-8DA7-D3AC72669E0A}"/>
    <cellStyle name="40% - Accent5 2 2 2 8 3" xfId="27734" xr:uid="{6C404599-BFC8-41F0-9DB3-B8D809850EA7}"/>
    <cellStyle name="40% - Accent5 2 2 2 9" xfId="9696" xr:uid="{1638D7FC-7736-4025-BF02-A88ED343FEA4}"/>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92A811F8-3F94-4D4A-B205-49AC890FDB47}"/>
    <cellStyle name="40% - Accent5 2 2 3 2 2 3" xfId="25770" xr:uid="{646184F5-3DCA-45B0-9D62-0A7DBB3D9E7A}"/>
    <cellStyle name="40% - Accent5 2 2 3 2 3" xfId="12254" xr:uid="{EB38D2B7-69B6-4AA7-B436-CFDA0A8B838E}"/>
    <cellStyle name="40% - Accent5 2 2 3 2 4" xfId="21553" xr:uid="{06FE71FF-A704-48FA-A53D-FC3D4CBBAFBA}"/>
    <cellStyle name="40% - Accent5 2 2 3 3" xfId="5000" xr:uid="{00000000-0005-0000-0000-00005B060000}"/>
    <cellStyle name="40% - Accent5 2 2 3 3 2" xfId="14326" xr:uid="{250BBC21-0651-4C10-9D82-B720651CDC8D}"/>
    <cellStyle name="40% - Accent5 2 2 3 3 3" xfId="23625" xr:uid="{ED78E907-8CE4-44FB-8B38-6E2E29443FC1}"/>
    <cellStyle name="40% - Accent5 2 2 3 4" xfId="9330" xr:uid="{75959B30-FD84-42A5-95AE-69048CCC8361}"/>
    <cellStyle name="40% - Accent5 2 2 3 4 2" xfId="18645" xr:uid="{8FC260E6-CC37-4A0F-AD1D-267E4C89905D}"/>
    <cellStyle name="40% - Accent5 2 2 3 4 3" xfId="27942" xr:uid="{EAFA892D-8AA1-4317-8F7C-4CB5416236D8}"/>
    <cellStyle name="40% - Accent5 2 2 3 5" xfId="10109" xr:uid="{1EABC2BE-626A-4643-A066-620FC16E7D42}"/>
    <cellStyle name="40% - Accent5 2 2 3 6" xfId="19408" xr:uid="{FB8CFADB-5A74-4097-8ACA-85749EF75DF6}"/>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29E46164-ECDB-405F-A585-BB5356A663D6}"/>
    <cellStyle name="40% - Accent5 2 2 4 2 2 3" xfId="26183" xr:uid="{BDA71470-D1B0-4F0E-BA70-F957F0CC6A5F}"/>
    <cellStyle name="40% - Accent5 2 2 4 2 3" xfId="12667" xr:uid="{66CF8BD9-7BD9-4964-9E88-1E71C7C5BA2D}"/>
    <cellStyle name="40% - Accent5 2 2 4 2 4" xfId="21966" xr:uid="{76AF2D59-8CB8-4A37-9FFA-40178E079F96}"/>
    <cellStyle name="40% - Accent5 2 2 4 3" xfId="5413" xr:uid="{00000000-0005-0000-0000-00005F060000}"/>
    <cellStyle name="40% - Accent5 2 2 4 3 2" xfId="14739" xr:uid="{A54F88B4-C40B-47CE-853B-D376403830DA}"/>
    <cellStyle name="40% - Accent5 2 2 4 3 3" xfId="24038" xr:uid="{93BF0744-02DA-4720-BD89-1D7D80691157}"/>
    <cellStyle name="40% - Accent5 2 2 4 4" xfId="10522" xr:uid="{D0EF0836-F03F-4593-85A2-5E026CF41317}"/>
    <cellStyle name="40% - Accent5 2 2 4 5" xfId="19821" xr:uid="{95DDE4D6-6F5D-419D-8220-411C88706D59}"/>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CB85BB8C-F07F-4B72-87E8-D028F002FC18}"/>
    <cellStyle name="40% - Accent5 2 2 5 2 2 3" xfId="26596" xr:uid="{D9DDD057-E28F-4D02-9F2B-CFB3B9D17DAF}"/>
    <cellStyle name="40% - Accent5 2 2 5 2 3" xfId="13080" xr:uid="{5BEE7BDB-0BCA-444B-A898-016A4E20F6A5}"/>
    <cellStyle name="40% - Accent5 2 2 5 2 4" xfId="22379" xr:uid="{88087960-4DFA-4683-A603-D2D739D70945}"/>
    <cellStyle name="40% - Accent5 2 2 5 3" xfId="5826" xr:uid="{00000000-0005-0000-0000-000063060000}"/>
    <cellStyle name="40% - Accent5 2 2 5 3 2" xfId="15152" xr:uid="{6160BA5B-26F7-433A-977E-B44D4625A22E}"/>
    <cellStyle name="40% - Accent5 2 2 5 3 3" xfId="24451" xr:uid="{D00E26A1-38C6-48E5-A7BC-35892B085FD4}"/>
    <cellStyle name="40% - Accent5 2 2 5 4" xfId="10935" xr:uid="{BEE8D486-54F0-4092-BCCF-6A8600E7101B}"/>
    <cellStyle name="40% - Accent5 2 2 5 5" xfId="20234" xr:uid="{125CBFE4-99A4-4E12-BDFF-D30EDB970E5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CBB63FCE-2373-4808-95F0-F8A6B7D2495A}"/>
    <cellStyle name="40% - Accent5 2 2 6 2 2 3" xfId="27009" xr:uid="{3D3264F0-351C-4FEB-A38D-701A54F8C2CE}"/>
    <cellStyle name="40% - Accent5 2 2 6 2 3" xfId="13493" xr:uid="{6BD5076E-0D23-4373-BD05-9B825C5C8C2A}"/>
    <cellStyle name="40% - Accent5 2 2 6 2 4" xfId="22792" xr:uid="{067ACDBB-EF8A-4528-A268-9129BBB5D241}"/>
    <cellStyle name="40% - Accent5 2 2 6 3" xfId="6239" xr:uid="{00000000-0005-0000-0000-000067060000}"/>
    <cellStyle name="40% - Accent5 2 2 6 3 2" xfId="15565" xr:uid="{CEF791B2-9C2A-43E0-A2AE-6FD75B060F0E}"/>
    <cellStyle name="40% - Accent5 2 2 6 3 3" xfId="24864" xr:uid="{DB0CEE0A-E3E4-4430-A4D4-9F601482EC58}"/>
    <cellStyle name="40% - Accent5 2 2 6 4" xfId="11348" xr:uid="{1D776AD4-0239-4D14-842E-5652712DEA1F}"/>
    <cellStyle name="40% - Accent5 2 2 6 5" xfId="20647" xr:uid="{C43E9452-2A69-4DDE-B3D5-BBE0382A2726}"/>
    <cellStyle name="40% - Accent5 2 2 7" xfId="2346" xr:uid="{00000000-0005-0000-0000-000068060000}"/>
    <cellStyle name="40% - Accent5 2 2 7 2" xfId="6652" xr:uid="{00000000-0005-0000-0000-000069060000}"/>
    <cellStyle name="40% - Accent5 2 2 7 2 2" xfId="15978" xr:uid="{6BD50C13-A6D1-4538-B75E-3EC5095AC9BB}"/>
    <cellStyle name="40% - Accent5 2 2 7 2 3" xfId="25277" xr:uid="{135F5D38-5215-445A-8C42-743DE9D2E43A}"/>
    <cellStyle name="40% - Accent5 2 2 7 3" xfId="11761" xr:uid="{C50BABC0-4C00-4AD8-AB72-E0F896910833}"/>
    <cellStyle name="40% - Accent5 2 2 7 4" xfId="21060" xr:uid="{522C5ED1-7DB3-4E43-B099-CAAF2C5538B0}"/>
    <cellStyle name="40% - Accent5 2 2 8" xfId="4586" xr:uid="{00000000-0005-0000-0000-00006A060000}"/>
    <cellStyle name="40% - Accent5 2 2 8 2" xfId="13912" xr:uid="{E4E9C8A1-733A-4E05-A6F9-D26E9307F730}"/>
    <cellStyle name="40% - Accent5 2 2 8 3" xfId="23211" xr:uid="{8CE2908A-EED5-4C2C-ACC6-D24C9B2D34DF}"/>
    <cellStyle name="40% - Accent5 2 2 9" xfId="8905" xr:uid="{3B48B2AE-2C2B-47FB-A8F4-43FECCDBCFEF}"/>
    <cellStyle name="40% - Accent5 2 2 9 2" xfId="18229" xr:uid="{D3644D44-A500-4A3F-B783-16C26F1DCB1B}"/>
    <cellStyle name="40% - Accent5 2 2 9 3" xfId="27527" xr:uid="{A95194BE-D284-4548-8CE8-305176F35C89}"/>
    <cellStyle name="40% - Accent5 2 3" xfId="85" xr:uid="{00000000-0005-0000-0000-00006B060000}"/>
    <cellStyle name="40% - Accent5 2 3 10" xfId="18996" xr:uid="{313B1CCA-A358-4D11-AC6C-7F8AFF171ACD}"/>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DAE66B65-E741-4DD3-BC57-AED6F9BE43B3}"/>
    <cellStyle name="40% - Accent5 2 3 2 2 2 3" xfId="25772" xr:uid="{63B82D41-48AC-44AC-AAFD-C33E6A240256}"/>
    <cellStyle name="40% - Accent5 2 3 2 2 3" xfId="12256" xr:uid="{71416638-45AE-4CDC-8E9A-BFBBF86EB2C7}"/>
    <cellStyle name="40% - Accent5 2 3 2 2 4" xfId="21555" xr:uid="{8E177BBD-8FB0-4F73-9058-BEA59C0F6A44}"/>
    <cellStyle name="40% - Accent5 2 3 2 3" xfId="5002" xr:uid="{00000000-0005-0000-0000-00006F060000}"/>
    <cellStyle name="40% - Accent5 2 3 2 3 2" xfId="14328" xr:uid="{96D6745F-E703-43B4-A13C-F5C0B0E2EBA6}"/>
    <cellStyle name="40% - Accent5 2 3 2 3 3" xfId="23627" xr:uid="{7F1B14C1-FDF1-4666-A0C9-D0C30B4E0938}"/>
    <cellStyle name="40% - Accent5 2 3 2 4" xfId="9434" xr:uid="{512EAA64-F150-4B15-8534-EB34D6D41408}"/>
    <cellStyle name="40% - Accent5 2 3 2 4 2" xfId="18749" xr:uid="{53A652A8-7572-4CA9-8C8F-B616F4D9EC6E}"/>
    <cellStyle name="40% - Accent5 2 3 2 4 3" xfId="28046" xr:uid="{B232A5B6-C094-4867-A7DB-785CCBFED383}"/>
    <cellStyle name="40% - Accent5 2 3 2 5" xfId="10111" xr:uid="{33CF18C5-F039-44BB-AD7C-3E292BE0321A}"/>
    <cellStyle name="40% - Accent5 2 3 2 6" xfId="19410" xr:uid="{4F93DE30-1FC4-4B16-82C4-1BEF6DEB72B6}"/>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2224CEC2-4436-41D4-8C09-FCC7D969984D}"/>
    <cellStyle name="40% - Accent5 2 3 3 2 2 3" xfId="26185" xr:uid="{5968BE1D-4899-4BCD-BA2E-2A4A5DA3663C}"/>
    <cellStyle name="40% - Accent5 2 3 3 2 3" xfId="12669" xr:uid="{488B9F1E-B96C-4E28-9C12-C569D19D36CD}"/>
    <cellStyle name="40% - Accent5 2 3 3 2 4" xfId="21968" xr:uid="{CC2CC191-9DE9-4D54-AD11-B680B9B2753B}"/>
    <cellStyle name="40% - Accent5 2 3 3 3" xfId="5415" xr:uid="{00000000-0005-0000-0000-000073060000}"/>
    <cellStyle name="40% - Accent5 2 3 3 3 2" xfId="14741" xr:uid="{6D6D1BDB-21B6-4601-8B1C-A30295B3032E}"/>
    <cellStyle name="40% - Accent5 2 3 3 3 3" xfId="24040" xr:uid="{F335597B-8950-4DFD-ACB6-C173530301EE}"/>
    <cellStyle name="40% - Accent5 2 3 3 4" xfId="10524" xr:uid="{4CF9743F-EE3A-493F-A9B0-7FF7697DF564}"/>
    <cellStyle name="40% - Accent5 2 3 3 5" xfId="19823" xr:uid="{AC9D8B40-0C4A-4AF9-83A9-45376DA8F327}"/>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4C4A89FA-3255-4960-83DA-F129A526C737}"/>
    <cellStyle name="40% - Accent5 2 3 4 2 2 3" xfId="26598" xr:uid="{F8FCA4B5-3B4D-4547-9F0E-DC052526475F}"/>
    <cellStyle name="40% - Accent5 2 3 4 2 3" xfId="13082" xr:uid="{159DE816-5202-451F-8D6A-42C5F25BCD97}"/>
    <cellStyle name="40% - Accent5 2 3 4 2 4" xfId="22381" xr:uid="{7CCAFB35-0BD7-4623-A0B2-55BE82E8F5D2}"/>
    <cellStyle name="40% - Accent5 2 3 4 3" xfId="5828" xr:uid="{00000000-0005-0000-0000-000077060000}"/>
    <cellStyle name="40% - Accent5 2 3 4 3 2" xfId="15154" xr:uid="{DD8F8DF6-F4B7-445F-800D-797E9650973F}"/>
    <cellStyle name="40% - Accent5 2 3 4 3 3" xfId="24453" xr:uid="{F2786990-7CE2-4375-871A-D33ADDDAA7ED}"/>
    <cellStyle name="40% - Accent5 2 3 4 4" xfId="10937" xr:uid="{C277E1B3-037C-4229-AD1E-438FD7334066}"/>
    <cellStyle name="40% - Accent5 2 3 4 5" xfId="20236" xr:uid="{CEBF6EC5-ADFE-4F34-B3FB-784F3B5901F9}"/>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6EF7D652-1C29-4229-B2B9-0D4895E3AE12}"/>
    <cellStyle name="40% - Accent5 2 3 5 2 2 3" xfId="27011" xr:uid="{1A8DAC03-7470-4BDD-A2CD-D25AEA07877D}"/>
    <cellStyle name="40% - Accent5 2 3 5 2 3" xfId="13495" xr:uid="{9CDCC540-B919-4C96-9759-430BDF4BB9D2}"/>
    <cellStyle name="40% - Accent5 2 3 5 2 4" xfId="22794" xr:uid="{68B56B06-7A87-4A3B-9595-DCAFF46EA11A}"/>
    <cellStyle name="40% - Accent5 2 3 5 3" xfId="6241" xr:uid="{00000000-0005-0000-0000-00007B060000}"/>
    <cellStyle name="40% - Accent5 2 3 5 3 2" xfId="15567" xr:uid="{6896B9F4-D7D9-4FB2-9C82-AFE30DF395D0}"/>
    <cellStyle name="40% - Accent5 2 3 5 3 3" xfId="24866" xr:uid="{551962AD-9A63-4341-AB25-8599638FD862}"/>
    <cellStyle name="40% - Accent5 2 3 5 4" xfId="11350" xr:uid="{4AB2CFBD-7703-4924-A43C-2B00C98A72B6}"/>
    <cellStyle name="40% - Accent5 2 3 5 5" xfId="20649" xr:uid="{1D04BEE9-B00E-45C5-AFDD-E32DC927DA2E}"/>
    <cellStyle name="40% - Accent5 2 3 6" xfId="2348" xr:uid="{00000000-0005-0000-0000-00007C060000}"/>
    <cellStyle name="40% - Accent5 2 3 6 2" xfId="6654" xr:uid="{00000000-0005-0000-0000-00007D060000}"/>
    <cellStyle name="40% - Accent5 2 3 6 2 2" xfId="15980" xr:uid="{FD39B935-3550-43CF-933F-99D5D1C4B144}"/>
    <cellStyle name="40% - Accent5 2 3 6 2 3" xfId="25279" xr:uid="{13A91091-D5E9-4121-A0A1-15D07D5CFA3F}"/>
    <cellStyle name="40% - Accent5 2 3 6 3" xfId="11763" xr:uid="{D38421AE-B1F6-4CE1-B785-6C4369F0DBAE}"/>
    <cellStyle name="40% - Accent5 2 3 6 4" xfId="21062" xr:uid="{A0B81DB8-55A2-4786-9979-4640163B91C7}"/>
    <cellStyle name="40% - Accent5 2 3 7" xfId="4588" xr:uid="{00000000-0005-0000-0000-00007E060000}"/>
    <cellStyle name="40% - Accent5 2 3 7 2" xfId="13914" xr:uid="{A9B1EFC5-0CB3-435C-AE45-5285489CAFF2}"/>
    <cellStyle name="40% - Accent5 2 3 7 3" xfId="23213" xr:uid="{7FC7E90C-E27C-446E-B443-2CA0DDC27F41}"/>
    <cellStyle name="40% - Accent5 2 3 8" xfId="9009" xr:uid="{DE8B6E41-761F-4ED0-BA8A-00A6A898A2FC}"/>
    <cellStyle name="40% - Accent5 2 3 8 2" xfId="18333" xr:uid="{8D5C2556-1793-41E8-A83C-F9E92E7FAAB2}"/>
    <cellStyle name="40% - Accent5 2 3 8 3" xfId="27631" xr:uid="{F4717396-2B93-4CB0-8576-D811F264F128}"/>
    <cellStyle name="40% - Accent5 2 3 9" xfId="9697" xr:uid="{3A43D6F4-1818-49FC-A588-1E2A088D26DC}"/>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704C3822-16F4-4F69-A469-BE528DCDAA79}"/>
    <cellStyle name="40% - Accent5 2 4 2 2 3" xfId="25769" xr:uid="{AE738925-3F10-4838-AC3E-5630FC6DEEF0}"/>
    <cellStyle name="40% - Accent5 2 4 2 3" xfId="12253" xr:uid="{E6E2F71F-0C8D-4C6F-94B4-8ED22AF90976}"/>
    <cellStyle name="40% - Accent5 2 4 2 4" xfId="21552" xr:uid="{0757A9EB-08D0-48C7-94D4-D9A0171551FD}"/>
    <cellStyle name="40% - Accent5 2 4 3" xfId="4999" xr:uid="{00000000-0005-0000-0000-000082060000}"/>
    <cellStyle name="40% - Accent5 2 4 3 2" xfId="14325" xr:uid="{7B5528E3-4B99-45D5-A0FE-36BC1F267748}"/>
    <cellStyle name="40% - Accent5 2 4 3 3" xfId="23624" xr:uid="{9CC58CD0-E13A-4E0C-BFD6-2F3A1E8F542F}"/>
    <cellStyle name="40% - Accent5 2 4 4" xfId="9226" xr:uid="{6A688709-D29B-458C-973B-231279FAFEF5}"/>
    <cellStyle name="40% - Accent5 2 4 4 2" xfId="18542" xr:uid="{25B6F5D6-995F-49EF-93D1-130A42188C0D}"/>
    <cellStyle name="40% - Accent5 2 4 4 3" xfId="27839" xr:uid="{F2707955-AFFA-4FE9-9B87-E3898204B6E7}"/>
    <cellStyle name="40% - Accent5 2 4 5" xfId="10108" xr:uid="{2639D93A-7352-41FD-AA71-6E6A192907DA}"/>
    <cellStyle name="40% - Accent5 2 4 6" xfId="19407" xr:uid="{D747B8B8-EC9C-4295-938C-B85E21924044}"/>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E48920C0-A9C6-4314-8C8C-3AEE688C9329}"/>
    <cellStyle name="40% - Accent5 2 5 2 2 3" xfId="26182" xr:uid="{51BF2D3D-E742-4545-B2F3-E6723C54541E}"/>
    <cellStyle name="40% - Accent5 2 5 2 3" xfId="12666" xr:uid="{F511868C-3329-4812-8187-19A87AFB5B2B}"/>
    <cellStyle name="40% - Accent5 2 5 2 4" xfId="21965" xr:uid="{49F71EE9-78D1-445A-A981-3AF5CA26CC1A}"/>
    <cellStyle name="40% - Accent5 2 5 3" xfId="5412" xr:uid="{00000000-0005-0000-0000-000086060000}"/>
    <cellStyle name="40% - Accent5 2 5 3 2" xfId="14738" xr:uid="{8EB93255-2B6C-468A-9104-9F1E1B704BA9}"/>
    <cellStyle name="40% - Accent5 2 5 3 3" xfId="24037" xr:uid="{C62C454B-85C7-496B-84D9-B1C401C3C90C}"/>
    <cellStyle name="40% - Accent5 2 5 4" xfId="10521" xr:uid="{6E94B2C2-97B7-4392-8014-43548615D581}"/>
    <cellStyle name="40% - Accent5 2 5 5" xfId="19820" xr:uid="{3DBCA5D3-3CC7-407E-8B08-A4F630B25171}"/>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4FB8C6C9-2C3F-40D9-85F5-7BFE6F0D6785}"/>
    <cellStyle name="40% - Accent5 2 6 2 2 3" xfId="26595" xr:uid="{AB225676-5183-4D15-83FF-BF54E71692BD}"/>
    <cellStyle name="40% - Accent5 2 6 2 3" xfId="13079" xr:uid="{3B02FA26-FD32-4BD2-AD41-29E564EF2B9C}"/>
    <cellStyle name="40% - Accent5 2 6 2 4" xfId="22378" xr:uid="{B6AAE50D-FCD6-40BC-84EC-4ED0A2B0FE70}"/>
    <cellStyle name="40% - Accent5 2 6 3" xfId="5825" xr:uid="{00000000-0005-0000-0000-00008A060000}"/>
    <cellStyle name="40% - Accent5 2 6 3 2" xfId="15151" xr:uid="{2E41F1FB-77B2-4215-B044-40536989ACE3}"/>
    <cellStyle name="40% - Accent5 2 6 3 3" xfId="24450" xr:uid="{590912BC-4493-4541-B678-FD8ADA0057FB}"/>
    <cellStyle name="40% - Accent5 2 6 4" xfId="10934" xr:uid="{44474C61-3356-4F60-A689-2C345463E33D}"/>
    <cellStyle name="40% - Accent5 2 6 5" xfId="20233" xr:uid="{77B38C69-78B7-47C0-873C-5FEB51133677}"/>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1633EFFC-A6CE-45CD-ABFA-30CC227643C6}"/>
    <cellStyle name="40% - Accent5 2 7 2 2 3" xfId="27008" xr:uid="{C4094D9F-6213-48E8-843F-27BA2C0E1EF6}"/>
    <cellStyle name="40% - Accent5 2 7 2 3" xfId="13492" xr:uid="{CDEC8544-3C1E-473E-BCCB-28487523E003}"/>
    <cellStyle name="40% - Accent5 2 7 2 4" xfId="22791" xr:uid="{3F52A4B1-89F2-442A-BFC8-7C8D39484129}"/>
    <cellStyle name="40% - Accent5 2 7 3" xfId="6238" xr:uid="{00000000-0005-0000-0000-00008E060000}"/>
    <cellStyle name="40% - Accent5 2 7 3 2" xfId="15564" xr:uid="{1FC6BD9B-E37E-48B1-80E6-2D4AB12386BF}"/>
    <cellStyle name="40% - Accent5 2 7 3 3" xfId="24863" xr:uid="{7E1E9F74-94F8-482F-8A5E-6E0204022CF2}"/>
    <cellStyle name="40% - Accent5 2 7 4" xfId="11347" xr:uid="{4D9798CA-A89C-4217-9C78-1F892BB875D6}"/>
    <cellStyle name="40% - Accent5 2 7 5" xfId="20646" xr:uid="{0A66866C-14FE-4135-91C8-0B306916A2F9}"/>
    <cellStyle name="40% - Accent5 2 8" xfId="2345" xr:uid="{00000000-0005-0000-0000-00008F060000}"/>
    <cellStyle name="40% - Accent5 2 8 2" xfId="6651" xr:uid="{00000000-0005-0000-0000-000090060000}"/>
    <cellStyle name="40% - Accent5 2 8 2 2" xfId="15977" xr:uid="{2875D186-2F4E-441F-BF45-E614FA05BF3E}"/>
    <cellStyle name="40% - Accent5 2 8 2 3" xfId="25276" xr:uid="{A465F2BA-0FC3-407B-AF5C-D4BD500224ED}"/>
    <cellStyle name="40% - Accent5 2 8 3" xfId="11760" xr:uid="{74A8CA0E-5BE9-435C-9774-65D45437E247}"/>
    <cellStyle name="40% - Accent5 2 8 4" xfId="21059" xr:uid="{4A5827A9-70E0-43AE-A07E-EFD282D4495E}"/>
    <cellStyle name="40% - Accent5 2 9" xfId="4585" xr:uid="{00000000-0005-0000-0000-000091060000}"/>
    <cellStyle name="40% - Accent5 2 9 2" xfId="13911" xr:uid="{8ACCF5E6-D4E5-4169-9391-DEDA62E07DA7}"/>
    <cellStyle name="40% - Accent5 2 9 3" xfId="23210" xr:uid="{611875E6-D7B2-4F22-9A53-C5081937D1E5}"/>
    <cellStyle name="40% - Accent5 3" xfId="86" xr:uid="{00000000-0005-0000-0000-000092060000}"/>
    <cellStyle name="40% - Accent5 3 10" xfId="9698" xr:uid="{0211EDB1-D44C-4016-8EEE-8C799A6672C0}"/>
    <cellStyle name="40% - Accent5 3 11" xfId="18997" xr:uid="{119242AD-BEDC-4593-992C-A1777A2566B3}"/>
    <cellStyle name="40% - Accent5 3 2" xfId="87" xr:uid="{00000000-0005-0000-0000-000093060000}"/>
    <cellStyle name="40% - Accent5 3 2 10" xfId="18998" xr:uid="{3D930353-2AAC-42A2-95B5-6D3F4C93DE96}"/>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3198AA6B-BC9C-4D46-BD03-F7F599BFBAB4}"/>
    <cellStyle name="40% - Accent5 3 2 2 2 2 3" xfId="25774" xr:uid="{20DC55DA-A892-4E0D-91CA-8A6028056A44}"/>
    <cellStyle name="40% - Accent5 3 2 2 2 3" xfId="12258" xr:uid="{738E57EE-39FC-4908-A33C-CC721231B0F9}"/>
    <cellStyle name="40% - Accent5 3 2 2 2 4" xfId="21557" xr:uid="{2D738E06-45C1-4268-B810-FBD735A0FBC2}"/>
    <cellStyle name="40% - Accent5 3 2 2 3" xfId="5004" xr:uid="{00000000-0005-0000-0000-000097060000}"/>
    <cellStyle name="40% - Accent5 3 2 2 3 2" xfId="14330" xr:uid="{1A3DC316-C7BE-4D5A-BDBC-4DC0115A49F0}"/>
    <cellStyle name="40% - Accent5 3 2 2 3 3" xfId="23629" xr:uid="{1AE558A7-2499-43CE-A383-F7133DE57870}"/>
    <cellStyle name="40% - Accent5 3 2 2 4" xfId="9502" xr:uid="{96903B0D-DCFE-4149-8088-461BCB03A73B}"/>
    <cellStyle name="40% - Accent5 3 2 2 4 2" xfId="18817" xr:uid="{922A0FF0-7F77-4CB4-8AD6-E4BB87510AC6}"/>
    <cellStyle name="40% - Accent5 3 2 2 4 3" xfId="28114" xr:uid="{253E8C8D-AC5A-4702-A02E-E8C2F449DEA9}"/>
    <cellStyle name="40% - Accent5 3 2 2 5" xfId="10113" xr:uid="{E2F9BC31-5CB2-44F7-92B4-B212A692EFE5}"/>
    <cellStyle name="40% - Accent5 3 2 2 6" xfId="19412" xr:uid="{351B430A-6097-456F-BD1F-0179B16F7585}"/>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6CAFDB2D-A648-4407-8884-180EC95A78BB}"/>
    <cellStyle name="40% - Accent5 3 2 3 2 2 3" xfId="26187" xr:uid="{FECE3FC5-9B4B-41E2-92BC-EBFB137DAD98}"/>
    <cellStyle name="40% - Accent5 3 2 3 2 3" xfId="12671" xr:uid="{857AF196-E232-40CB-803C-B3304BEBE0C0}"/>
    <cellStyle name="40% - Accent5 3 2 3 2 4" xfId="21970" xr:uid="{D34DFFB6-503A-46AF-9C39-78294F6AB410}"/>
    <cellStyle name="40% - Accent5 3 2 3 3" xfId="5417" xr:uid="{00000000-0005-0000-0000-00009B060000}"/>
    <cellStyle name="40% - Accent5 3 2 3 3 2" xfId="14743" xr:uid="{041E725A-D4A8-41C8-8646-29CCB241EC06}"/>
    <cellStyle name="40% - Accent5 3 2 3 3 3" xfId="24042" xr:uid="{056B87A9-3684-415F-BFE2-5E28C5C5DD47}"/>
    <cellStyle name="40% - Accent5 3 2 3 4" xfId="10526" xr:uid="{C5294AD3-B765-400E-8E2E-8B7C68DB85DA}"/>
    <cellStyle name="40% - Accent5 3 2 3 5" xfId="19825" xr:uid="{E53E70E5-9DB6-4538-8876-021E5A3C9237}"/>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370D4B92-12A7-4CA8-956F-F3E5D149C5B6}"/>
    <cellStyle name="40% - Accent5 3 2 4 2 2 3" xfId="26600" xr:uid="{7DC9FF08-9E34-472C-BC41-57DDCDAE945D}"/>
    <cellStyle name="40% - Accent5 3 2 4 2 3" xfId="13084" xr:uid="{5C8A6E73-F9E1-434D-BBA4-9D581643FF30}"/>
    <cellStyle name="40% - Accent5 3 2 4 2 4" xfId="22383" xr:uid="{A32A8A24-7B3E-4330-B2E2-9BFB39B53E53}"/>
    <cellStyle name="40% - Accent5 3 2 4 3" xfId="5830" xr:uid="{00000000-0005-0000-0000-00009F060000}"/>
    <cellStyle name="40% - Accent5 3 2 4 3 2" xfId="15156" xr:uid="{B0A537D4-995E-452B-B759-A54100A1D3DF}"/>
    <cellStyle name="40% - Accent5 3 2 4 3 3" xfId="24455" xr:uid="{5BC994A7-3E76-4464-94D8-05D1CD4765C5}"/>
    <cellStyle name="40% - Accent5 3 2 4 4" xfId="10939" xr:uid="{F87D9415-AB4F-4834-B1F1-7C2A0F81A7B5}"/>
    <cellStyle name="40% - Accent5 3 2 4 5" xfId="20238" xr:uid="{24CFB45A-8357-4A11-853A-6BF8C79B4E4D}"/>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11212EB7-F199-4511-BEDA-7807F20DC8DC}"/>
    <cellStyle name="40% - Accent5 3 2 5 2 2 3" xfId="27013" xr:uid="{5B135195-27D4-4D4D-80AF-D96634789D00}"/>
    <cellStyle name="40% - Accent5 3 2 5 2 3" xfId="13497" xr:uid="{69BF5ADB-15AB-49C1-B01D-CD5E9C2B3889}"/>
    <cellStyle name="40% - Accent5 3 2 5 2 4" xfId="22796" xr:uid="{9964BB87-16AB-4D5B-A0D2-0374E37FC79B}"/>
    <cellStyle name="40% - Accent5 3 2 5 3" xfId="6243" xr:uid="{00000000-0005-0000-0000-0000A3060000}"/>
    <cellStyle name="40% - Accent5 3 2 5 3 2" xfId="15569" xr:uid="{D7B14772-F1D8-4609-80DC-9FF13495599C}"/>
    <cellStyle name="40% - Accent5 3 2 5 3 3" xfId="24868" xr:uid="{7AFF409E-9B0A-4FE8-801A-9A92B5471327}"/>
    <cellStyle name="40% - Accent5 3 2 5 4" xfId="11352" xr:uid="{A0A969AF-9A44-4824-9E5B-7D61CA07ABAE}"/>
    <cellStyle name="40% - Accent5 3 2 5 5" xfId="20651" xr:uid="{414D6235-3B6E-4A53-9E5B-2159E04D51C5}"/>
    <cellStyle name="40% - Accent5 3 2 6" xfId="2350" xr:uid="{00000000-0005-0000-0000-0000A4060000}"/>
    <cellStyle name="40% - Accent5 3 2 6 2" xfId="6656" xr:uid="{00000000-0005-0000-0000-0000A5060000}"/>
    <cellStyle name="40% - Accent5 3 2 6 2 2" xfId="15982" xr:uid="{AE680BF8-0656-4925-BBAF-5E4510781CC6}"/>
    <cellStyle name="40% - Accent5 3 2 6 2 3" xfId="25281" xr:uid="{9B3F3ED0-7CCB-494B-9031-5DF9F6196436}"/>
    <cellStyle name="40% - Accent5 3 2 6 3" xfId="11765" xr:uid="{AADF43C8-C073-4196-8926-01165E561CB5}"/>
    <cellStyle name="40% - Accent5 3 2 6 4" xfId="21064" xr:uid="{F371D88F-FE50-42B7-A8A9-E66A08A465A4}"/>
    <cellStyle name="40% - Accent5 3 2 7" xfId="4590" xr:uid="{00000000-0005-0000-0000-0000A6060000}"/>
    <cellStyle name="40% - Accent5 3 2 7 2" xfId="13916" xr:uid="{41D25415-E213-4BE5-986D-703D2256F570}"/>
    <cellStyle name="40% - Accent5 3 2 7 3" xfId="23215" xr:uid="{8D01EFAE-7DE8-4D14-AE25-BEB5A3824C8C}"/>
    <cellStyle name="40% - Accent5 3 2 8" xfId="9077" xr:uid="{8842DD15-54E4-487D-B492-3A505722387C}"/>
    <cellStyle name="40% - Accent5 3 2 8 2" xfId="18401" xr:uid="{CCFA959D-1355-4DAE-B048-A8037DF9A92C}"/>
    <cellStyle name="40% - Accent5 3 2 8 3" xfId="27699" xr:uid="{E7F94A23-E677-4028-BCAD-FEB6610C694A}"/>
    <cellStyle name="40% - Accent5 3 2 9" xfId="9699" xr:uid="{3A14FB56-C119-4882-97D7-B6E5D324D6AB}"/>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B09EA980-8BA9-4635-BD5D-85A2158A6013}"/>
    <cellStyle name="40% - Accent5 3 3 2 2 3" xfId="25773" xr:uid="{2D79566F-2289-4512-8D13-625B5C4988BB}"/>
    <cellStyle name="40% - Accent5 3 3 2 3" xfId="12257" xr:uid="{E6BE5E60-0F04-4FC1-AABF-8FC62AAB9061}"/>
    <cellStyle name="40% - Accent5 3 3 2 4" xfId="21556" xr:uid="{04648F4E-B14A-4C65-B55D-50A25B95F9D0}"/>
    <cellStyle name="40% - Accent5 3 3 3" xfId="5003" xr:uid="{00000000-0005-0000-0000-0000AA060000}"/>
    <cellStyle name="40% - Accent5 3 3 3 2" xfId="14329" xr:uid="{9835D53D-445C-4B59-8DBB-0B8B5C939190}"/>
    <cellStyle name="40% - Accent5 3 3 3 3" xfId="23628" xr:uid="{D6B1CCEC-A529-4B8C-80BB-03F19133B3B9}"/>
    <cellStyle name="40% - Accent5 3 3 4" xfId="9295" xr:uid="{0D42C89E-252E-426A-8E1F-7D3AD6B9FE55}"/>
    <cellStyle name="40% - Accent5 3 3 4 2" xfId="18610" xr:uid="{95F436D8-A4DA-4E05-A91C-093F6F0E8ACA}"/>
    <cellStyle name="40% - Accent5 3 3 4 3" xfId="27907" xr:uid="{9E98B5CF-80C9-4E3E-B3DF-A449D857214E}"/>
    <cellStyle name="40% - Accent5 3 3 5" xfId="10112" xr:uid="{6D29CC1C-DDE6-43B1-9AFB-0DC2CD18D33E}"/>
    <cellStyle name="40% - Accent5 3 3 6" xfId="19411" xr:uid="{098F58A8-B02B-4880-AF4B-58432D4217C3}"/>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FDA5BC65-F710-4612-88D5-DD1BA7B95ED9}"/>
    <cellStyle name="40% - Accent5 3 4 2 2 3" xfId="26186" xr:uid="{326F02F6-F22B-4975-9173-FB1952233C89}"/>
    <cellStyle name="40% - Accent5 3 4 2 3" xfId="12670" xr:uid="{31835345-F289-4BAA-B8E2-D99011721F21}"/>
    <cellStyle name="40% - Accent5 3 4 2 4" xfId="21969" xr:uid="{EEE62BF9-CD5A-430A-8869-1FD54E39335A}"/>
    <cellStyle name="40% - Accent5 3 4 3" xfId="5416" xr:uid="{00000000-0005-0000-0000-0000AE060000}"/>
    <cellStyle name="40% - Accent5 3 4 3 2" xfId="14742" xr:uid="{C9A6653F-C31F-44DC-B68A-6E59EA79CB89}"/>
    <cellStyle name="40% - Accent5 3 4 3 3" xfId="24041" xr:uid="{38515008-D6E9-48AD-B2DF-68AE36460B5C}"/>
    <cellStyle name="40% - Accent5 3 4 4" xfId="10525" xr:uid="{662181F6-9314-4461-9128-197951DECE02}"/>
    <cellStyle name="40% - Accent5 3 4 5" xfId="19824" xr:uid="{D4A3EB6A-431E-402F-933F-0F745B9EF95D}"/>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C7A87472-C12B-4BD8-8AD2-A4A8E84424CE}"/>
    <cellStyle name="40% - Accent5 3 5 2 2 3" xfId="26599" xr:uid="{48734032-F64E-4EAD-9DD3-D0B7CC9847FC}"/>
    <cellStyle name="40% - Accent5 3 5 2 3" xfId="13083" xr:uid="{C250F5B8-2A49-4813-B499-DD1D343D5655}"/>
    <cellStyle name="40% - Accent5 3 5 2 4" xfId="22382" xr:uid="{75A34B88-3AE9-4118-A968-256686126D26}"/>
    <cellStyle name="40% - Accent5 3 5 3" xfId="5829" xr:uid="{00000000-0005-0000-0000-0000B2060000}"/>
    <cellStyle name="40% - Accent5 3 5 3 2" xfId="15155" xr:uid="{5BC82278-3D52-431A-9E60-B3A8E1706C2D}"/>
    <cellStyle name="40% - Accent5 3 5 3 3" xfId="24454" xr:uid="{77729D1B-634E-49B2-9BD0-428C15FD9A94}"/>
    <cellStyle name="40% - Accent5 3 5 4" xfId="10938" xr:uid="{EF765976-9BD6-4AD8-B45E-8D1B9017F10B}"/>
    <cellStyle name="40% - Accent5 3 5 5" xfId="20237" xr:uid="{771D960A-93E0-498D-9C47-502A43139EE8}"/>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2DB882F4-2615-4FE2-BA38-62470C7981DD}"/>
    <cellStyle name="40% - Accent5 3 6 2 2 3" xfId="27012" xr:uid="{5613F700-DF66-49E0-8910-BC01DE9CAE55}"/>
    <cellStyle name="40% - Accent5 3 6 2 3" xfId="13496" xr:uid="{BB8AB5F5-F131-4FAD-B2B9-4694816C8A56}"/>
    <cellStyle name="40% - Accent5 3 6 2 4" xfId="22795" xr:uid="{71820C51-662E-4B68-B7D3-E2F6F4ABABCD}"/>
    <cellStyle name="40% - Accent5 3 6 3" xfId="6242" xr:uid="{00000000-0005-0000-0000-0000B6060000}"/>
    <cellStyle name="40% - Accent5 3 6 3 2" xfId="15568" xr:uid="{ADC6D151-2235-4A8E-85E5-57A1CFDC9627}"/>
    <cellStyle name="40% - Accent5 3 6 3 3" xfId="24867" xr:uid="{1B6C09F7-74B5-4A52-A280-9D286958FBEF}"/>
    <cellStyle name="40% - Accent5 3 6 4" xfId="11351" xr:uid="{E5DB77DB-7A2A-4437-9B8F-5198FE6D08DC}"/>
    <cellStyle name="40% - Accent5 3 6 5" xfId="20650" xr:uid="{14BDF9FA-9C55-4962-B860-0897255A1A73}"/>
    <cellStyle name="40% - Accent5 3 7" xfId="2349" xr:uid="{00000000-0005-0000-0000-0000B7060000}"/>
    <cellStyle name="40% - Accent5 3 7 2" xfId="6655" xr:uid="{00000000-0005-0000-0000-0000B8060000}"/>
    <cellStyle name="40% - Accent5 3 7 2 2" xfId="15981" xr:uid="{F3984085-EA3F-4008-917C-799E64F37380}"/>
    <cellStyle name="40% - Accent5 3 7 2 3" xfId="25280" xr:uid="{A674ECE3-F028-411E-989B-E10453EC934C}"/>
    <cellStyle name="40% - Accent5 3 7 3" xfId="11764" xr:uid="{4ABE920D-CBFA-44C9-B653-FFF4A1A99BC1}"/>
    <cellStyle name="40% - Accent5 3 7 4" xfId="21063" xr:uid="{6EF52A19-21BC-4613-B148-976B0CCE1678}"/>
    <cellStyle name="40% - Accent5 3 8" xfId="4589" xr:uid="{00000000-0005-0000-0000-0000B9060000}"/>
    <cellStyle name="40% - Accent5 3 8 2" xfId="13915" xr:uid="{616D0173-50C8-4C36-B2B9-CDB03BEF188E}"/>
    <cellStyle name="40% - Accent5 3 8 3" xfId="23214" xr:uid="{34524F17-4F69-42BD-8B41-454FC8F3E313}"/>
    <cellStyle name="40% - Accent5 3 9" xfId="8870" xr:uid="{F7DB5D96-1272-4D48-B3B6-48053CFCBA44}"/>
    <cellStyle name="40% - Accent5 3 9 2" xfId="18194" xr:uid="{A557FC6A-F04C-4D08-B4D5-009587F1F3F6}"/>
    <cellStyle name="40% - Accent5 3 9 3" xfId="27492" xr:uid="{F96134A2-1FF2-446F-82FA-0C63619A3792}"/>
    <cellStyle name="40% - Accent5 4" xfId="88" xr:uid="{00000000-0005-0000-0000-0000BA060000}"/>
    <cellStyle name="40% - Accent5 4 10" xfId="18999" xr:uid="{FAFB743E-E8FE-4733-BF82-141636E90041}"/>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8DE209F5-CBE2-471D-B834-F2940A72EC2D}"/>
    <cellStyle name="40% - Accent5 4 2 2 2 3" xfId="25775" xr:uid="{01F58904-1676-4A01-A60A-9F0A24404D48}"/>
    <cellStyle name="40% - Accent5 4 2 2 3" xfId="12259" xr:uid="{B0EEE2CE-F4BC-4115-A915-6EBD10377E4B}"/>
    <cellStyle name="40% - Accent5 4 2 2 4" xfId="21558" xr:uid="{B7243222-5F10-48CE-8805-84B2A99DA0A4}"/>
    <cellStyle name="40% - Accent5 4 2 3" xfId="5005" xr:uid="{00000000-0005-0000-0000-0000BE060000}"/>
    <cellStyle name="40% - Accent5 4 2 3 2" xfId="14331" xr:uid="{16FA1CBE-7CEF-45F2-8C70-0C7CA6278246}"/>
    <cellStyle name="40% - Accent5 4 2 3 3" xfId="23630" xr:uid="{1CF0318A-1926-45E6-B18F-9A9D9BDEC229}"/>
    <cellStyle name="40% - Accent5 4 2 4" xfId="9381" xr:uid="{6D86932C-AFC4-4FF0-967D-0F56E90E02E1}"/>
    <cellStyle name="40% - Accent5 4 2 4 2" xfId="18696" xr:uid="{18012EFA-8D06-4126-8A7F-2AB6F9DC4A05}"/>
    <cellStyle name="40% - Accent5 4 2 4 3" xfId="27993" xr:uid="{8B8D0E41-B5CA-4256-AEA9-DB3685D6979F}"/>
    <cellStyle name="40% - Accent5 4 2 5" xfId="10114" xr:uid="{79942EE1-4CDF-4965-984B-02F742F69343}"/>
    <cellStyle name="40% - Accent5 4 2 6" xfId="19413" xr:uid="{4DCD5D92-A418-4EDA-8F2E-7E7D4DA66769}"/>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495B5C4C-C184-4C55-BAAE-B33BAC927DBA}"/>
    <cellStyle name="40% - Accent5 4 3 2 2 3" xfId="26188" xr:uid="{30A73824-17E5-42AC-A666-B96E14E84F42}"/>
    <cellStyle name="40% - Accent5 4 3 2 3" xfId="12672" xr:uid="{44F3935A-87DC-4AF9-A034-BAACDAAB777D}"/>
    <cellStyle name="40% - Accent5 4 3 2 4" xfId="21971" xr:uid="{902ED850-3113-438D-BE9B-811F849784FC}"/>
    <cellStyle name="40% - Accent5 4 3 3" xfId="5418" xr:uid="{00000000-0005-0000-0000-0000C2060000}"/>
    <cellStyle name="40% - Accent5 4 3 3 2" xfId="14744" xr:uid="{DF41F26E-FA72-4A34-94F2-1D714AA0ED30}"/>
    <cellStyle name="40% - Accent5 4 3 3 3" xfId="24043" xr:uid="{E4BC1205-9C5A-4E19-8F75-B36C0C0ED710}"/>
    <cellStyle name="40% - Accent5 4 3 4" xfId="10527" xr:uid="{890D14CF-FBBD-403E-BA60-ED5DD37DED49}"/>
    <cellStyle name="40% - Accent5 4 3 5" xfId="19826" xr:uid="{30851056-2E65-4CC2-BC6D-D42B72E16F3B}"/>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EAD804C5-F42B-49B8-B3AF-45DF158CCE31}"/>
    <cellStyle name="40% - Accent5 4 4 2 2 3" xfId="26601" xr:uid="{AF2C4035-D0F0-43C8-93FB-1F47BB3854BC}"/>
    <cellStyle name="40% - Accent5 4 4 2 3" xfId="13085" xr:uid="{78B1D8D8-943C-44ED-8AEE-54DCC488F53B}"/>
    <cellStyle name="40% - Accent5 4 4 2 4" xfId="22384" xr:uid="{92BA62F3-8EE2-4043-B541-24216A95D9F5}"/>
    <cellStyle name="40% - Accent5 4 4 3" xfId="5831" xr:uid="{00000000-0005-0000-0000-0000C6060000}"/>
    <cellStyle name="40% - Accent5 4 4 3 2" xfId="15157" xr:uid="{7184EF08-64BB-4B68-B5F9-D88B3D152BF8}"/>
    <cellStyle name="40% - Accent5 4 4 3 3" xfId="24456" xr:uid="{9978DD76-A60A-4A3B-ABD0-EF558EBAC4A2}"/>
    <cellStyle name="40% - Accent5 4 4 4" xfId="10940" xr:uid="{AB5E0E97-8B8C-43EC-AF20-4CFABD547246}"/>
    <cellStyle name="40% - Accent5 4 4 5" xfId="20239" xr:uid="{E5E1986C-165D-4BB4-9202-BF34455D21D1}"/>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A09A7775-8031-4AD9-B59E-2A21D78976D5}"/>
    <cellStyle name="40% - Accent5 4 5 2 2 3" xfId="27014" xr:uid="{AAF03981-F189-4E46-B175-7E1D98BBEFA3}"/>
    <cellStyle name="40% - Accent5 4 5 2 3" xfId="13498" xr:uid="{040E090C-D7F9-4AC8-B834-B7443B8B8320}"/>
    <cellStyle name="40% - Accent5 4 5 2 4" xfId="22797" xr:uid="{03CF2C67-22F4-43FD-A58E-6838E2C907CA}"/>
    <cellStyle name="40% - Accent5 4 5 3" xfId="6244" xr:uid="{00000000-0005-0000-0000-0000CA060000}"/>
    <cellStyle name="40% - Accent5 4 5 3 2" xfId="15570" xr:uid="{9DD2A1F0-AE29-43C1-A9F3-6CFBDC391508}"/>
    <cellStyle name="40% - Accent5 4 5 3 3" xfId="24869" xr:uid="{6AED51A7-7BF5-45C4-88D3-9572F0D0F13C}"/>
    <cellStyle name="40% - Accent5 4 5 4" xfId="11353" xr:uid="{461A20F2-B258-4423-BEF2-53E78DA592BA}"/>
    <cellStyle name="40% - Accent5 4 5 5" xfId="20652" xr:uid="{35A921BA-7024-4581-9380-5E6862F73E90}"/>
    <cellStyle name="40% - Accent5 4 6" xfId="2351" xr:uid="{00000000-0005-0000-0000-0000CB060000}"/>
    <cellStyle name="40% - Accent5 4 6 2" xfId="6657" xr:uid="{00000000-0005-0000-0000-0000CC060000}"/>
    <cellStyle name="40% - Accent5 4 6 2 2" xfId="15983" xr:uid="{E3427E8D-E328-4CF7-A602-3DCBC4C375C2}"/>
    <cellStyle name="40% - Accent5 4 6 2 3" xfId="25282" xr:uid="{CD9715FE-D34E-49F2-9300-0CF3D7BECAFC}"/>
    <cellStyle name="40% - Accent5 4 6 3" xfId="11766" xr:uid="{6C3AF967-2331-4F31-BF3E-D81E8C62E27E}"/>
    <cellStyle name="40% - Accent5 4 6 4" xfId="21065" xr:uid="{7A25FF30-D7AF-4DDD-A9D7-3308AEE2653B}"/>
    <cellStyle name="40% - Accent5 4 7" xfId="4591" xr:uid="{00000000-0005-0000-0000-0000CD060000}"/>
    <cellStyle name="40% - Accent5 4 7 2" xfId="13917" xr:uid="{ACA73C0C-4F87-45A7-93EC-7278F4825DEC}"/>
    <cellStyle name="40% - Accent5 4 7 3" xfId="23216" xr:uid="{827DF122-E484-47D7-82DB-22922AE6A2F0}"/>
    <cellStyle name="40% - Accent5 4 8" xfId="8956" xr:uid="{20EBAEFE-DF5E-4B38-878B-CDA5BD3DABC1}"/>
    <cellStyle name="40% - Accent5 4 8 2" xfId="18280" xr:uid="{80C065ED-6CF4-4FB6-A5B3-0BE050B8875B}"/>
    <cellStyle name="40% - Accent5 4 8 3" xfId="27578" xr:uid="{AAAB64E1-8F66-4237-93B1-3AD4033C0069}"/>
    <cellStyle name="40% - Accent5 4 9" xfId="9700" xr:uid="{7020DAA2-7E98-4CC4-9365-DE8FECC10EF8}"/>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06B13E46-E48F-41CF-AB9D-82304805F662}"/>
    <cellStyle name="40% - Accent5 5 2 2 3" xfId="25768" xr:uid="{28D3ECDB-0C46-4BC3-B4BC-AF38639925D0}"/>
    <cellStyle name="40% - Accent5 5 2 3" xfId="12252" xr:uid="{76C1F80E-56C6-46E7-B490-E5E0E1ABEC92}"/>
    <cellStyle name="40% - Accent5 5 2 4" xfId="21551" xr:uid="{ACFCE19A-81A7-4F6F-B576-35E77DB465A9}"/>
    <cellStyle name="40% - Accent5 5 3" xfId="4998" xr:uid="{00000000-0005-0000-0000-0000D1060000}"/>
    <cellStyle name="40% - Accent5 5 3 2" xfId="14324" xr:uid="{1A9DF5FC-A8D7-45D2-8829-61A4C865FD52}"/>
    <cellStyle name="40% - Accent5 5 3 3" xfId="23623" xr:uid="{E3BCFE7E-B2AB-45C9-AE88-5C8AC500F226}"/>
    <cellStyle name="40% - Accent5 5 4" xfId="9189" xr:uid="{AE9A155E-B06B-4FF1-8984-8F7810581B15}"/>
    <cellStyle name="40% - Accent5 5 4 2" xfId="18507" xr:uid="{557FEB28-EE9C-4A1F-9826-F80F8ADA7BE4}"/>
    <cellStyle name="40% - Accent5 5 4 3" xfId="27804" xr:uid="{4593691C-1323-43C5-B9B6-994C61CB3A15}"/>
    <cellStyle name="40% - Accent5 5 5" xfId="10107" xr:uid="{0DFE1DB4-DBAE-411C-ACA4-4EA7E0AA7A75}"/>
    <cellStyle name="40% - Accent5 5 6" xfId="19406" xr:uid="{34AE39F4-25DC-46D4-AEF4-797E98AFD9A9}"/>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4A3EE621-0197-4DE2-BEB8-11DB6CC002C7}"/>
    <cellStyle name="40% - Accent5 6 2 2 3" xfId="26181" xr:uid="{98817ADD-70AC-4ADF-AF50-81637DB4553E}"/>
    <cellStyle name="40% - Accent5 6 2 3" xfId="12665" xr:uid="{1BD17387-7133-4D07-AECC-C97265A5B2CF}"/>
    <cellStyle name="40% - Accent5 6 2 4" xfId="21964" xr:uid="{D9424D86-31D0-4CA4-A36D-5370C293DEBF}"/>
    <cellStyle name="40% - Accent5 6 3" xfId="5411" xr:uid="{00000000-0005-0000-0000-0000D5060000}"/>
    <cellStyle name="40% - Accent5 6 3 2" xfId="14737" xr:uid="{A8BC6CC6-C9CA-4ECE-8CD9-E0243AD3D445}"/>
    <cellStyle name="40% - Accent5 6 3 3" xfId="24036" xr:uid="{D7EBF283-62C2-485B-BB9E-8BC17715BEF1}"/>
    <cellStyle name="40% - Accent5 6 4" xfId="10520" xr:uid="{1F3A08E1-5CBC-439F-916A-9FFC0421632D}"/>
    <cellStyle name="40% - Accent5 6 5" xfId="19819" xr:uid="{F6955F7F-D72F-41CF-ABA9-7F037990E47B}"/>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E76EFA6E-FD66-4302-8369-8B6545AEC25D}"/>
    <cellStyle name="40% - Accent5 7 2 2 3" xfId="26594" xr:uid="{82F53ECA-7ED5-4328-ABC6-55B27766841B}"/>
    <cellStyle name="40% - Accent5 7 2 3" xfId="13078" xr:uid="{E970E1DB-5537-43C5-B5A7-AB507F97AAFB}"/>
    <cellStyle name="40% - Accent5 7 2 4" xfId="22377" xr:uid="{63F76918-51CD-4A5A-92D3-472472B826E1}"/>
    <cellStyle name="40% - Accent5 7 3" xfId="5824" xr:uid="{00000000-0005-0000-0000-0000D9060000}"/>
    <cellStyle name="40% - Accent5 7 3 2" xfId="15150" xr:uid="{B44A3977-913C-4E72-9F04-41B7FA1BAAD9}"/>
    <cellStyle name="40% - Accent5 7 3 3" xfId="24449" xr:uid="{3CA911AA-2114-4408-A1FA-B1A01E364A9A}"/>
    <cellStyle name="40% - Accent5 7 4" xfId="10933" xr:uid="{A33C469E-155A-4E41-8930-456ADD812AB6}"/>
    <cellStyle name="40% - Accent5 7 5" xfId="20232" xr:uid="{151E6059-ABD4-4C0B-8668-617F52FB9132}"/>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0444BB00-96C5-471E-A1DE-8432EA106B1B}"/>
    <cellStyle name="40% - Accent5 8 2 2 3" xfId="27007" xr:uid="{E41CC4FD-C86B-437E-8D18-D2C603A699F5}"/>
    <cellStyle name="40% - Accent5 8 2 3" xfId="13491" xr:uid="{0CAC9A28-AA7A-4C65-9821-422B8D5AEE9C}"/>
    <cellStyle name="40% - Accent5 8 2 4" xfId="22790" xr:uid="{AA534AE7-30B6-41CE-884C-4D9DDAA51540}"/>
    <cellStyle name="40% - Accent5 8 3" xfId="6237" xr:uid="{00000000-0005-0000-0000-0000DD060000}"/>
    <cellStyle name="40% - Accent5 8 3 2" xfId="15563" xr:uid="{0E03B835-F698-4C38-8351-4C95DBBC0843}"/>
    <cellStyle name="40% - Accent5 8 3 3" xfId="24862" xr:uid="{E48AA836-A08F-48B3-B501-6772AB3ADF8B}"/>
    <cellStyle name="40% - Accent5 8 4" xfId="11346" xr:uid="{4478CAE7-831B-4A83-AB64-9EAFAA8BC679}"/>
    <cellStyle name="40% - Accent5 8 5" xfId="20645" xr:uid="{130883A8-D9F6-40F9-9625-22164E8155E0}"/>
    <cellStyle name="40% - Accent5 9" xfId="2344" xr:uid="{00000000-0005-0000-0000-0000DE060000}"/>
    <cellStyle name="40% - Accent5 9 2" xfId="6650" xr:uid="{00000000-0005-0000-0000-0000DF060000}"/>
    <cellStyle name="40% - Accent5 9 2 2" xfId="15976" xr:uid="{8B204303-D24E-48DB-AC9A-02860FB9F95C}"/>
    <cellStyle name="40% - Accent5 9 2 3" xfId="25275" xr:uid="{C21BE846-279E-4912-8808-2A0834BA1928}"/>
    <cellStyle name="40% - Accent5 9 3" xfId="11759" xr:uid="{D8332F2F-2BE3-4ECE-AC25-36531CBD0E09}"/>
    <cellStyle name="40% - Accent5 9 4" xfId="21058" xr:uid="{796C7ADF-4204-4367-BA62-B2FFBCA39AE7}"/>
    <cellStyle name="40% - Accent6" xfId="89" builtinId="51" customBuiltin="1"/>
    <cellStyle name="40% - Accent6 10" xfId="4592" xr:uid="{00000000-0005-0000-0000-0000E1060000}"/>
    <cellStyle name="40% - Accent6 10 2" xfId="13918" xr:uid="{A7138497-C240-4C46-952B-1ED345184C26}"/>
    <cellStyle name="40% - Accent6 10 3" xfId="23217" xr:uid="{5238BAA1-954E-4538-B631-9F7C26726479}"/>
    <cellStyle name="40% - Accent6 11" xfId="8769" xr:uid="{8369FE49-3815-490F-BF3A-3BEB88E35DFA}"/>
    <cellStyle name="40% - Accent6 11 2" xfId="18093" xr:uid="{1098FBC5-5628-42CA-AA20-0C304D10AD3A}"/>
    <cellStyle name="40% - Accent6 11 3" xfId="27391" xr:uid="{5ABEF61F-BD69-427E-8230-85E2B4AED358}"/>
    <cellStyle name="40% - Accent6 12" xfId="9701" xr:uid="{5F4CC0EC-9A58-41A3-90FD-6EC1EC1AEA3B}"/>
    <cellStyle name="40% - Accent6 13" xfId="19000" xr:uid="{C4B73A1B-27AF-4531-8405-1E7325782452}"/>
    <cellStyle name="40% - Accent6 2" xfId="90" xr:uid="{00000000-0005-0000-0000-0000E2060000}"/>
    <cellStyle name="40% - Accent6 2 10" xfId="8803" xr:uid="{3530B69D-EB1D-41EA-A6FB-440FE4FE29AB}"/>
    <cellStyle name="40% - Accent6 2 10 2" xfId="18127" xr:uid="{5E8D3864-D94B-49E2-A0F8-2F2B82B339DB}"/>
    <cellStyle name="40% - Accent6 2 10 3" xfId="27425" xr:uid="{70009944-520B-4490-B595-96350C09E444}"/>
    <cellStyle name="40% - Accent6 2 11" xfId="9702" xr:uid="{FC13F844-167B-42F7-8FFA-CADBD0A73702}"/>
    <cellStyle name="40% - Accent6 2 12" xfId="19001" xr:uid="{925B0438-AA9C-4C61-A572-0BE1718F692F}"/>
    <cellStyle name="40% - Accent6 2 2" xfId="91" xr:uid="{00000000-0005-0000-0000-0000E3060000}"/>
    <cellStyle name="40% - Accent6 2 2 10" xfId="9703" xr:uid="{B8CBC54B-C5DB-4D05-BD69-527CFD2B85D3}"/>
    <cellStyle name="40% - Accent6 2 2 11" xfId="19002" xr:uid="{C3827525-5721-4C87-B3A8-4FBCEF3CE97B}"/>
    <cellStyle name="40% - Accent6 2 2 2" xfId="92" xr:uid="{00000000-0005-0000-0000-0000E4060000}"/>
    <cellStyle name="40% - Accent6 2 2 2 10" xfId="19003" xr:uid="{83912A30-0FC2-4938-88D4-612D98E5F6FA}"/>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4033D292-3E41-485D-B4EE-E38B3E3AAA8A}"/>
    <cellStyle name="40% - Accent6 2 2 2 2 2 2 3" xfId="25779" xr:uid="{CC482E3F-A457-4655-B233-5D49AE659B9A}"/>
    <cellStyle name="40% - Accent6 2 2 2 2 2 3" xfId="12263" xr:uid="{EDED97E1-F7C3-4816-A1B3-C69811713AAF}"/>
    <cellStyle name="40% - Accent6 2 2 2 2 2 4" xfId="21562" xr:uid="{6BBB9D4C-02ED-4DCE-87A6-615937FD3A7A}"/>
    <cellStyle name="40% - Accent6 2 2 2 2 3" xfId="5009" xr:uid="{00000000-0005-0000-0000-0000E8060000}"/>
    <cellStyle name="40% - Accent6 2 2 2 2 3 2" xfId="14335" xr:uid="{2215B1D8-4F26-4D3D-A82B-B4AE36C0C7C4}"/>
    <cellStyle name="40% - Accent6 2 2 2 2 3 3" xfId="23634" xr:uid="{1637EA77-3289-4E49-B571-82DAB2CF2F1A}"/>
    <cellStyle name="40% - Accent6 2 2 2 2 4" xfId="9538" xr:uid="{D1801D0B-FDF1-4C59-8DE2-DEC53081BC5D}"/>
    <cellStyle name="40% - Accent6 2 2 2 2 4 2" xfId="18853" xr:uid="{EAEDA01C-A54F-4255-8952-8C8DF7A75D6A}"/>
    <cellStyle name="40% - Accent6 2 2 2 2 4 3" xfId="28150" xr:uid="{011C0BEA-323B-4C69-A5D9-188E8BB46B6A}"/>
    <cellStyle name="40% - Accent6 2 2 2 2 5" xfId="10118" xr:uid="{3E508DFD-2FA5-4C0B-9C63-392279A5E5C2}"/>
    <cellStyle name="40% - Accent6 2 2 2 2 6" xfId="19417" xr:uid="{4057F5F6-75DD-4D3B-B511-6B22616666D3}"/>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2429CEF9-A760-4362-96E3-BF1A6C04F081}"/>
    <cellStyle name="40% - Accent6 2 2 2 3 2 2 3" xfId="26192" xr:uid="{0E11F15A-2646-447C-AEFC-18949D5520F5}"/>
    <cellStyle name="40% - Accent6 2 2 2 3 2 3" xfId="12676" xr:uid="{4204326A-B2E9-4A07-B5E3-5DF727AB5519}"/>
    <cellStyle name="40% - Accent6 2 2 2 3 2 4" xfId="21975" xr:uid="{52DB93E7-D50A-49BE-91C2-69964875B447}"/>
    <cellStyle name="40% - Accent6 2 2 2 3 3" xfId="5422" xr:uid="{00000000-0005-0000-0000-0000EC060000}"/>
    <cellStyle name="40% - Accent6 2 2 2 3 3 2" xfId="14748" xr:uid="{328C47A2-FC4C-4566-A2C3-BC7BF1CC7A00}"/>
    <cellStyle name="40% - Accent6 2 2 2 3 3 3" xfId="24047" xr:uid="{6934ED39-0062-4FF3-AF99-EF7A92D002A7}"/>
    <cellStyle name="40% - Accent6 2 2 2 3 4" xfId="10531" xr:uid="{8A0B353D-5DE9-4F91-9359-25A31B84C7F5}"/>
    <cellStyle name="40% - Accent6 2 2 2 3 5" xfId="19830" xr:uid="{48CCE537-C5AC-4714-AC0D-D1D5D2AADE2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A55BF74E-1E49-4ABA-9FCB-2511EC233C9E}"/>
    <cellStyle name="40% - Accent6 2 2 2 4 2 2 3" xfId="26605" xr:uid="{06CA6B33-884D-4E0E-A468-A463D9ECD2D4}"/>
    <cellStyle name="40% - Accent6 2 2 2 4 2 3" xfId="13089" xr:uid="{72FCF33E-742E-4E37-86AC-4AEDDF32C3A8}"/>
    <cellStyle name="40% - Accent6 2 2 2 4 2 4" xfId="22388" xr:uid="{AB3362A4-E1E0-4EFA-87E1-D4D14298D622}"/>
    <cellStyle name="40% - Accent6 2 2 2 4 3" xfId="5835" xr:uid="{00000000-0005-0000-0000-0000F0060000}"/>
    <cellStyle name="40% - Accent6 2 2 2 4 3 2" xfId="15161" xr:uid="{4D46D9B5-3418-4B5B-AB53-D2FC1E6E0082}"/>
    <cellStyle name="40% - Accent6 2 2 2 4 3 3" xfId="24460" xr:uid="{2B12E20E-3450-4351-B83E-B34DAE6ABE75}"/>
    <cellStyle name="40% - Accent6 2 2 2 4 4" xfId="10944" xr:uid="{C0E7F2D4-051C-424C-9FF8-E8E5FAF5E57A}"/>
    <cellStyle name="40% - Accent6 2 2 2 4 5" xfId="20243" xr:uid="{CD0F7D79-C5AC-4A40-AB0D-DA4A2A1072AC}"/>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FF26A3C6-414C-4170-954F-AC604417D45E}"/>
    <cellStyle name="40% - Accent6 2 2 2 5 2 2 3" xfId="27018" xr:uid="{C6E7F61B-0604-48C1-B8D2-74073A72C7ED}"/>
    <cellStyle name="40% - Accent6 2 2 2 5 2 3" xfId="13502" xr:uid="{9CD8B85C-76EF-4A3B-8438-7837D3F6F05C}"/>
    <cellStyle name="40% - Accent6 2 2 2 5 2 4" xfId="22801" xr:uid="{89C4191A-A943-49C9-9717-66024BAAFBF1}"/>
    <cellStyle name="40% - Accent6 2 2 2 5 3" xfId="6248" xr:uid="{00000000-0005-0000-0000-0000F4060000}"/>
    <cellStyle name="40% - Accent6 2 2 2 5 3 2" xfId="15574" xr:uid="{13D31833-1835-43DE-879A-275B5DA25861}"/>
    <cellStyle name="40% - Accent6 2 2 2 5 3 3" xfId="24873" xr:uid="{00E808A1-B927-40E3-A1D1-CCA686B5BF29}"/>
    <cellStyle name="40% - Accent6 2 2 2 5 4" xfId="11357" xr:uid="{27A80942-AA77-4E93-ADAB-00959C678163}"/>
    <cellStyle name="40% - Accent6 2 2 2 5 5" xfId="20656" xr:uid="{134B1700-6AF7-4001-BAE6-82B7A0FDBD86}"/>
    <cellStyle name="40% - Accent6 2 2 2 6" xfId="2355" xr:uid="{00000000-0005-0000-0000-0000F5060000}"/>
    <cellStyle name="40% - Accent6 2 2 2 6 2" xfId="6661" xr:uid="{00000000-0005-0000-0000-0000F6060000}"/>
    <cellStyle name="40% - Accent6 2 2 2 6 2 2" xfId="15987" xr:uid="{8F8E5DAD-EEB2-457D-95DF-A200397A77DF}"/>
    <cellStyle name="40% - Accent6 2 2 2 6 2 3" xfId="25286" xr:uid="{F08A98CC-E08D-457D-892D-5162457A252A}"/>
    <cellStyle name="40% - Accent6 2 2 2 6 3" xfId="11770" xr:uid="{C011F46B-89A2-47F6-A882-9E46E814E676}"/>
    <cellStyle name="40% - Accent6 2 2 2 6 4" xfId="21069" xr:uid="{44A1D2F0-4EB8-4E65-9CC5-2DB251911569}"/>
    <cellStyle name="40% - Accent6 2 2 2 7" xfId="4595" xr:uid="{00000000-0005-0000-0000-0000F7060000}"/>
    <cellStyle name="40% - Accent6 2 2 2 7 2" xfId="13921" xr:uid="{7B49F93E-ED19-4F68-AF81-B66043CDBD8D}"/>
    <cellStyle name="40% - Accent6 2 2 2 7 3" xfId="23220" xr:uid="{747043B2-E4A7-49E7-87E1-265309296E5D}"/>
    <cellStyle name="40% - Accent6 2 2 2 8" xfId="9113" xr:uid="{D9373B4A-E1DA-437A-874A-FCE4D00708EB}"/>
    <cellStyle name="40% - Accent6 2 2 2 8 2" xfId="18437" xr:uid="{A65605AB-CD5E-400C-9271-F159B988277E}"/>
    <cellStyle name="40% - Accent6 2 2 2 8 3" xfId="27735" xr:uid="{DB381E88-FD48-4FB1-8981-302B00EE894A}"/>
    <cellStyle name="40% - Accent6 2 2 2 9" xfId="9704" xr:uid="{D3C3EB70-D6A7-4145-956E-91608AC93F05}"/>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6D2035AA-0E68-4CF3-9DFF-95A01130103E}"/>
    <cellStyle name="40% - Accent6 2 2 3 2 2 3" xfId="25778" xr:uid="{F75C7F12-2E96-4CFF-88AB-2DB755EEE0C0}"/>
    <cellStyle name="40% - Accent6 2 2 3 2 3" xfId="12262" xr:uid="{4CDE4BDC-7304-431E-8BA3-ED7E6AA3285C}"/>
    <cellStyle name="40% - Accent6 2 2 3 2 4" xfId="21561" xr:uid="{4EEBB402-4A35-4668-9EC2-9248E1126265}"/>
    <cellStyle name="40% - Accent6 2 2 3 3" xfId="5008" xr:uid="{00000000-0005-0000-0000-0000FB060000}"/>
    <cellStyle name="40% - Accent6 2 2 3 3 2" xfId="14334" xr:uid="{C173B70D-B28F-4F4A-89C0-0A6DF43361D4}"/>
    <cellStyle name="40% - Accent6 2 2 3 3 3" xfId="23633" xr:uid="{90D00565-657E-49F6-A527-B431DE2D4BD3}"/>
    <cellStyle name="40% - Accent6 2 2 3 4" xfId="9331" xr:uid="{223B62DA-AA8A-4703-B6D5-D6AA8918B034}"/>
    <cellStyle name="40% - Accent6 2 2 3 4 2" xfId="18646" xr:uid="{6D97C6DE-6827-4576-B047-6390B1F014BA}"/>
    <cellStyle name="40% - Accent6 2 2 3 4 3" xfId="27943" xr:uid="{B5C80C78-7E7B-402B-BD1E-3FA186C0EE56}"/>
    <cellStyle name="40% - Accent6 2 2 3 5" xfId="10117" xr:uid="{8C8481FF-B052-44A6-B742-D7D042A168A7}"/>
    <cellStyle name="40% - Accent6 2 2 3 6" xfId="19416" xr:uid="{3661672E-5520-4D2D-BD1D-806B50A6F112}"/>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236BF87B-8B90-4B5F-8FBF-6935338305DA}"/>
    <cellStyle name="40% - Accent6 2 2 4 2 2 3" xfId="26191" xr:uid="{8A32578F-6020-49E2-B401-25D2B7A4C4D9}"/>
    <cellStyle name="40% - Accent6 2 2 4 2 3" xfId="12675" xr:uid="{E26AE413-D584-4572-9867-F7B58FC3AF8D}"/>
    <cellStyle name="40% - Accent6 2 2 4 2 4" xfId="21974" xr:uid="{03B468B8-F4AA-4D3C-B772-E2D5135C9D11}"/>
    <cellStyle name="40% - Accent6 2 2 4 3" xfId="5421" xr:uid="{00000000-0005-0000-0000-0000FF060000}"/>
    <cellStyle name="40% - Accent6 2 2 4 3 2" xfId="14747" xr:uid="{89C993A4-69AB-4F1A-A929-21249D386F09}"/>
    <cellStyle name="40% - Accent6 2 2 4 3 3" xfId="24046" xr:uid="{0A1E8ED5-8D06-40A2-A78E-CFDC33811F64}"/>
    <cellStyle name="40% - Accent6 2 2 4 4" xfId="10530" xr:uid="{D6A6FEE7-1B8C-4C15-9F77-5AC55DC9DB08}"/>
    <cellStyle name="40% - Accent6 2 2 4 5" xfId="19829" xr:uid="{2DC2919A-C6A0-45BD-B73D-82E7E11B7A4B}"/>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EEF3D563-C6AB-43E2-B225-68F14FF4809D}"/>
    <cellStyle name="40% - Accent6 2 2 5 2 2 3" xfId="26604" xr:uid="{67EB635F-D494-4DC7-A01C-C5B8D1464599}"/>
    <cellStyle name="40% - Accent6 2 2 5 2 3" xfId="13088" xr:uid="{16A2B89B-FA22-4C17-B0AD-CF758293FB63}"/>
    <cellStyle name="40% - Accent6 2 2 5 2 4" xfId="22387" xr:uid="{81850DC9-5BDC-45B9-B690-0CE714A9BA07}"/>
    <cellStyle name="40% - Accent6 2 2 5 3" xfId="5834" xr:uid="{00000000-0005-0000-0000-000003070000}"/>
    <cellStyle name="40% - Accent6 2 2 5 3 2" xfId="15160" xr:uid="{74E9D0DA-B2FD-4994-AC1F-2EDAE78AA54B}"/>
    <cellStyle name="40% - Accent6 2 2 5 3 3" xfId="24459" xr:uid="{BD3AA641-8172-4B06-8A9E-187A6D7AF642}"/>
    <cellStyle name="40% - Accent6 2 2 5 4" xfId="10943" xr:uid="{6B9263E4-4738-4E16-B107-799160E9761F}"/>
    <cellStyle name="40% - Accent6 2 2 5 5" xfId="20242" xr:uid="{1D2A5FE4-B79F-47C9-878B-5EB1C555FED3}"/>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99331833-E7C3-4FED-A088-275A6B6017DD}"/>
    <cellStyle name="40% - Accent6 2 2 6 2 2 3" xfId="27017" xr:uid="{31303B09-1642-43E7-9A9C-3299525E37D9}"/>
    <cellStyle name="40% - Accent6 2 2 6 2 3" xfId="13501" xr:uid="{D5C080D8-9DDC-4A81-A8CE-EA182339C4BC}"/>
    <cellStyle name="40% - Accent6 2 2 6 2 4" xfId="22800" xr:uid="{0E663528-544A-4F5A-ABE7-A7D122C62042}"/>
    <cellStyle name="40% - Accent6 2 2 6 3" xfId="6247" xr:uid="{00000000-0005-0000-0000-000007070000}"/>
    <cellStyle name="40% - Accent6 2 2 6 3 2" xfId="15573" xr:uid="{69AD401C-4AEA-46A7-9EDD-F0E5CA27E77D}"/>
    <cellStyle name="40% - Accent6 2 2 6 3 3" xfId="24872" xr:uid="{2F30ED8B-1329-421A-A4B4-445013220F26}"/>
    <cellStyle name="40% - Accent6 2 2 6 4" xfId="11356" xr:uid="{BB7358EE-57AB-46BF-9492-1D5956CD01BD}"/>
    <cellStyle name="40% - Accent6 2 2 6 5" xfId="20655" xr:uid="{F0615769-6C68-4A42-B1C3-B366CBECF030}"/>
    <cellStyle name="40% - Accent6 2 2 7" xfId="2354" xr:uid="{00000000-0005-0000-0000-000008070000}"/>
    <cellStyle name="40% - Accent6 2 2 7 2" xfId="6660" xr:uid="{00000000-0005-0000-0000-000009070000}"/>
    <cellStyle name="40% - Accent6 2 2 7 2 2" xfId="15986" xr:uid="{5A0C31FB-0528-4832-9B10-39599B629E88}"/>
    <cellStyle name="40% - Accent6 2 2 7 2 3" xfId="25285" xr:uid="{5723F3CE-8A5D-4C67-9D35-A775AA74DD44}"/>
    <cellStyle name="40% - Accent6 2 2 7 3" xfId="11769" xr:uid="{9EFC9464-62BF-4221-ABA8-247BB2601FC5}"/>
    <cellStyle name="40% - Accent6 2 2 7 4" xfId="21068" xr:uid="{B4700697-3FEE-4CA2-B4C4-432742685A52}"/>
    <cellStyle name="40% - Accent6 2 2 8" xfId="4594" xr:uid="{00000000-0005-0000-0000-00000A070000}"/>
    <cellStyle name="40% - Accent6 2 2 8 2" xfId="13920" xr:uid="{631235BE-C548-447D-9698-115FB1B92E7F}"/>
    <cellStyle name="40% - Accent6 2 2 8 3" xfId="23219" xr:uid="{DA03A773-6A4F-4590-90EA-7C1499E14479}"/>
    <cellStyle name="40% - Accent6 2 2 9" xfId="8906" xr:uid="{C30FCA09-BA1A-4F54-9397-4FC676425C46}"/>
    <cellStyle name="40% - Accent6 2 2 9 2" xfId="18230" xr:uid="{034CC225-2DD3-4349-85CB-50474C5BDEF1}"/>
    <cellStyle name="40% - Accent6 2 2 9 3" xfId="27528" xr:uid="{AA168B7A-DA0D-41F9-B17A-0F42D907DA67}"/>
    <cellStyle name="40% - Accent6 2 3" xfId="93" xr:uid="{00000000-0005-0000-0000-00000B070000}"/>
    <cellStyle name="40% - Accent6 2 3 10" xfId="19004" xr:uid="{BC41A308-30A5-46A7-AD0E-AB66121498F5}"/>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3D272B2B-FD78-4A88-B715-DFB07C61A88D}"/>
    <cellStyle name="40% - Accent6 2 3 2 2 2 3" xfId="25780" xr:uid="{A37C274A-76EE-47FD-9C1C-71F25230291F}"/>
    <cellStyle name="40% - Accent6 2 3 2 2 3" xfId="12264" xr:uid="{60A356AA-5749-4D7C-A4CE-1F47D144862A}"/>
    <cellStyle name="40% - Accent6 2 3 2 2 4" xfId="21563" xr:uid="{33859F51-B16B-46F4-9F04-8D3DCC6B586B}"/>
    <cellStyle name="40% - Accent6 2 3 2 3" xfId="5010" xr:uid="{00000000-0005-0000-0000-00000F070000}"/>
    <cellStyle name="40% - Accent6 2 3 2 3 2" xfId="14336" xr:uid="{2D071688-3213-414A-84D4-2DB26483DED6}"/>
    <cellStyle name="40% - Accent6 2 3 2 3 3" xfId="23635" xr:uid="{2892F803-5A0D-44C5-998A-6C9B0546BA37}"/>
    <cellStyle name="40% - Accent6 2 3 2 4" xfId="9435" xr:uid="{36535681-1736-4584-8CB6-F8F38C9E0E5B}"/>
    <cellStyle name="40% - Accent6 2 3 2 4 2" xfId="18750" xr:uid="{9B7440B8-97DD-4C6E-94C5-30586D097861}"/>
    <cellStyle name="40% - Accent6 2 3 2 4 3" xfId="28047" xr:uid="{E4322799-3E78-47D2-9682-4B915A024DCB}"/>
    <cellStyle name="40% - Accent6 2 3 2 5" xfId="10119" xr:uid="{36F33D99-81C6-42DC-A42A-87E0C90AA863}"/>
    <cellStyle name="40% - Accent6 2 3 2 6" xfId="19418" xr:uid="{3A0F1986-B614-41D9-AFD4-45DE833ED0E8}"/>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FA10CC7C-999D-44B4-A176-1BAED28B6620}"/>
    <cellStyle name="40% - Accent6 2 3 3 2 2 3" xfId="26193" xr:uid="{1869049C-FDD7-4F55-AAB7-1C57126E8975}"/>
    <cellStyle name="40% - Accent6 2 3 3 2 3" xfId="12677" xr:uid="{197152B3-6AAC-41F0-808A-EC9466C2465D}"/>
    <cellStyle name="40% - Accent6 2 3 3 2 4" xfId="21976" xr:uid="{216CC036-6B9B-41D1-9977-97605C3689FF}"/>
    <cellStyle name="40% - Accent6 2 3 3 3" xfId="5423" xr:uid="{00000000-0005-0000-0000-000013070000}"/>
    <cellStyle name="40% - Accent6 2 3 3 3 2" xfId="14749" xr:uid="{F210B109-3221-45E1-9DC4-26F6FDAF61CA}"/>
    <cellStyle name="40% - Accent6 2 3 3 3 3" xfId="24048" xr:uid="{622BCE8A-98D7-47C5-9157-95344AD7292A}"/>
    <cellStyle name="40% - Accent6 2 3 3 4" xfId="10532" xr:uid="{367D85A7-635F-4182-945C-087FD66255C4}"/>
    <cellStyle name="40% - Accent6 2 3 3 5" xfId="19831" xr:uid="{B31B841D-1F08-466F-9723-7912564A8017}"/>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FAB279BF-8C42-429E-919A-207C61FEB358}"/>
    <cellStyle name="40% - Accent6 2 3 4 2 2 3" xfId="26606" xr:uid="{AD85D0DA-AECC-4020-B405-A6DDDC0728E4}"/>
    <cellStyle name="40% - Accent6 2 3 4 2 3" xfId="13090" xr:uid="{053D12D6-2AEA-450F-9B5C-5A426C43366A}"/>
    <cellStyle name="40% - Accent6 2 3 4 2 4" xfId="22389" xr:uid="{65D24D8F-75EB-489F-A0A4-4B794DF12F8B}"/>
    <cellStyle name="40% - Accent6 2 3 4 3" xfId="5836" xr:uid="{00000000-0005-0000-0000-000017070000}"/>
    <cellStyle name="40% - Accent6 2 3 4 3 2" xfId="15162" xr:uid="{E914B67D-4FA1-483B-8FE2-14FA76CA6C44}"/>
    <cellStyle name="40% - Accent6 2 3 4 3 3" xfId="24461" xr:uid="{FE57F5CD-5552-48D4-970D-59B6FF05F499}"/>
    <cellStyle name="40% - Accent6 2 3 4 4" xfId="10945" xr:uid="{A3098873-FA72-4202-AA2C-A2B10EB2EDE3}"/>
    <cellStyle name="40% - Accent6 2 3 4 5" xfId="20244" xr:uid="{2467BE6F-E56E-4F27-AB04-EFD17115D090}"/>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6F37AB93-1010-4DDE-AF84-4E4A6DD643E2}"/>
    <cellStyle name="40% - Accent6 2 3 5 2 2 3" xfId="27019" xr:uid="{28961BE1-787E-46C7-BB2C-7FC89FBA755B}"/>
    <cellStyle name="40% - Accent6 2 3 5 2 3" xfId="13503" xr:uid="{57A04F18-F091-468E-8151-1B134FD1A1CB}"/>
    <cellStyle name="40% - Accent6 2 3 5 2 4" xfId="22802" xr:uid="{C1A409EA-B019-454E-9804-CC11E18618D6}"/>
    <cellStyle name="40% - Accent6 2 3 5 3" xfId="6249" xr:uid="{00000000-0005-0000-0000-00001B070000}"/>
    <cellStyle name="40% - Accent6 2 3 5 3 2" xfId="15575" xr:uid="{B7E94323-9A91-4AC8-A48A-70FE9634D3C1}"/>
    <cellStyle name="40% - Accent6 2 3 5 3 3" xfId="24874" xr:uid="{AC3DA976-70BB-4E9F-BCEB-C2B0A1E7C8C1}"/>
    <cellStyle name="40% - Accent6 2 3 5 4" xfId="11358" xr:uid="{BDB60A85-4FAE-4667-9ABA-3311977B65B9}"/>
    <cellStyle name="40% - Accent6 2 3 5 5" xfId="20657" xr:uid="{D896D9B3-217B-48FA-83DD-5E82ABB2DF38}"/>
    <cellStyle name="40% - Accent6 2 3 6" xfId="2356" xr:uid="{00000000-0005-0000-0000-00001C070000}"/>
    <cellStyle name="40% - Accent6 2 3 6 2" xfId="6662" xr:uid="{00000000-0005-0000-0000-00001D070000}"/>
    <cellStyle name="40% - Accent6 2 3 6 2 2" xfId="15988" xr:uid="{8DA44D5A-B8D6-4081-AFA3-857A81D3AC07}"/>
    <cellStyle name="40% - Accent6 2 3 6 2 3" xfId="25287" xr:uid="{1A505E10-E0FF-4E89-A9E6-43FFF3CDDEF8}"/>
    <cellStyle name="40% - Accent6 2 3 6 3" xfId="11771" xr:uid="{5924A37B-554C-4454-B74C-AAD9FA114BA3}"/>
    <cellStyle name="40% - Accent6 2 3 6 4" xfId="21070" xr:uid="{D51897C8-32E7-4E6B-8EA5-7CE39D4E5090}"/>
    <cellStyle name="40% - Accent6 2 3 7" xfId="4596" xr:uid="{00000000-0005-0000-0000-00001E070000}"/>
    <cellStyle name="40% - Accent6 2 3 7 2" xfId="13922" xr:uid="{69FF99EB-266A-475B-9A35-2C67E35AD3AB}"/>
    <cellStyle name="40% - Accent6 2 3 7 3" xfId="23221" xr:uid="{F45481CE-704B-41CE-8193-F9D07C7419C1}"/>
    <cellStyle name="40% - Accent6 2 3 8" xfId="9010" xr:uid="{63E1B5F8-FE5F-441F-B768-94B1D98CB2B1}"/>
    <cellStyle name="40% - Accent6 2 3 8 2" xfId="18334" xr:uid="{B02852EB-47BA-4937-924E-B3A1C455EEC5}"/>
    <cellStyle name="40% - Accent6 2 3 8 3" xfId="27632" xr:uid="{4974F49D-D3E1-41E8-9031-3555CDE340BB}"/>
    <cellStyle name="40% - Accent6 2 3 9" xfId="9705" xr:uid="{3021776D-E0DE-4D98-B32E-09B9C8F783F0}"/>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2959C392-39BD-4456-B6DA-5D6414F47B95}"/>
    <cellStyle name="40% - Accent6 2 4 2 2 3" xfId="25777" xr:uid="{264B41D7-0DD3-43D3-B4F9-09281AED7A18}"/>
    <cellStyle name="40% - Accent6 2 4 2 3" xfId="12261" xr:uid="{7CC7DAAA-D472-46F2-BA12-8EE067105BC8}"/>
    <cellStyle name="40% - Accent6 2 4 2 4" xfId="21560" xr:uid="{B17FFA21-E859-461D-9FD9-9A47342541F2}"/>
    <cellStyle name="40% - Accent6 2 4 3" xfId="5007" xr:uid="{00000000-0005-0000-0000-000022070000}"/>
    <cellStyle name="40% - Accent6 2 4 3 2" xfId="14333" xr:uid="{256157D3-6200-4190-9BA5-36293B9ED3C0}"/>
    <cellStyle name="40% - Accent6 2 4 3 3" xfId="23632" xr:uid="{E8EB6BBC-1EEA-49B0-87A4-178CDB5C1644}"/>
    <cellStyle name="40% - Accent6 2 4 4" xfId="9227" xr:uid="{61BC3AC1-FAE9-47DF-8143-7EECE05FF8D3}"/>
    <cellStyle name="40% - Accent6 2 4 4 2" xfId="18543" xr:uid="{9E861555-E151-469C-8FF6-597ED5A44D49}"/>
    <cellStyle name="40% - Accent6 2 4 4 3" xfId="27840" xr:uid="{BF9B6FA6-F694-4DB4-99F8-3478A168812B}"/>
    <cellStyle name="40% - Accent6 2 4 5" xfId="10116" xr:uid="{FB101B8D-2570-44AE-AC7C-BF8E4ECAF34A}"/>
    <cellStyle name="40% - Accent6 2 4 6" xfId="19415" xr:uid="{746C7CDA-C6A1-43FC-8DD6-AF4B8C928497}"/>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00908505-113D-4E3E-BB65-4684F48133F2}"/>
    <cellStyle name="40% - Accent6 2 5 2 2 3" xfId="26190" xr:uid="{AF803BB1-4E74-41B0-ABE4-9B4C9F5C62E2}"/>
    <cellStyle name="40% - Accent6 2 5 2 3" xfId="12674" xr:uid="{3646662A-0DDC-472C-99D6-D462CE8DEF8E}"/>
    <cellStyle name="40% - Accent6 2 5 2 4" xfId="21973" xr:uid="{0F64E844-E614-489A-BCC5-B8819E541E79}"/>
    <cellStyle name="40% - Accent6 2 5 3" xfId="5420" xr:uid="{00000000-0005-0000-0000-000026070000}"/>
    <cellStyle name="40% - Accent6 2 5 3 2" xfId="14746" xr:uid="{0B308DBA-467F-40E9-B7E0-55F0ABD88825}"/>
    <cellStyle name="40% - Accent6 2 5 3 3" xfId="24045" xr:uid="{4E29B885-0281-468A-883D-9D8B06C58158}"/>
    <cellStyle name="40% - Accent6 2 5 4" xfId="10529" xr:uid="{791CB16E-71A0-42E8-A3CB-BD723DD2986D}"/>
    <cellStyle name="40% - Accent6 2 5 5" xfId="19828" xr:uid="{AD2614A6-FA7E-4591-8396-4A84EA1C39A1}"/>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75CFAC1B-BF0F-4D92-B1D6-AEFFFE00D101}"/>
    <cellStyle name="40% - Accent6 2 6 2 2 3" xfId="26603" xr:uid="{D984AF0C-5BAA-499C-8DCD-442ACD994806}"/>
    <cellStyle name="40% - Accent6 2 6 2 3" xfId="13087" xr:uid="{F10674F8-FA4B-4E50-89FC-A6B39EF804F9}"/>
    <cellStyle name="40% - Accent6 2 6 2 4" xfId="22386" xr:uid="{AEFD719C-F213-4595-B4CE-51B3925A5961}"/>
    <cellStyle name="40% - Accent6 2 6 3" xfId="5833" xr:uid="{00000000-0005-0000-0000-00002A070000}"/>
    <cellStyle name="40% - Accent6 2 6 3 2" xfId="15159" xr:uid="{9B87A6A8-BE41-4C25-BADF-23896A287838}"/>
    <cellStyle name="40% - Accent6 2 6 3 3" xfId="24458" xr:uid="{817BD472-6DD9-4E2D-BF3C-3B55784215E5}"/>
    <cellStyle name="40% - Accent6 2 6 4" xfId="10942" xr:uid="{86902A54-2145-4E91-B524-4FEFEC7770FD}"/>
    <cellStyle name="40% - Accent6 2 6 5" xfId="20241" xr:uid="{E3B2C4D8-9C88-40CB-ABD5-5F9F77196C4D}"/>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3C0ACB50-08F7-4093-AFE7-CACFEFA0DAF9}"/>
    <cellStyle name="40% - Accent6 2 7 2 2 3" xfId="27016" xr:uid="{442F8D14-336B-4128-A620-23BE391BEB18}"/>
    <cellStyle name="40% - Accent6 2 7 2 3" xfId="13500" xr:uid="{E2C1D19A-DD45-474A-AF8D-1836F443C3FE}"/>
    <cellStyle name="40% - Accent6 2 7 2 4" xfId="22799" xr:uid="{9F6F7BFA-0177-4A23-8D1A-9EF52377B52F}"/>
    <cellStyle name="40% - Accent6 2 7 3" xfId="6246" xr:uid="{00000000-0005-0000-0000-00002E070000}"/>
    <cellStyle name="40% - Accent6 2 7 3 2" xfId="15572" xr:uid="{EB825B20-EB57-4229-B2CF-7102B54B748C}"/>
    <cellStyle name="40% - Accent6 2 7 3 3" xfId="24871" xr:uid="{FD282A1C-B97E-4618-9A0D-CB2473B6127D}"/>
    <cellStyle name="40% - Accent6 2 7 4" xfId="11355" xr:uid="{2A041662-FC65-43C1-9A74-5D28708068D5}"/>
    <cellStyle name="40% - Accent6 2 7 5" xfId="20654" xr:uid="{44641B7B-2809-415E-B66A-4E576F8B2DFA}"/>
    <cellStyle name="40% - Accent6 2 8" xfId="2353" xr:uid="{00000000-0005-0000-0000-00002F070000}"/>
    <cellStyle name="40% - Accent6 2 8 2" xfId="6659" xr:uid="{00000000-0005-0000-0000-000030070000}"/>
    <cellStyle name="40% - Accent6 2 8 2 2" xfId="15985" xr:uid="{2840E770-2956-4404-95D0-E6185B6AAD8B}"/>
    <cellStyle name="40% - Accent6 2 8 2 3" xfId="25284" xr:uid="{1C2D1BE1-E409-4D84-AD41-E0F14B2B7D3F}"/>
    <cellStyle name="40% - Accent6 2 8 3" xfId="11768" xr:uid="{0F443955-B12F-4898-BB94-1C22F5ABEFE9}"/>
    <cellStyle name="40% - Accent6 2 8 4" xfId="21067" xr:uid="{CED4B03B-96D9-4CAF-9809-9D370E7380D2}"/>
    <cellStyle name="40% - Accent6 2 9" xfId="4593" xr:uid="{00000000-0005-0000-0000-000031070000}"/>
    <cellStyle name="40% - Accent6 2 9 2" xfId="13919" xr:uid="{51933FFB-0608-4633-BF7B-3E336AA1A52C}"/>
    <cellStyle name="40% - Accent6 2 9 3" xfId="23218" xr:uid="{FA82B461-85F8-4667-AEAD-952A97BA7A62}"/>
    <cellStyle name="40% - Accent6 3" xfId="94" xr:uid="{00000000-0005-0000-0000-000032070000}"/>
    <cellStyle name="40% - Accent6 3 10" xfId="9706" xr:uid="{5B2212BF-CDB7-421D-AC7E-34D1551CF465}"/>
    <cellStyle name="40% - Accent6 3 11" xfId="19005" xr:uid="{76156C02-914B-4125-8DF1-8134B6CE19AC}"/>
    <cellStyle name="40% - Accent6 3 2" xfId="95" xr:uid="{00000000-0005-0000-0000-000033070000}"/>
    <cellStyle name="40% - Accent6 3 2 10" xfId="19006" xr:uid="{8A3C5029-6D3B-4769-912D-AE896712564B}"/>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3C80AEB6-3A1B-4CF8-9526-10DB3AECDB9B}"/>
    <cellStyle name="40% - Accent6 3 2 2 2 2 3" xfId="25782" xr:uid="{199F859B-D079-4156-9AA4-14FA6B4E693E}"/>
    <cellStyle name="40% - Accent6 3 2 2 2 3" xfId="12266" xr:uid="{483504BE-DE1D-4B77-BBC0-4D201D49A91C}"/>
    <cellStyle name="40% - Accent6 3 2 2 2 4" xfId="21565" xr:uid="{273E8248-4AEC-47C8-940E-698D5911E1B1}"/>
    <cellStyle name="40% - Accent6 3 2 2 3" xfId="5012" xr:uid="{00000000-0005-0000-0000-000037070000}"/>
    <cellStyle name="40% - Accent6 3 2 2 3 2" xfId="14338" xr:uid="{67A5A7A4-54BF-4ABE-A1AD-4F49AC05832E}"/>
    <cellStyle name="40% - Accent6 3 2 2 3 3" xfId="23637" xr:uid="{6BD5F858-08BD-4BBD-90A3-B03340A81DA9}"/>
    <cellStyle name="40% - Accent6 3 2 2 4" xfId="9504" xr:uid="{23E46585-FD8F-4BA3-8B65-284D6884E4FD}"/>
    <cellStyle name="40% - Accent6 3 2 2 4 2" xfId="18819" xr:uid="{88FF0194-D56F-4DEA-B987-A548371C39F4}"/>
    <cellStyle name="40% - Accent6 3 2 2 4 3" xfId="28116" xr:uid="{EA1402C7-A5B1-470A-BA2A-7F0EEF3CE507}"/>
    <cellStyle name="40% - Accent6 3 2 2 5" xfId="10121" xr:uid="{B2E51317-28A0-4ADD-9D76-030C6F820BAB}"/>
    <cellStyle name="40% - Accent6 3 2 2 6" xfId="19420" xr:uid="{EC89F2A1-AD3E-4CDD-B007-E91F83242203}"/>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498951FC-AB99-4DC4-80D3-F40C4841EA7D}"/>
    <cellStyle name="40% - Accent6 3 2 3 2 2 3" xfId="26195" xr:uid="{79C45C50-DACB-48B0-AA02-1CED821F4048}"/>
    <cellStyle name="40% - Accent6 3 2 3 2 3" xfId="12679" xr:uid="{9FB3F768-A798-4FA0-AE66-5C1DEA1B2209}"/>
    <cellStyle name="40% - Accent6 3 2 3 2 4" xfId="21978" xr:uid="{191A7719-A040-47D7-AE2D-8947338CA996}"/>
    <cellStyle name="40% - Accent6 3 2 3 3" xfId="5425" xr:uid="{00000000-0005-0000-0000-00003B070000}"/>
    <cellStyle name="40% - Accent6 3 2 3 3 2" xfId="14751" xr:uid="{013B06C2-4AA9-4394-9071-44559C07D83B}"/>
    <cellStyle name="40% - Accent6 3 2 3 3 3" xfId="24050" xr:uid="{BCB752C2-542D-4E93-A9FA-1E45E35FF2A7}"/>
    <cellStyle name="40% - Accent6 3 2 3 4" xfId="10534" xr:uid="{0A47C03E-ECFC-4F4F-A605-E75CA7AB0E20}"/>
    <cellStyle name="40% - Accent6 3 2 3 5" xfId="19833" xr:uid="{3AA7F4ED-E336-4461-B7C9-B090F88C9E29}"/>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6AD0D753-2E9D-4A6C-A26D-7D9DEAB5D35E}"/>
    <cellStyle name="40% - Accent6 3 2 4 2 2 3" xfId="26608" xr:uid="{CDE7DD56-0BAD-4DDE-A45F-B400510FE241}"/>
    <cellStyle name="40% - Accent6 3 2 4 2 3" xfId="13092" xr:uid="{949D50AF-1860-4BF7-8E7C-505CF5C2EE32}"/>
    <cellStyle name="40% - Accent6 3 2 4 2 4" xfId="22391" xr:uid="{12F349FE-4B0C-4DD3-B52B-FC8C2C9CD5F9}"/>
    <cellStyle name="40% - Accent6 3 2 4 3" xfId="5838" xr:uid="{00000000-0005-0000-0000-00003F070000}"/>
    <cellStyle name="40% - Accent6 3 2 4 3 2" xfId="15164" xr:uid="{E18D2D68-D6F0-4205-BA6A-EAF4F9E37A8F}"/>
    <cellStyle name="40% - Accent6 3 2 4 3 3" xfId="24463" xr:uid="{069E4265-97BC-4D21-9330-03F48BE7C820}"/>
    <cellStyle name="40% - Accent6 3 2 4 4" xfId="10947" xr:uid="{5C347EE7-8C10-44A1-BECB-8C1AE1518470}"/>
    <cellStyle name="40% - Accent6 3 2 4 5" xfId="20246" xr:uid="{67B9F02D-2DEA-4271-87D1-F0BA87578FD2}"/>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6C3EEB6A-1A9D-4E56-802F-9A57F2DBD7B6}"/>
    <cellStyle name="40% - Accent6 3 2 5 2 2 3" xfId="27021" xr:uid="{053290E2-CFB7-40F4-8E78-5D3050FC3E04}"/>
    <cellStyle name="40% - Accent6 3 2 5 2 3" xfId="13505" xr:uid="{B7CF3FAE-FAE1-4067-A330-1A1EAB92C978}"/>
    <cellStyle name="40% - Accent6 3 2 5 2 4" xfId="22804" xr:uid="{FC5AE1AE-C4AD-42D3-964D-02CC16974058}"/>
    <cellStyle name="40% - Accent6 3 2 5 3" xfId="6251" xr:uid="{00000000-0005-0000-0000-000043070000}"/>
    <cellStyle name="40% - Accent6 3 2 5 3 2" xfId="15577" xr:uid="{8AAD5F53-A8FC-40DD-9C1F-7D2E2C983405}"/>
    <cellStyle name="40% - Accent6 3 2 5 3 3" xfId="24876" xr:uid="{8C7589E7-C740-44E9-885A-6B41BF418D79}"/>
    <cellStyle name="40% - Accent6 3 2 5 4" xfId="11360" xr:uid="{792FD303-DB67-4B14-B649-0138DF0DEF57}"/>
    <cellStyle name="40% - Accent6 3 2 5 5" xfId="20659" xr:uid="{986CED20-CCE3-4403-9188-846F6EF0E487}"/>
    <cellStyle name="40% - Accent6 3 2 6" xfId="2358" xr:uid="{00000000-0005-0000-0000-000044070000}"/>
    <cellStyle name="40% - Accent6 3 2 6 2" xfId="6664" xr:uid="{00000000-0005-0000-0000-000045070000}"/>
    <cellStyle name="40% - Accent6 3 2 6 2 2" xfId="15990" xr:uid="{3263DC5E-E6C8-4F99-9321-68F9DD6C5AE2}"/>
    <cellStyle name="40% - Accent6 3 2 6 2 3" xfId="25289" xr:uid="{649C475A-F418-457F-9D63-B44BAFA92D43}"/>
    <cellStyle name="40% - Accent6 3 2 6 3" xfId="11773" xr:uid="{4FF53F6F-0455-4E87-95EA-A98BA883BB79}"/>
    <cellStyle name="40% - Accent6 3 2 6 4" xfId="21072" xr:uid="{040EEC55-076A-4D8B-BC14-BB26CD7E0DCD}"/>
    <cellStyle name="40% - Accent6 3 2 7" xfId="4598" xr:uid="{00000000-0005-0000-0000-000046070000}"/>
    <cellStyle name="40% - Accent6 3 2 7 2" xfId="13924" xr:uid="{5603CDE0-E650-4AF5-867C-7278F712AFC9}"/>
    <cellStyle name="40% - Accent6 3 2 7 3" xfId="23223" xr:uid="{8D228B7E-FB85-44EC-9E8C-080921F4D22B}"/>
    <cellStyle name="40% - Accent6 3 2 8" xfId="9079" xr:uid="{7FA93E2E-699F-4676-8533-A3CC5F80D807}"/>
    <cellStyle name="40% - Accent6 3 2 8 2" xfId="18403" xr:uid="{8EA4CB68-B39D-4C2E-9324-2BBE004FD4E2}"/>
    <cellStyle name="40% - Accent6 3 2 8 3" xfId="27701" xr:uid="{8CD7126E-9AD8-423C-AD3E-FD81E5736874}"/>
    <cellStyle name="40% - Accent6 3 2 9" xfId="9707" xr:uid="{85A39436-E26F-4B2C-BA46-81C0FDB32015}"/>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9F923765-7752-4F6C-ABA7-CDD1F50A96D2}"/>
    <cellStyle name="40% - Accent6 3 3 2 2 3" xfId="25781" xr:uid="{C0089048-EB61-4D50-9277-6932CA9D3F24}"/>
    <cellStyle name="40% - Accent6 3 3 2 3" xfId="12265" xr:uid="{F62449C1-FF36-4531-84DC-549FDAB0045C}"/>
    <cellStyle name="40% - Accent6 3 3 2 4" xfId="21564" xr:uid="{DA7081FA-CFB3-4D07-AA02-0F9067497F8E}"/>
    <cellStyle name="40% - Accent6 3 3 3" xfId="5011" xr:uid="{00000000-0005-0000-0000-00004A070000}"/>
    <cellStyle name="40% - Accent6 3 3 3 2" xfId="14337" xr:uid="{62ED145C-3B57-4AE8-A543-EBE18A3AB4F0}"/>
    <cellStyle name="40% - Accent6 3 3 3 3" xfId="23636" xr:uid="{3653188C-2C30-4B33-9B4D-E701FCBB76DE}"/>
    <cellStyle name="40% - Accent6 3 3 4" xfId="9297" xr:uid="{1226E28F-09E7-4580-8D19-7F14AC1CB4B3}"/>
    <cellStyle name="40% - Accent6 3 3 4 2" xfId="18612" xr:uid="{0C8FE694-D952-4BC5-A47A-7D73EB79715C}"/>
    <cellStyle name="40% - Accent6 3 3 4 3" xfId="27909" xr:uid="{0E5F52E2-2B1F-4BFF-81BA-52380F477741}"/>
    <cellStyle name="40% - Accent6 3 3 5" xfId="10120" xr:uid="{4A26391F-49D3-4425-8FB8-EDEE92066040}"/>
    <cellStyle name="40% - Accent6 3 3 6" xfId="19419" xr:uid="{009AB82E-4C0E-446A-A458-8B838FE0DCD0}"/>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22B35FED-9301-49C1-A281-AAEFB96D147B}"/>
    <cellStyle name="40% - Accent6 3 4 2 2 3" xfId="26194" xr:uid="{1498A041-6BCD-4E74-8A78-01F05B737B5C}"/>
    <cellStyle name="40% - Accent6 3 4 2 3" xfId="12678" xr:uid="{F2251A72-BFC7-4834-8772-D48586CB6123}"/>
    <cellStyle name="40% - Accent6 3 4 2 4" xfId="21977" xr:uid="{8DFECE2A-CA3D-4FA7-9AC0-E25D5F6DFDCB}"/>
    <cellStyle name="40% - Accent6 3 4 3" xfId="5424" xr:uid="{00000000-0005-0000-0000-00004E070000}"/>
    <cellStyle name="40% - Accent6 3 4 3 2" xfId="14750" xr:uid="{8C1F4731-D5B3-4553-823D-67DA10928CE9}"/>
    <cellStyle name="40% - Accent6 3 4 3 3" xfId="24049" xr:uid="{7B50118D-4541-4CFA-AD1B-B7A72828E17A}"/>
    <cellStyle name="40% - Accent6 3 4 4" xfId="10533" xr:uid="{AAE296FE-E877-4403-A19A-8D48A42004D1}"/>
    <cellStyle name="40% - Accent6 3 4 5" xfId="19832" xr:uid="{4854BBF2-BCC9-441C-8818-13CF1DD6FCCC}"/>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76FC6C59-078E-4465-AEBF-10DF2A1388D0}"/>
    <cellStyle name="40% - Accent6 3 5 2 2 3" xfId="26607" xr:uid="{5AFE7944-2591-4EE8-A637-9F8B0E88C22B}"/>
    <cellStyle name="40% - Accent6 3 5 2 3" xfId="13091" xr:uid="{D52A291B-FB35-4072-A596-3E190FCC8DDA}"/>
    <cellStyle name="40% - Accent6 3 5 2 4" xfId="22390" xr:uid="{16E21826-E410-44A7-AFAF-F4191B1DBB9A}"/>
    <cellStyle name="40% - Accent6 3 5 3" xfId="5837" xr:uid="{00000000-0005-0000-0000-000052070000}"/>
    <cellStyle name="40% - Accent6 3 5 3 2" xfId="15163" xr:uid="{86EA3A6C-8A25-4CB6-B457-E8A0D2B82A01}"/>
    <cellStyle name="40% - Accent6 3 5 3 3" xfId="24462" xr:uid="{1E8BC6BB-D997-4B9E-B89B-AF0FD3478EBE}"/>
    <cellStyle name="40% - Accent6 3 5 4" xfId="10946" xr:uid="{31ED2B37-BD57-49F9-B5CC-776195BFB9F5}"/>
    <cellStyle name="40% - Accent6 3 5 5" xfId="20245" xr:uid="{B57B4256-AEA8-4E1D-A1E9-ABA960269781}"/>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D5273B87-DAB0-4F7E-AE71-077364E28123}"/>
    <cellStyle name="40% - Accent6 3 6 2 2 3" xfId="27020" xr:uid="{C8F41105-C3AA-4429-BAF4-54375581A9B8}"/>
    <cellStyle name="40% - Accent6 3 6 2 3" xfId="13504" xr:uid="{CDE0E0BE-29D1-4570-99E1-C524EA612DD7}"/>
    <cellStyle name="40% - Accent6 3 6 2 4" xfId="22803" xr:uid="{24DCDC1D-A378-43C5-A7F4-09AB95514259}"/>
    <cellStyle name="40% - Accent6 3 6 3" xfId="6250" xr:uid="{00000000-0005-0000-0000-000056070000}"/>
    <cellStyle name="40% - Accent6 3 6 3 2" xfId="15576" xr:uid="{52BC05A3-D212-487B-9B96-33AA840D904A}"/>
    <cellStyle name="40% - Accent6 3 6 3 3" xfId="24875" xr:uid="{6EE9F193-4B44-416B-BCE3-8C56E5C8E5E8}"/>
    <cellStyle name="40% - Accent6 3 6 4" xfId="11359" xr:uid="{2AE2B5C8-B4F7-433E-AA51-A0A99A1825D0}"/>
    <cellStyle name="40% - Accent6 3 6 5" xfId="20658" xr:uid="{E5A98E64-2D7C-4966-9777-D46357F686B5}"/>
    <cellStyle name="40% - Accent6 3 7" xfId="2357" xr:uid="{00000000-0005-0000-0000-000057070000}"/>
    <cellStyle name="40% - Accent6 3 7 2" xfId="6663" xr:uid="{00000000-0005-0000-0000-000058070000}"/>
    <cellStyle name="40% - Accent6 3 7 2 2" xfId="15989" xr:uid="{08EC00BD-5028-41AB-A291-C4E3BB2029D3}"/>
    <cellStyle name="40% - Accent6 3 7 2 3" xfId="25288" xr:uid="{F4F0588E-C618-4E26-8002-87D4897FC7F1}"/>
    <cellStyle name="40% - Accent6 3 7 3" xfId="11772" xr:uid="{9294E7C4-27BA-4FA5-AECD-E14A4D0497C0}"/>
    <cellStyle name="40% - Accent6 3 7 4" xfId="21071" xr:uid="{9371D39D-B6E5-450B-A0ED-35D4348D4227}"/>
    <cellStyle name="40% - Accent6 3 8" xfId="4597" xr:uid="{00000000-0005-0000-0000-000059070000}"/>
    <cellStyle name="40% - Accent6 3 8 2" xfId="13923" xr:uid="{8679B042-C2B6-4A79-91CC-99E94B64F06E}"/>
    <cellStyle name="40% - Accent6 3 8 3" xfId="23222" xr:uid="{9459A354-2832-469B-BD9D-896E8F9B02A2}"/>
    <cellStyle name="40% - Accent6 3 9" xfId="8872" xr:uid="{E018AF0F-504E-4DED-BF70-CC97997D74E9}"/>
    <cellStyle name="40% - Accent6 3 9 2" xfId="18196" xr:uid="{933B709A-1256-4A9A-90F9-FCFB6257FBBF}"/>
    <cellStyle name="40% - Accent6 3 9 3" xfId="27494" xr:uid="{4E08F19F-7CAB-4EEB-BF5D-76A9046430E0}"/>
    <cellStyle name="40% - Accent6 4" xfId="96" xr:uid="{00000000-0005-0000-0000-00005A070000}"/>
    <cellStyle name="40% - Accent6 4 10" xfId="19007" xr:uid="{D9BA4910-4FA5-4B6A-8AD4-2D19FE8851F8}"/>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AC8BE90A-8DD8-45C6-B9BA-E655889796C8}"/>
    <cellStyle name="40% - Accent6 4 2 2 2 3" xfId="25783" xr:uid="{4705BF75-73C8-4CDF-96C7-1FA3926BFE58}"/>
    <cellStyle name="40% - Accent6 4 2 2 3" xfId="12267" xr:uid="{D9E734FD-F690-4EA0-83E9-66EBC03AEAD2}"/>
    <cellStyle name="40% - Accent6 4 2 2 4" xfId="21566" xr:uid="{0A50ECFB-AD0E-4FDC-82E1-DF0E55ACF7EC}"/>
    <cellStyle name="40% - Accent6 4 2 3" xfId="5013" xr:uid="{00000000-0005-0000-0000-00005E070000}"/>
    <cellStyle name="40% - Accent6 4 2 3 2" xfId="14339" xr:uid="{B36FEC42-4AE1-4A05-B5FC-E1640D1D098D}"/>
    <cellStyle name="40% - Accent6 4 2 3 3" xfId="23638" xr:uid="{734D14EA-B5A8-4916-8057-19782F1BE525}"/>
    <cellStyle name="40% - Accent6 4 2 4" xfId="9383" xr:uid="{07C7426F-B517-4815-A0BF-2BAE02B26B53}"/>
    <cellStyle name="40% - Accent6 4 2 4 2" xfId="18698" xr:uid="{A4754306-C451-46FE-8F83-7E9117D7176A}"/>
    <cellStyle name="40% - Accent6 4 2 4 3" xfId="27995" xr:uid="{63002FB6-1D81-4D05-85A4-D626EA74E7D5}"/>
    <cellStyle name="40% - Accent6 4 2 5" xfId="10122" xr:uid="{491678C8-1F88-4FF6-8875-2187378E860A}"/>
    <cellStyle name="40% - Accent6 4 2 6" xfId="19421" xr:uid="{DA468492-C3ED-43F3-91B9-3D135993356B}"/>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F320C997-161D-4DB0-8EA2-B5814F8D7D29}"/>
    <cellStyle name="40% - Accent6 4 3 2 2 3" xfId="26196" xr:uid="{B18A8B7A-0BA8-49C2-A18E-DC482F9A701B}"/>
    <cellStyle name="40% - Accent6 4 3 2 3" xfId="12680" xr:uid="{913EE068-F63F-4DF0-8F6A-ADA441C429EC}"/>
    <cellStyle name="40% - Accent6 4 3 2 4" xfId="21979" xr:uid="{E8FC1DD4-2EF8-4ED6-AA35-99A2EC308385}"/>
    <cellStyle name="40% - Accent6 4 3 3" xfId="5426" xr:uid="{00000000-0005-0000-0000-000062070000}"/>
    <cellStyle name="40% - Accent6 4 3 3 2" xfId="14752" xr:uid="{9D7BCABD-D86B-4D61-AD50-A9DD464C2495}"/>
    <cellStyle name="40% - Accent6 4 3 3 3" xfId="24051" xr:uid="{74CA92E7-85D5-4014-A667-9DEDE20E2AF9}"/>
    <cellStyle name="40% - Accent6 4 3 4" xfId="10535" xr:uid="{80D0C83B-BA4F-4156-8C2C-C8ACB224778E}"/>
    <cellStyle name="40% - Accent6 4 3 5" xfId="19834" xr:uid="{B38B761D-9012-4F9E-8987-332CFC67BCC6}"/>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9033E6EA-CEAA-44E4-A651-9B2F2B8E2DAD}"/>
    <cellStyle name="40% - Accent6 4 4 2 2 3" xfId="26609" xr:uid="{2DAC475E-4805-4602-A810-FA2BE4B0A092}"/>
    <cellStyle name="40% - Accent6 4 4 2 3" xfId="13093" xr:uid="{35ACD610-6A4B-4AAB-9259-62DD67054167}"/>
    <cellStyle name="40% - Accent6 4 4 2 4" xfId="22392" xr:uid="{43279504-8253-4686-B098-68AF4F3D6336}"/>
    <cellStyle name="40% - Accent6 4 4 3" xfId="5839" xr:uid="{00000000-0005-0000-0000-000066070000}"/>
    <cellStyle name="40% - Accent6 4 4 3 2" xfId="15165" xr:uid="{4612F8EF-4F99-42B4-AA19-9B2E4FB32BB3}"/>
    <cellStyle name="40% - Accent6 4 4 3 3" xfId="24464" xr:uid="{9E1D7DB5-6892-4849-90A8-1C816A48014B}"/>
    <cellStyle name="40% - Accent6 4 4 4" xfId="10948" xr:uid="{DBC95CCE-167B-4B95-9CF8-279F79538F3C}"/>
    <cellStyle name="40% - Accent6 4 4 5" xfId="20247" xr:uid="{253C57E4-FC08-4760-88C1-87AE3D2BF3AB}"/>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B9ED4443-4AB7-434A-B341-06C515F0F232}"/>
    <cellStyle name="40% - Accent6 4 5 2 2 3" xfId="27022" xr:uid="{080FCA1F-DA06-40F3-8638-3D9A1D2B94D0}"/>
    <cellStyle name="40% - Accent6 4 5 2 3" xfId="13506" xr:uid="{E3617E63-AE34-42B4-960B-9DD8594985EE}"/>
    <cellStyle name="40% - Accent6 4 5 2 4" xfId="22805" xr:uid="{54C06161-AF2E-461A-B18C-123F7E1F7D55}"/>
    <cellStyle name="40% - Accent6 4 5 3" xfId="6252" xr:uid="{00000000-0005-0000-0000-00006A070000}"/>
    <cellStyle name="40% - Accent6 4 5 3 2" xfId="15578" xr:uid="{8AEE9F64-87A8-4F5F-B7C1-A5B39189778D}"/>
    <cellStyle name="40% - Accent6 4 5 3 3" xfId="24877" xr:uid="{6D325D49-371A-4D3E-A791-20522ED7E5B4}"/>
    <cellStyle name="40% - Accent6 4 5 4" xfId="11361" xr:uid="{D515A06D-1700-439D-85A8-5254413BACFF}"/>
    <cellStyle name="40% - Accent6 4 5 5" xfId="20660" xr:uid="{83E4C953-C1F5-452F-A415-35EE7CECA050}"/>
    <cellStyle name="40% - Accent6 4 6" xfId="2359" xr:uid="{00000000-0005-0000-0000-00006B070000}"/>
    <cellStyle name="40% - Accent6 4 6 2" xfId="6665" xr:uid="{00000000-0005-0000-0000-00006C070000}"/>
    <cellStyle name="40% - Accent6 4 6 2 2" xfId="15991" xr:uid="{3EF63B3B-E093-44A9-8883-663F728739E7}"/>
    <cellStyle name="40% - Accent6 4 6 2 3" xfId="25290" xr:uid="{6B12478C-3F7C-4C9E-A73C-BAF790ED9B90}"/>
    <cellStyle name="40% - Accent6 4 6 3" xfId="11774" xr:uid="{4300504C-40F0-468C-8605-6E36DA334333}"/>
    <cellStyle name="40% - Accent6 4 6 4" xfId="21073" xr:uid="{979A1925-DCA8-459D-9F02-C50AE761FA72}"/>
    <cellStyle name="40% - Accent6 4 7" xfId="4599" xr:uid="{00000000-0005-0000-0000-00006D070000}"/>
    <cellStyle name="40% - Accent6 4 7 2" xfId="13925" xr:uid="{C3B6B683-6C80-41BA-A5B9-0A3990B0C8F1}"/>
    <cellStyle name="40% - Accent6 4 7 3" xfId="23224" xr:uid="{BE9FF2F9-844C-412B-A4F0-24D6F375D75D}"/>
    <cellStyle name="40% - Accent6 4 8" xfId="8958" xr:uid="{058203D5-6D6D-4106-8D68-93F66B236239}"/>
    <cellStyle name="40% - Accent6 4 8 2" xfId="18282" xr:uid="{EE371A99-6005-4EAD-9F1E-C8568AB3EE07}"/>
    <cellStyle name="40% - Accent6 4 8 3" xfId="27580" xr:uid="{FE0A9902-B619-4139-8646-F10DD6BE51BA}"/>
    <cellStyle name="40% - Accent6 4 9" xfId="9708" xr:uid="{44ED0357-97A2-4C69-B18A-96C96EDF41EA}"/>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4D8E6442-3DA0-450B-876F-2427622AF644}"/>
    <cellStyle name="40% - Accent6 5 2 2 3" xfId="25776" xr:uid="{B7A759AD-E87A-4DCA-BF08-EE48BB48CEDA}"/>
    <cellStyle name="40% - Accent6 5 2 3" xfId="12260" xr:uid="{37A3F7DC-A9D7-4343-A760-2EEE29746BED}"/>
    <cellStyle name="40% - Accent6 5 2 4" xfId="21559" xr:uid="{023C2561-0E79-4679-824A-B442E34DAB69}"/>
    <cellStyle name="40% - Accent6 5 3" xfId="5006" xr:uid="{00000000-0005-0000-0000-000071070000}"/>
    <cellStyle name="40% - Accent6 5 3 2" xfId="14332" xr:uid="{775A5184-0461-40F5-AB44-DEA3E0B976AE}"/>
    <cellStyle name="40% - Accent6 5 3 3" xfId="23631" xr:uid="{DA66225D-C630-4AB5-8B92-9AE10DFBE395}"/>
    <cellStyle name="40% - Accent6 5 4" xfId="9192" xr:uid="{19661A88-B46A-4EF9-A9F3-4BCF8E242108}"/>
    <cellStyle name="40% - Accent6 5 4 2" xfId="18509" xr:uid="{9958451E-9A95-4F87-B192-F1F73E34BB6F}"/>
    <cellStyle name="40% - Accent6 5 4 3" xfId="27806" xr:uid="{EBB02220-6269-40CA-8934-AC6EC10B1D6B}"/>
    <cellStyle name="40% - Accent6 5 5" xfId="10115" xr:uid="{62690382-93FD-4B10-9ACC-769DD1FF19AA}"/>
    <cellStyle name="40% - Accent6 5 6" xfId="19414" xr:uid="{1D1FDAAD-6C75-46F5-A36C-9A22A3680B93}"/>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630C5BC1-413E-4E2E-B792-65F83F2B8706}"/>
    <cellStyle name="40% - Accent6 6 2 2 3" xfId="26189" xr:uid="{5017F3FC-ABFD-4FCB-BB35-D6929399F38B}"/>
    <cellStyle name="40% - Accent6 6 2 3" xfId="12673" xr:uid="{655556E3-08D8-4229-B776-0FD5788145CD}"/>
    <cellStyle name="40% - Accent6 6 2 4" xfId="21972" xr:uid="{EE85D78E-9FCE-4F17-B99D-07F6B4DF94F7}"/>
    <cellStyle name="40% - Accent6 6 3" xfId="5419" xr:uid="{00000000-0005-0000-0000-000075070000}"/>
    <cellStyle name="40% - Accent6 6 3 2" xfId="14745" xr:uid="{E5602CC3-E179-4E6B-8E94-5EBBE0439A95}"/>
    <cellStyle name="40% - Accent6 6 3 3" xfId="24044" xr:uid="{F97B3056-C4FB-4247-B8B2-7C2D83C21F40}"/>
    <cellStyle name="40% - Accent6 6 4" xfId="10528" xr:uid="{21D448BD-8250-4FED-8CA9-7C9A9BCB34AD}"/>
    <cellStyle name="40% - Accent6 6 5" xfId="19827" xr:uid="{F4121B1F-DCFB-4DA2-A5FA-0956E8F35DF3}"/>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90363695-C87C-43C1-A0B8-F4515F97AEFE}"/>
    <cellStyle name="40% - Accent6 7 2 2 3" xfId="26602" xr:uid="{73C0DFD9-7FB2-429E-97F8-4BB99A226D60}"/>
    <cellStyle name="40% - Accent6 7 2 3" xfId="13086" xr:uid="{67C2E3E5-2F35-447E-93E0-905406B58096}"/>
    <cellStyle name="40% - Accent6 7 2 4" xfId="22385" xr:uid="{E6DBE8C9-B5F4-4614-96C8-908A742527A2}"/>
    <cellStyle name="40% - Accent6 7 3" xfId="5832" xr:uid="{00000000-0005-0000-0000-000079070000}"/>
    <cellStyle name="40% - Accent6 7 3 2" xfId="15158" xr:uid="{53CE85E2-5CD9-40F8-BC56-FAE0A5368CA8}"/>
    <cellStyle name="40% - Accent6 7 3 3" xfId="24457" xr:uid="{5E672E28-23AF-4F88-B8C0-B6FADE2E30F2}"/>
    <cellStyle name="40% - Accent6 7 4" xfId="10941" xr:uid="{B84FD293-B383-4816-970E-D293D1AE97E4}"/>
    <cellStyle name="40% - Accent6 7 5" xfId="20240" xr:uid="{41AE2802-86A3-4CD5-A2F3-DAF1A4263CB1}"/>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23971363-6BDD-4577-8E2A-113B99BAA450}"/>
    <cellStyle name="40% - Accent6 8 2 2 3" xfId="27015" xr:uid="{8688F6C8-9C1E-4CE8-B33B-8AAAE9757436}"/>
    <cellStyle name="40% - Accent6 8 2 3" xfId="13499" xr:uid="{E8FF67C9-6141-45A8-8721-A1C6F61AAEB7}"/>
    <cellStyle name="40% - Accent6 8 2 4" xfId="22798" xr:uid="{646B5069-D176-4C7A-8926-B8D9256058F5}"/>
    <cellStyle name="40% - Accent6 8 3" xfId="6245" xr:uid="{00000000-0005-0000-0000-00007D070000}"/>
    <cellStyle name="40% - Accent6 8 3 2" xfId="15571" xr:uid="{27322E62-7241-4CBF-9F54-0B6910A96C4E}"/>
    <cellStyle name="40% - Accent6 8 3 3" xfId="24870" xr:uid="{866DD2E2-B457-4F5E-9436-95F36F120D45}"/>
    <cellStyle name="40% - Accent6 8 4" xfId="11354" xr:uid="{A303FD03-C60C-4804-8799-2A0081BA9F1A}"/>
    <cellStyle name="40% - Accent6 8 5" xfId="20653" xr:uid="{0BCB1B52-7000-47E4-AD31-C5906C8C7965}"/>
    <cellStyle name="40% - Accent6 9" xfId="2352" xr:uid="{00000000-0005-0000-0000-00007E070000}"/>
    <cellStyle name="40% - Accent6 9 2" xfId="6658" xr:uid="{00000000-0005-0000-0000-00007F070000}"/>
    <cellStyle name="40% - Accent6 9 2 2" xfId="15984" xr:uid="{5E1B5877-F4CF-4FC1-B9CC-3961FF55FD98}"/>
    <cellStyle name="40% - Accent6 9 2 3" xfId="25283" xr:uid="{8CD19764-D390-403A-8782-2223312A010B}"/>
    <cellStyle name="40% - Accent6 9 3" xfId="11767" xr:uid="{16BC7430-4E6E-40CF-870F-F0A56C3A59BC}"/>
    <cellStyle name="40% - Accent6 9 4" xfId="21066" xr:uid="{2E724374-4E93-46B8-A606-67A043F757F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741929A6-DAE9-4AF0-AB78-1D7DAA1B141B}"/>
    <cellStyle name="Comma 4 2 2 2 10 2 3" xfId="25608" xr:uid="{AEA615C7-8207-4D1B-9F05-08B46276F0CA}"/>
    <cellStyle name="Comma 4 2 2 2 10 3" xfId="12092" xr:uid="{203EE325-703C-4B89-A64E-C3FA2B322F26}"/>
    <cellStyle name="Comma 4 2 2 2 10 4" xfId="21391" xr:uid="{78E85EE4-FD0F-4034-AE0C-88C8CB440C44}"/>
    <cellStyle name="Comma 4 2 2 2 11" xfId="4600" xr:uid="{00000000-0005-0000-0000-0000A3070000}"/>
    <cellStyle name="Comma 4 2 2 2 11 2" xfId="13926" xr:uid="{DA47959D-CB27-49F5-B1CA-BF76EF90FAAF}"/>
    <cellStyle name="Comma 4 2 2 2 11 3" xfId="23225" xr:uid="{A8216EF0-FB65-436E-9167-F6E40E4F313C}"/>
    <cellStyle name="Comma 4 2 2 2 12" xfId="8806" xr:uid="{6C773D0B-D2E3-4A8C-B041-8DA2843B9E25}"/>
    <cellStyle name="Comma 4 2 2 2 12 2" xfId="18130" xr:uid="{CF73BBA3-046F-46DB-95D3-3FD3117D175B}"/>
    <cellStyle name="Comma 4 2 2 2 12 3" xfId="27428" xr:uid="{D16682C8-B73E-46AB-A213-D3A53592B637}"/>
    <cellStyle name="Comma 4 2 2 2 13" xfId="9709" xr:uid="{EAECD11F-4E0C-4B90-A861-21566F3FBC95}"/>
    <cellStyle name="Comma 4 2 2 2 14" xfId="19008" xr:uid="{3E3FCF8C-8E97-40CC-80BE-F482B1A883FE}"/>
    <cellStyle name="Comma 4 2 2 2 2" xfId="129" xr:uid="{00000000-0005-0000-0000-0000A4070000}"/>
    <cellStyle name="Comma 4 2 2 2 2 10" xfId="4601" xr:uid="{00000000-0005-0000-0000-0000A5070000}"/>
    <cellStyle name="Comma 4 2 2 2 2 10 2" xfId="13927" xr:uid="{D4DEFC93-F26A-4D84-8636-34C6FF4FDC08}"/>
    <cellStyle name="Comma 4 2 2 2 2 10 3" xfId="23226" xr:uid="{C457C9CD-4A70-49DC-B573-1103C5034948}"/>
    <cellStyle name="Comma 4 2 2 2 2 11" xfId="8909" xr:uid="{477FCE05-1F49-4658-A03C-A8A5E7983C47}"/>
    <cellStyle name="Comma 4 2 2 2 2 11 2" xfId="18233" xr:uid="{C66FC2F8-332A-401A-BB13-A43E58A17859}"/>
    <cellStyle name="Comma 4 2 2 2 2 11 3" xfId="27531" xr:uid="{915BCF06-9072-4F79-9DD6-14B31C274D23}"/>
    <cellStyle name="Comma 4 2 2 2 2 12" xfId="9710" xr:uid="{A2A31048-1692-4E11-8497-83ADF5A43268}"/>
    <cellStyle name="Comma 4 2 2 2 2 13" xfId="19009" xr:uid="{BE8B8C7E-3ED7-449A-9D9C-6E6CA181FD7B}"/>
    <cellStyle name="Comma 4 2 2 2 2 2" xfId="130" xr:uid="{00000000-0005-0000-0000-0000A6070000}"/>
    <cellStyle name="Comma 4 2 2 2 2 2 10" xfId="9116" xr:uid="{7A07505D-6B4C-4086-90B5-B5D345FB7611}"/>
    <cellStyle name="Comma 4 2 2 2 2 2 10 2" xfId="18440" xr:uid="{3CCBEFCA-6DF4-41E2-A351-AC51A7C513BF}"/>
    <cellStyle name="Comma 4 2 2 2 2 2 10 3" xfId="27738" xr:uid="{3489064A-5B32-4895-A4C6-07480B0CBC89}"/>
    <cellStyle name="Comma 4 2 2 2 2 2 11" xfId="9711" xr:uid="{31DBD0A4-A5BE-4CF5-A8B9-7F749843E3A1}"/>
    <cellStyle name="Comma 4 2 2 2 2 2 12" xfId="19010" xr:uid="{DB1A3C62-343B-4CF3-AF3F-0B98AE622E9D}"/>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0FC2DE75-11DA-4B3C-8562-79B15F1CC02A}"/>
    <cellStyle name="Comma 4 2 2 2 2 2 2 2 2 3" xfId="25786" xr:uid="{F3D7ABBD-6629-4F2C-AFB9-DBD44BC8B973}"/>
    <cellStyle name="Comma 4 2 2 2 2 2 2 2 3" xfId="12270" xr:uid="{51E47965-9065-4F72-AC21-CA4D6E100E53}"/>
    <cellStyle name="Comma 4 2 2 2 2 2 2 2 4" xfId="21569" xr:uid="{D4D61687-ACD0-4A42-A747-1CFB40F02127}"/>
    <cellStyle name="Comma 4 2 2 2 2 2 2 3" xfId="5016" xr:uid="{00000000-0005-0000-0000-0000AA070000}"/>
    <cellStyle name="Comma 4 2 2 2 2 2 2 3 2" xfId="14342" xr:uid="{982F598B-1683-4B92-8058-B7D7281AB60B}"/>
    <cellStyle name="Comma 4 2 2 2 2 2 2 3 3" xfId="23641" xr:uid="{39EB9B43-E96A-4339-AF3F-599967BDB803}"/>
    <cellStyle name="Comma 4 2 2 2 2 2 2 4" xfId="9541" xr:uid="{21DC771E-83A2-48BA-BE40-3E9E8454DE28}"/>
    <cellStyle name="Comma 4 2 2 2 2 2 2 4 2" xfId="18856" xr:uid="{63D8F0A1-00D4-45B6-A606-8C5F2ADCB861}"/>
    <cellStyle name="Comma 4 2 2 2 2 2 2 4 3" xfId="28153" xr:uid="{304A01C9-340F-44E5-902B-ADF9407E928A}"/>
    <cellStyle name="Comma 4 2 2 2 2 2 2 5" xfId="10125" xr:uid="{AE8810D2-DE7C-401B-996E-ADB733C2A226}"/>
    <cellStyle name="Comma 4 2 2 2 2 2 2 6" xfId="19424" xr:uid="{713762BA-6F92-4CF1-866B-225A0B91546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FEA06DE1-65F5-457B-9F22-51BD1009B6D5}"/>
    <cellStyle name="Comma 4 2 2 2 2 2 3 2 2 3" xfId="26199" xr:uid="{40219727-24CB-42B5-9E8F-7392F9FDC052}"/>
    <cellStyle name="Comma 4 2 2 2 2 2 3 2 3" xfId="12683" xr:uid="{835F3162-534F-4972-8E9C-87E3644265C9}"/>
    <cellStyle name="Comma 4 2 2 2 2 2 3 2 4" xfId="21982" xr:uid="{5D0BF1D2-55FF-4218-B9F1-C066A6B77AF1}"/>
    <cellStyle name="Comma 4 2 2 2 2 2 3 3" xfId="5429" xr:uid="{00000000-0005-0000-0000-0000AE070000}"/>
    <cellStyle name="Comma 4 2 2 2 2 2 3 3 2" xfId="14755" xr:uid="{5189697A-D389-4238-A327-F8BC9F6B293A}"/>
    <cellStyle name="Comma 4 2 2 2 2 2 3 3 3" xfId="24054" xr:uid="{D0D68323-D27F-4624-A100-14686F8004D2}"/>
    <cellStyle name="Comma 4 2 2 2 2 2 3 4" xfId="10538" xr:uid="{0B570D6B-4F99-4F47-8AB5-4A808DCB39C1}"/>
    <cellStyle name="Comma 4 2 2 2 2 2 3 5" xfId="19837" xr:uid="{8234AE1F-33B4-4605-8205-44111046A7F3}"/>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94D9E65F-440A-4CA6-9BD7-460786D31C38}"/>
    <cellStyle name="Comma 4 2 2 2 2 2 4 2 2 3" xfId="26612" xr:uid="{33AE5EA9-1A45-4C65-AEF4-C9B4128042A9}"/>
    <cellStyle name="Comma 4 2 2 2 2 2 4 2 3" xfId="13096" xr:uid="{7ACD5A7E-50F0-4C3F-8D13-7D4250B0B358}"/>
    <cellStyle name="Comma 4 2 2 2 2 2 4 2 4" xfId="22395" xr:uid="{E23C9596-9317-4F89-B068-97A3419DF79F}"/>
    <cellStyle name="Comma 4 2 2 2 2 2 4 3" xfId="5842" xr:uid="{00000000-0005-0000-0000-0000B2070000}"/>
    <cellStyle name="Comma 4 2 2 2 2 2 4 3 2" xfId="15168" xr:uid="{595FF242-755A-4B0D-90E7-BA53138BB906}"/>
    <cellStyle name="Comma 4 2 2 2 2 2 4 3 3" xfId="24467" xr:uid="{23A39F7A-3048-4BFE-A349-33B418EA1E2B}"/>
    <cellStyle name="Comma 4 2 2 2 2 2 4 4" xfId="10951" xr:uid="{6929A243-B0DC-4D10-84E4-FA6AECFE26AB}"/>
    <cellStyle name="Comma 4 2 2 2 2 2 4 5" xfId="20250" xr:uid="{9F14E799-2BD0-49DC-855A-24C14E2D6F6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F2C239AE-2F3B-4EDA-9446-432A02368F6A}"/>
    <cellStyle name="Comma 4 2 2 2 2 2 5 2 2 3" xfId="27025" xr:uid="{18EB2D64-52E9-4355-B124-B982D63D456A}"/>
    <cellStyle name="Comma 4 2 2 2 2 2 5 2 3" xfId="13509" xr:uid="{72DD2FE6-C3E9-49E3-A508-D98642925656}"/>
    <cellStyle name="Comma 4 2 2 2 2 2 5 2 4" xfId="22808" xr:uid="{74C71CC8-6367-40C2-9DB8-BEC1F2ACF389}"/>
    <cellStyle name="Comma 4 2 2 2 2 2 5 3" xfId="6255" xr:uid="{00000000-0005-0000-0000-0000B6070000}"/>
    <cellStyle name="Comma 4 2 2 2 2 2 5 3 2" xfId="15581" xr:uid="{76D83ADA-D5BD-46B7-ABB6-8FBD18C37F83}"/>
    <cellStyle name="Comma 4 2 2 2 2 2 5 3 3" xfId="24880" xr:uid="{BD2B4999-01EA-46FC-AC91-088C2F0B686B}"/>
    <cellStyle name="Comma 4 2 2 2 2 2 5 4" xfId="11364" xr:uid="{F8254909-B27F-4A51-98B5-9C0373AD14D4}"/>
    <cellStyle name="Comma 4 2 2 2 2 2 5 5" xfId="20663" xr:uid="{AA8E0B52-80B5-46A8-9F78-E536094BB796}"/>
    <cellStyle name="Comma 4 2 2 2 2 2 6" xfId="2384" xr:uid="{00000000-0005-0000-0000-0000B7070000}"/>
    <cellStyle name="Comma 4 2 2 2 2 2 6 2" xfId="6668" xr:uid="{00000000-0005-0000-0000-0000B8070000}"/>
    <cellStyle name="Comma 4 2 2 2 2 2 6 2 2" xfId="15994" xr:uid="{671CAF76-7E02-4600-9093-4C9BF332982B}"/>
    <cellStyle name="Comma 4 2 2 2 2 2 6 2 3" xfId="25293" xr:uid="{90341DB8-721E-48EA-9D1F-3F1A9EFDE915}"/>
    <cellStyle name="Comma 4 2 2 2 2 2 6 3" xfId="11777" xr:uid="{E45D116A-CB43-46B8-AEB5-07825D6FC8CB}"/>
    <cellStyle name="Comma 4 2 2 2 2 2 6 4" xfId="21076" xr:uid="{848119BD-8F71-4AA8-BF9B-6ECD12E4497A}"/>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6228219D-3A14-4CE1-96C0-96D3799ECF46}"/>
    <cellStyle name="Comma 4 2 2 2 2 2 8 2 3" xfId="25610" xr:uid="{FEEBB584-A3FF-4050-B7AA-18E16F04DC4C}"/>
    <cellStyle name="Comma 4 2 2 2 2 2 8 3" xfId="12094" xr:uid="{EA73E785-9B2F-45E8-AAD3-FCEB69AFBB20}"/>
    <cellStyle name="Comma 4 2 2 2 2 2 8 4" xfId="21393" xr:uid="{D4FCF702-9509-46A0-9A3E-5E7C2E75155A}"/>
    <cellStyle name="Comma 4 2 2 2 2 2 9" xfId="4602" xr:uid="{00000000-0005-0000-0000-0000BC070000}"/>
    <cellStyle name="Comma 4 2 2 2 2 2 9 2" xfId="13928" xr:uid="{CB950E7F-9BA6-4C81-9A5D-5743A4552186}"/>
    <cellStyle name="Comma 4 2 2 2 2 2 9 3" xfId="23227" xr:uid="{805D1502-85E0-444D-86FF-5C61F837CE39}"/>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982E6DD0-8B1D-4F49-8BF1-E6E3ECD85DAE}"/>
    <cellStyle name="Comma 4 2 2 2 2 3 2 2 3" xfId="25785" xr:uid="{473439E9-3343-487D-B132-95BA0DF611CE}"/>
    <cellStyle name="Comma 4 2 2 2 2 3 2 3" xfId="12269" xr:uid="{841FABCC-B704-4DFD-AD2F-D25029B1A0C1}"/>
    <cellStyle name="Comma 4 2 2 2 2 3 2 4" xfId="21568" xr:uid="{B7004E99-F8CF-4C08-92DA-80BF84DEA38D}"/>
    <cellStyle name="Comma 4 2 2 2 2 3 3" xfId="5015" xr:uid="{00000000-0005-0000-0000-0000C0070000}"/>
    <cellStyle name="Comma 4 2 2 2 2 3 3 2" xfId="14341" xr:uid="{492294BF-3305-4F42-987E-E73647D3E9D0}"/>
    <cellStyle name="Comma 4 2 2 2 2 3 3 3" xfId="23640" xr:uid="{DB025B3E-4B74-4E2D-9DED-2B34064053DA}"/>
    <cellStyle name="Comma 4 2 2 2 2 3 4" xfId="9334" xr:uid="{50E8807F-6450-4082-BD30-0A86C2E78D0E}"/>
    <cellStyle name="Comma 4 2 2 2 2 3 4 2" xfId="18649" xr:uid="{1A0C4A42-09FA-4D94-8742-C790177904C7}"/>
    <cellStyle name="Comma 4 2 2 2 2 3 4 3" xfId="27946" xr:uid="{AC39A279-FCE8-4794-AEE2-D10634F98BD0}"/>
    <cellStyle name="Comma 4 2 2 2 2 3 5" xfId="10124" xr:uid="{FA899261-2118-4844-8C50-FA6D80F9A477}"/>
    <cellStyle name="Comma 4 2 2 2 2 3 6" xfId="19423" xr:uid="{2F6F683D-1DF4-48F4-A22D-FAD324A2A9CD}"/>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42A50565-D84E-453F-9A03-26E871DED77E}"/>
    <cellStyle name="Comma 4 2 2 2 2 4 2 2 3" xfId="26198" xr:uid="{B228FC53-0396-4456-B0F2-59CAA9960AA7}"/>
    <cellStyle name="Comma 4 2 2 2 2 4 2 3" xfId="12682" xr:uid="{59CBA248-3615-4D2F-98C9-4B47D0154874}"/>
    <cellStyle name="Comma 4 2 2 2 2 4 2 4" xfId="21981" xr:uid="{90BE334B-A0E0-4DF8-99AD-797FE48F2ACE}"/>
    <cellStyle name="Comma 4 2 2 2 2 4 3" xfId="5428" xr:uid="{00000000-0005-0000-0000-0000C4070000}"/>
    <cellStyle name="Comma 4 2 2 2 2 4 3 2" xfId="14754" xr:uid="{C337EEDA-635B-45C5-9175-75EFB172D20C}"/>
    <cellStyle name="Comma 4 2 2 2 2 4 3 3" xfId="24053" xr:uid="{4B398721-9D58-4228-8CCC-C850AD6672DE}"/>
    <cellStyle name="Comma 4 2 2 2 2 4 4" xfId="10537" xr:uid="{E57F42AD-B47A-46CF-B494-23963A5F0473}"/>
    <cellStyle name="Comma 4 2 2 2 2 4 5" xfId="19836" xr:uid="{39539532-2629-4227-BBB2-7DA0D02A6D06}"/>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726D4C11-6B04-49B3-8EAE-16C47B50A342}"/>
    <cellStyle name="Comma 4 2 2 2 2 5 2 2 3" xfId="26611" xr:uid="{9B44C630-DB97-412E-AE28-A9C1CE85AFF8}"/>
    <cellStyle name="Comma 4 2 2 2 2 5 2 3" xfId="13095" xr:uid="{06750FB6-2A60-46DF-8D7D-0F4156596223}"/>
    <cellStyle name="Comma 4 2 2 2 2 5 2 4" xfId="22394" xr:uid="{E7B26402-A43D-4D75-A784-F6A0CE7E2F95}"/>
    <cellStyle name="Comma 4 2 2 2 2 5 3" xfId="5841" xr:uid="{00000000-0005-0000-0000-0000C8070000}"/>
    <cellStyle name="Comma 4 2 2 2 2 5 3 2" xfId="15167" xr:uid="{51E0D5BA-826B-4830-8D08-F7E8E14322A6}"/>
    <cellStyle name="Comma 4 2 2 2 2 5 3 3" xfId="24466" xr:uid="{63B39AAE-607B-4987-8497-685B5282A4A6}"/>
    <cellStyle name="Comma 4 2 2 2 2 5 4" xfId="10950" xr:uid="{CE36E396-2948-4DC6-A112-B83EF81A1CD9}"/>
    <cellStyle name="Comma 4 2 2 2 2 5 5" xfId="20249" xr:uid="{2245F73F-50EA-48AB-A8F5-F6EE534A726A}"/>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792A5DC3-1124-4240-8A0C-263810306218}"/>
    <cellStyle name="Comma 4 2 2 2 2 6 2 2 3" xfId="27024" xr:uid="{BAD4C68A-7AA1-497D-8A90-43B7FA81644E}"/>
    <cellStyle name="Comma 4 2 2 2 2 6 2 3" xfId="13508" xr:uid="{8F53FA2B-543D-4766-A9A1-87507F83DCBE}"/>
    <cellStyle name="Comma 4 2 2 2 2 6 2 4" xfId="22807" xr:uid="{5052D987-3183-493A-BC64-B29A42734DAA}"/>
    <cellStyle name="Comma 4 2 2 2 2 6 3" xfId="6254" xr:uid="{00000000-0005-0000-0000-0000CC070000}"/>
    <cellStyle name="Comma 4 2 2 2 2 6 3 2" xfId="15580" xr:uid="{43C94C55-22A5-4980-9706-0AF9D9448F26}"/>
    <cellStyle name="Comma 4 2 2 2 2 6 3 3" xfId="24879" xr:uid="{B6AA9D2B-A2BD-4DE7-A2DF-CE19FD9637BC}"/>
    <cellStyle name="Comma 4 2 2 2 2 6 4" xfId="11363" xr:uid="{44D4C0C5-CBC5-4E62-9026-2F999210F47D}"/>
    <cellStyle name="Comma 4 2 2 2 2 6 5" xfId="20662" xr:uid="{49D60808-0B77-4BE9-BE1A-6C6140584579}"/>
    <cellStyle name="Comma 4 2 2 2 2 7" xfId="2383" xr:uid="{00000000-0005-0000-0000-0000CD070000}"/>
    <cellStyle name="Comma 4 2 2 2 2 7 2" xfId="6667" xr:uid="{00000000-0005-0000-0000-0000CE070000}"/>
    <cellStyle name="Comma 4 2 2 2 2 7 2 2" xfId="15993" xr:uid="{BDC7D244-8482-4AC5-B936-71E59112739F}"/>
    <cellStyle name="Comma 4 2 2 2 2 7 2 3" xfId="25292" xr:uid="{E43D9A91-B34A-4CA9-BAD1-901749BABC40}"/>
    <cellStyle name="Comma 4 2 2 2 2 7 3" xfId="11776" xr:uid="{19B83B9F-380F-4B06-A550-16E36D2124D3}"/>
    <cellStyle name="Comma 4 2 2 2 2 7 4" xfId="21075" xr:uid="{E2510105-B67B-4A93-942E-55EF9C49F14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23A77C99-C103-4C2F-ABC6-D0B2CBD01F30}"/>
    <cellStyle name="Comma 4 2 2 2 2 9 2 3" xfId="25609" xr:uid="{7F4AA39A-7FBA-4440-82FF-ABFF6B80E7E4}"/>
    <cellStyle name="Comma 4 2 2 2 2 9 3" xfId="12093" xr:uid="{A93E7183-A5C1-48E8-8244-330734AF1029}"/>
    <cellStyle name="Comma 4 2 2 2 2 9 4" xfId="21392" xr:uid="{307EA1DF-667D-48B3-A1A4-9DB04007BBD3}"/>
    <cellStyle name="Comma 4 2 2 2 3" xfId="131" xr:uid="{00000000-0005-0000-0000-0000D2070000}"/>
    <cellStyle name="Comma 4 2 2 2 3 10" xfId="9013" xr:uid="{D7491CA1-A7A0-4099-A659-9FB418CDDACA}"/>
    <cellStyle name="Comma 4 2 2 2 3 10 2" xfId="18337" xr:uid="{B26A7829-802B-4C30-8C55-F36C799B87F4}"/>
    <cellStyle name="Comma 4 2 2 2 3 10 3" xfId="27635" xr:uid="{DD5A117D-6FF1-48EE-88D6-73DB7914E45D}"/>
    <cellStyle name="Comma 4 2 2 2 3 11" xfId="9712" xr:uid="{A6EA3185-089F-44ED-9110-B62AF5A4B044}"/>
    <cellStyle name="Comma 4 2 2 2 3 12" xfId="19011" xr:uid="{7439EB2D-C513-4296-9E52-B658CA415C0E}"/>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EAD35BEC-057E-4C4F-8EE2-0BB38B778E68}"/>
    <cellStyle name="Comma 4 2 2 2 3 2 2 2 3" xfId="25787" xr:uid="{932FB623-04A6-4E75-A860-1BC34E18010F}"/>
    <cellStyle name="Comma 4 2 2 2 3 2 2 3" xfId="12271" xr:uid="{E0647D25-5A34-476C-9D18-2B790AD7E0BA}"/>
    <cellStyle name="Comma 4 2 2 2 3 2 2 4" xfId="21570" xr:uid="{B3C63341-E073-4F5B-9E35-8D355CA013BE}"/>
    <cellStyle name="Comma 4 2 2 2 3 2 3" xfId="5017" xr:uid="{00000000-0005-0000-0000-0000D6070000}"/>
    <cellStyle name="Comma 4 2 2 2 3 2 3 2" xfId="14343" xr:uid="{2EA58BFD-A872-4980-990D-E02A977F9CB4}"/>
    <cellStyle name="Comma 4 2 2 2 3 2 3 3" xfId="23642" xr:uid="{EF06119F-006F-4CA5-A9D9-21F74E57D648}"/>
    <cellStyle name="Comma 4 2 2 2 3 2 4" xfId="9438" xr:uid="{8E9C4341-814A-43D1-8D35-8CCC512A2E32}"/>
    <cellStyle name="Comma 4 2 2 2 3 2 4 2" xfId="18753" xr:uid="{097F1DBC-F0F9-45F8-8A32-4B8A7AD0E97F}"/>
    <cellStyle name="Comma 4 2 2 2 3 2 4 3" xfId="28050" xr:uid="{FB823E2D-9A6D-4140-9756-F46F57E78064}"/>
    <cellStyle name="Comma 4 2 2 2 3 2 5" xfId="10126" xr:uid="{22F438B2-2484-44CE-A8A9-595AAE91803C}"/>
    <cellStyle name="Comma 4 2 2 2 3 2 6" xfId="19425" xr:uid="{FCFD021B-89C2-4ABF-BC21-FA0D75B91DB3}"/>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1E335883-5879-4514-A51E-74A6A35345B0}"/>
    <cellStyle name="Comma 4 2 2 2 3 3 2 2 3" xfId="26200" xr:uid="{F55B510D-B911-4BEC-87D1-7C2760F5D420}"/>
    <cellStyle name="Comma 4 2 2 2 3 3 2 3" xfId="12684" xr:uid="{E9D1660E-E904-4452-9086-50929EBF891B}"/>
    <cellStyle name="Comma 4 2 2 2 3 3 2 4" xfId="21983" xr:uid="{C9505F00-A035-4823-8E4F-A93952F974CA}"/>
    <cellStyle name="Comma 4 2 2 2 3 3 3" xfId="5430" xr:uid="{00000000-0005-0000-0000-0000DA070000}"/>
    <cellStyle name="Comma 4 2 2 2 3 3 3 2" xfId="14756" xr:uid="{4D7E14A5-BB73-43B5-8CD4-4E969628AD5E}"/>
    <cellStyle name="Comma 4 2 2 2 3 3 3 3" xfId="24055" xr:uid="{E703A768-81F9-4A1E-8D22-1BD92C7983A8}"/>
    <cellStyle name="Comma 4 2 2 2 3 3 4" xfId="10539" xr:uid="{4E1377C8-AB72-4BED-9299-0A4B9CEE90D6}"/>
    <cellStyle name="Comma 4 2 2 2 3 3 5" xfId="19838" xr:uid="{B6CAA9B0-511C-498A-AE9D-BE7DC3E8BE9C}"/>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B68EF2FF-4FE0-48C4-8FBC-240740A29B32}"/>
    <cellStyle name="Comma 4 2 2 2 3 4 2 2 3" xfId="26613" xr:uid="{A337B43A-894F-4B65-BB25-388EE0FB618C}"/>
    <cellStyle name="Comma 4 2 2 2 3 4 2 3" xfId="13097" xr:uid="{5D092DC8-D180-4B3A-AE8A-1391BBFC83CF}"/>
    <cellStyle name="Comma 4 2 2 2 3 4 2 4" xfId="22396" xr:uid="{7E8560A2-6510-44A4-AE38-1806BB4E22B1}"/>
    <cellStyle name="Comma 4 2 2 2 3 4 3" xfId="5843" xr:uid="{00000000-0005-0000-0000-0000DE070000}"/>
    <cellStyle name="Comma 4 2 2 2 3 4 3 2" xfId="15169" xr:uid="{69B38646-29EB-43F7-96BC-09703AE57CB5}"/>
    <cellStyle name="Comma 4 2 2 2 3 4 3 3" xfId="24468" xr:uid="{9169191A-2B8C-45F8-9165-24B9F6AB119C}"/>
    <cellStyle name="Comma 4 2 2 2 3 4 4" xfId="10952" xr:uid="{977E652E-2A7B-4F44-B866-D7ACA86ED173}"/>
    <cellStyle name="Comma 4 2 2 2 3 4 5" xfId="20251" xr:uid="{086E4182-B8E8-4513-86AE-333118A1C58F}"/>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AA9883F1-2803-4E7D-BBDE-739F108BDE48}"/>
    <cellStyle name="Comma 4 2 2 2 3 5 2 2 3" xfId="27026" xr:uid="{787BF34A-D2AA-4013-AD42-67B49450F858}"/>
    <cellStyle name="Comma 4 2 2 2 3 5 2 3" xfId="13510" xr:uid="{892A5BCD-E017-40E3-B229-CBF806481236}"/>
    <cellStyle name="Comma 4 2 2 2 3 5 2 4" xfId="22809" xr:uid="{AA6233BA-B8D6-4F3A-A4A3-ABAEA318FCD5}"/>
    <cellStyle name="Comma 4 2 2 2 3 5 3" xfId="6256" xr:uid="{00000000-0005-0000-0000-0000E2070000}"/>
    <cellStyle name="Comma 4 2 2 2 3 5 3 2" xfId="15582" xr:uid="{CF580329-EF6E-4846-A664-F372793F4808}"/>
    <cellStyle name="Comma 4 2 2 2 3 5 3 3" xfId="24881" xr:uid="{4A6F5505-DF82-4A3C-91FD-7C4D01F762A2}"/>
    <cellStyle name="Comma 4 2 2 2 3 5 4" xfId="11365" xr:uid="{DD549727-AFA5-4A2A-AE03-B44436B89183}"/>
    <cellStyle name="Comma 4 2 2 2 3 5 5" xfId="20664" xr:uid="{58206B19-B4DC-4A68-8913-C50DE8658594}"/>
    <cellStyle name="Comma 4 2 2 2 3 6" xfId="2385" xr:uid="{00000000-0005-0000-0000-0000E3070000}"/>
    <cellStyle name="Comma 4 2 2 2 3 6 2" xfId="6669" xr:uid="{00000000-0005-0000-0000-0000E4070000}"/>
    <cellStyle name="Comma 4 2 2 2 3 6 2 2" xfId="15995" xr:uid="{2F68AF09-D6B3-47C3-A465-7EB5DE66147F}"/>
    <cellStyle name="Comma 4 2 2 2 3 6 2 3" xfId="25294" xr:uid="{9BB20170-DFC5-42A6-8432-762BC67A47C0}"/>
    <cellStyle name="Comma 4 2 2 2 3 6 3" xfId="11778" xr:uid="{97B8397E-D4F4-4A30-893B-72E9BEEE2624}"/>
    <cellStyle name="Comma 4 2 2 2 3 6 4" xfId="21077" xr:uid="{AACEEB42-FB6C-447E-BEF3-889DAB2919C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4AD18984-456F-40BC-858D-9D4C413D5992}"/>
    <cellStyle name="Comma 4 2 2 2 3 8 2 3" xfId="25611" xr:uid="{73E6E5A1-E97F-409A-ABB3-9D003FB3AA85}"/>
    <cellStyle name="Comma 4 2 2 2 3 8 3" xfId="12095" xr:uid="{6E3CD31C-A0B3-4507-A759-69CF4C21DDA2}"/>
    <cellStyle name="Comma 4 2 2 2 3 8 4" xfId="21394" xr:uid="{7059B06A-88BD-4BEA-A0F0-98A577B4F2CC}"/>
    <cellStyle name="Comma 4 2 2 2 3 9" xfId="4603" xr:uid="{00000000-0005-0000-0000-0000E8070000}"/>
    <cellStyle name="Comma 4 2 2 2 3 9 2" xfId="13929" xr:uid="{7C0A1FC1-143E-428D-ACAA-3701C9C5493C}"/>
    <cellStyle name="Comma 4 2 2 2 3 9 3" xfId="23228" xr:uid="{CA842863-8784-4FCD-8C3C-BE1179DDACD4}"/>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A90F3F86-EBE3-42E5-8E7B-78024E15A237}"/>
    <cellStyle name="Comma 4 2 2 2 4 2 2 3" xfId="25784" xr:uid="{DE8F8052-AA6F-4443-BACA-18ECD9698BBC}"/>
    <cellStyle name="Comma 4 2 2 2 4 2 3" xfId="12268" xr:uid="{79E66F79-E6CB-448E-AFBB-DE71393CDFB1}"/>
    <cellStyle name="Comma 4 2 2 2 4 2 4" xfId="21567" xr:uid="{A09ED72B-5994-4276-9D3A-F1AE970F287F}"/>
    <cellStyle name="Comma 4 2 2 2 4 3" xfId="5014" xr:uid="{00000000-0005-0000-0000-0000EC070000}"/>
    <cellStyle name="Comma 4 2 2 2 4 3 2" xfId="14340" xr:uid="{13BBC323-2AFE-43EF-9A86-BC430C025FBB}"/>
    <cellStyle name="Comma 4 2 2 2 4 3 3" xfId="23639" xr:uid="{C94772B9-9F78-41AE-8C56-81AE245C8AF6}"/>
    <cellStyle name="Comma 4 2 2 2 4 4" xfId="9231" xr:uid="{31DAC97A-9492-467B-9850-183797A56FBE}"/>
    <cellStyle name="Comma 4 2 2 2 4 4 2" xfId="18546" xr:uid="{505E2B00-B72E-4B30-8B90-206DA59366EF}"/>
    <cellStyle name="Comma 4 2 2 2 4 4 3" xfId="27843" xr:uid="{E27B4AB9-D8F8-4DD1-999C-84321F4412EA}"/>
    <cellStyle name="Comma 4 2 2 2 4 5" xfId="10123" xr:uid="{EC7DD3F4-F34A-4470-800D-E2C5E34A8014}"/>
    <cellStyle name="Comma 4 2 2 2 4 6" xfId="19422" xr:uid="{923B49D3-064A-45D1-9B4A-C5006496EC09}"/>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542CDD8E-ADDD-4115-A67C-439C128A46B0}"/>
    <cellStyle name="Comma 4 2 2 2 5 2 2 3" xfId="26197" xr:uid="{680852D7-5875-423C-B197-49213D4E7E28}"/>
    <cellStyle name="Comma 4 2 2 2 5 2 3" xfId="12681" xr:uid="{06EE76C3-16E0-4787-A6E1-577B0ABB2025}"/>
    <cellStyle name="Comma 4 2 2 2 5 2 4" xfId="21980" xr:uid="{2DB86CA9-5BCD-4ED5-B371-B5AEC1BD5F06}"/>
    <cellStyle name="Comma 4 2 2 2 5 3" xfId="5427" xr:uid="{00000000-0005-0000-0000-0000F0070000}"/>
    <cellStyle name="Comma 4 2 2 2 5 3 2" xfId="14753" xr:uid="{F81E20F4-4286-4B13-8E5F-FC9B6BBD9919}"/>
    <cellStyle name="Comma 4 2 2 2 5 3 3" xfId="24052" xr:uid="{6A2A1888-4AEB-42FF-9CF7-C3957E003B09}"/>
    <cellStyle name="Comma 4 2 2 2 5 4" xfId="10536" xr:uid="{B456C962-7A76-4653-8C16-4BC78F838944}"/>
    <cellStyle name="Comma 4 2 2 2 5 5" xfId="19835" xr:uid="{6940B4CF-2D25-4CF0-BE1F-B441921BE301}"/>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161F0CF2-1DF3-4618-8F79-72E32C8A22CE}"/>
    <cellStyle name="Comma 4 2 2 2 6 2 2 3" xfId="26610" xr:uid="{56B28876-A6D7-4FB4-A0EA-E9788D840F14}"/>
    <cellStyle name="Comma 4 2 2 2 6 2 3" xfId="13094" xr:uid="{E7895D21-DF08-45E5-ACA9-48B60B9755D9}"/>
    <cellStyle name="Comma 4 2 2 2 6 2 4" xfId="22393" xr:uid="{F7BCB89B-14C5-45B9-9F6E-D6FDA9072BEA}"/>
    <cellStyle name="Comma 4 2 2 2 6 3" xfId="5840" xr:uid="{00000000-0005-0000-0000-0000F4070000}"/>
    <cellStyle name="Comma 4 2 2 2 6 3 2" xfId="15166" xr:uid="{0DC2DC4D-0699-46A6-9757-DA683983D98F}"/>
    <cellStyle name="Comma 4 2 2 2 6 3 3" xfId="24465" xr:uid="{F848126C-E406-4C32-A8AA-7401F5E1D348}"/>
    <cellStyle name="Comma 4 2 2 2 6 4" xfId="10949" xr:uid="{150FE59A-E521-4E05-B4F5-B83A1257DAF6}"/>
    <cellStyle name="Comma 4 2 2 2 6 5" xfId="20248" xr:uid="{85D7A999-936B-4088-8344-8F4A958A4465}"/>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50464044-714E-4C74-97E0-D7DA9C9BC71B}"/>
    <cellStyle name="Comma 4 2 2 2 7 2 2 3" xfId="27023" xr:uid="{A0FBA438-886B-4301-BA2C-5519D249CE55}"/>
    <cellStyle name="Comma 4 2 2 2 7 2 3" xfId="13507" xr:uid="{4B23B53C-8192-4588-ACBD-7F4F2801C3C6}"/>
    <cellStyle name="Comma 4 2 2 2 7 2 4" xfId="22806" xr:uid="{9B8FEB25-9A23-42DC-90F1-D2D30BFAE562}"/>
    <cellStyle name="Comma 4 2 2 2 7 3" xfId="6253" xr:uid="{00000000-0005-0000-0000-0000F8070000}"/>
    <cellStyle name="Comma 4 2 2 2 7 3 2" xfId="15579" xr:uid="{7C760EC0-33B5-489A-87EE-F0659C5A2F36}"/>
    <cellStyle name="Comma 4 2 2 2 7 3 3" xfId="24878" xr:uid="{8E69110E-1447-4617-9024-186A9BC5B893}"/>
    <cellStyle name="Comma 4 2 2 2 7 4" xfId="11362" xr:uid="{50763198-B5FE-40C1-B4EB-2923B64BBE46}"/>
    <cellStyle name="Comma 4 2 2 2 7 5" xfId="20661" xr:uid="{62894D98-AB78-41B4-A523-D9B29429013E}"/>
    <cellStyle name="Comma 4 2 2 2 8" xfId="2382" xr:uid="{00000000-0005-0000-0000-0000F9070000}"/>
    <cellStyle name="Comma 4 2 2 2 8 2" xfId="6666" xr:uid="{00000000-0005-0000-0000-0000FA070000}"/>
    <cellStyle name="Comma 4 2 2 2 8 2 2" xfId="15992" xr:uid="{17775225-9F5C-4D17-8705-05CA9605DD10}"/>
    <cellStyle name="Comma 4 2 2 2 8 2 3" xfId="25291" xr:uid="{40D8C914-13A1-450E-8F45-5903DEF261CD}"/>
    <cellStyle name="Comma 4 2 2 2 8 3" xfId="11775" xr:uid="{BD3FD2C2-6885-4DF5-8B13-AB4A84597547}"/>
    <cellStyle name="Comma 4 2 2 2 8 4" xfId="21074" xr:uid="{2816ABBD-B729-453E-9142-E34318763647}"/>
    <cellStyle name="Comma 4 2 2 2 9" xfId="2381" xr:uid="{00000000-0005-0000-0000-0000FB070000}"/>
    <cellStyle name="Comma 4 2 2 3" xfId="132" xr:uid="{00000000-0005-0000-0000-0000FC070000}"/>
    <cellStyle name="Comma 4 2 2 3 10" xfId="4604" xr:uid="{00000000-0005-0000-0000-0000FD070000}"/>
    <cellStyle name="Comma 4 2 2 3 10 2" xfId="13930" xr:uid="{21B1A3A2-685A-4C7E-ADDD-F8429EAD59DE}"/>
    <cellStyle name="Comma 4 2 2 3 10 3" xfId="23229" xr:uid="{A967D8C8-023D-4B48-8274-93CE3799A5F1}"/>
    <cellStyle name="Comma 4 2 2 3 11" xfId="8889" xr:uid="{93813409-C042-4436-8561-B0237A135E7D}"/>
    <cellStyle name="Comma 4 2 2 3 11 2" xfId="18213" xr:uid="{388B4FF2-EF12-4A6C-B60D-6819EA249213}"/>
    <cellStyle name="Comma 4 2 2 3 11 3" xfId="27511" xr:uid="{81B8C3E4-A434-4827-B076-66849D96C5F9}"/>
    <cellStyle name="Comma 4 2 2 3 12" xfId="9713" xr:uid="{217C18F2-40E8-4D15-9351-C5196E6D87D2}"/>
    <cellStyle name="Comma 4 2 2 3 13" xfId="19012" xr:uid="{75CDBAD3-1A23-4F7A-814C-72958B73E748}"/>
    <cellStyle name="Comma 4 2 2 3 2" xfId="133" xr:uid="{00000000-0005-0000-0000-0000FE070000}"/>
    <cellStyle name="Comma 4 2 2 3 2 10" xfId="9096" xr:uid="{C395B6CC-7E3E-452B-B5AB-BBF992A45CEB}"/>
    <cellStyle name="Comma 4 2 2 3 2 10 2" xfId="18420" xr:uid="{95814B0C-5A81-4CE7-9858-31A7A8B67BCA}"/>
    <cellStyle name="Comma 4 2 2 3 2 10 3" xfId="27718" xr:uid="{6A0E7908-C3CE-4E0A-9000-698FBBFA9AAF}"/>
    <cellStyle name="Comma 4 2 2 3 2 11" xfId="9714" xr:uid="{BBADF332-994C-4F97-A35A-E4331D583814}"/>
    <cellStyle name="Comma 4 2 2 3 2 12" xfId="19013" xr:uid="{5ED89EC9-C4A2-4411-9407-CCE36225AD9C}"/>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D94C2435-968E-448A-BEF2-CA9DCA9B6D6C}"/>
    <cellStyle name="Comma 4 2 2 3 2 2 2 2 3" xfId="25789" xr:uid="{708934B1-111F-4FD5-A89A-3E23F9537A03}"/>
    <cellStyle name="Comma 4 2 2 3 2 2 2 3" xfId="12273" xr:uid="{CFEAEF41-518F-47EC-B083-76ACE4AE28C6}"/>
    <cellStyle name="Comma 4 2 2 3 2 2 2 4" xfId="21572" xr:uid="{495CEAD4-E1FF-48E1-8834-2C0E1C0D1F9B}"/>
    <cellStyle name="Comma 4 2 2 3 2 2 3" xfId="5019" xr:uid="{00000000-0005-0000-0000-000002080000}"/>
    <cellStyle name="Comma 4 2 2 3 2 2 3 2" xfId="14345" xr:uid="{E31DD3BF-0BF1-4F80-B558-F9376FA7D2F5}"/>
    <cellStyle name="Comma 4 2 2 3 2 2 3 3" xfId="23644" xr:uid="{A4F5A4B3-6E05-4981-8196-D585858C28C1}"/>
    <cellStyle name="Comma 4 2 2 3 2 2 4" xfId="9521" xr:uid="{8F14F654-C711-4E70-8A06-71F68E70E2E0}"/>
    <cellStyle name="Comma 4 2 2 3 2 2 4 2" xfId="18836" xr:uid="{6A2D807B-AC5F-45E1-98C1-87BC949C54F9}"/>
    <cellStyle name="Comma 4 2 2 3 2 2 4 3" xfId="28133" xr:uid="{F74730B6-29C2-4415-845B-491B920BEC10}"/>
    <cellStyle name="Comma 4 2 2 3 2 2 5" xfId="10128" xr:uid="{BE5EA1E8-0EDB-4C55-88CA-92A23215AE8F}"/>
    <cellStyle name="Comma 4 2 2 3 2 2 6" xfId="19427" xr:uid="{D04A8686-17A7-4083-B54A-3DFCE4FEFCEF}"/>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E97C6FF3-B63F-46E2-BA26-9449BAA902F2}"/>
    <cellStyle name="Comma 4 2 2 3 2 3 2 2 3" xfId="26202" xr:uid="{20EADB4A-8C90-4D90-82BD-4CA7BA5E022A}"/>
    <cellStyle name="Comma 4 2 2 3 2 3 2 3" xfId="12686" xr:uid="{56107D01-913A-4A0F-8A35-7360192CD023}"/>
    <cellStyle name="Comma 4 2 2 3 2 3 2 4" xfId="21985" xr:uid="{FCB7934C-1721-4B56-9C84-74EE065DE3C9}"/>
    <cellStyle name="Comma 4 2 2 3 2 3 3" xfId="5432" xr:uid="{00000000-0005-0000-0000-000006080000}"/>
    <cellStyle name="Comma 4 2 2 3 2 3 3 2" xfId="14758" xr:uid="{34F1D630-B639-4171-A69D-626744B073BF}"/>
    <cellStyle name="Comma 4 2 2 3 2 3 3 3" xfId="24057" xr:uid="{1E1D9282-43F7-4ECD-82D8-8627D8179FD1}"/>
    <cellStyle name="Comma 4 2 2 3 2 3 4" xfId="10541" xr:uid="{6B834E56-958E-4CD8-8DDD-8F38703B1650}"/>
    <cellStyle name="Comma 4 2 2 3 2 3 5" xfId="19840" xr:uid="{F41E4C32-BBE0-44C8-AAC0-003773952E4D}"/>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5B795B98-6EBF-431F-ADE4-5C8597FAC3EE}"/>
    <cellStyle name="Comma 4 2 2 3 2 4 2 2 3" xfId="26615" xr:uid="{BA5DDFDF-DAE3-42AE-AD93-85C7FF732A3B}"/>
    <cellStyle name="Comma 4 2 2 3 2 4 2 3" xfId="13099" xr:uid="{4B857FD1-509D-47F9-A091-08EC51541CCF}"/>
    <cellStyle name="Comma 4 2 2 3 2 4 2 4" xfId="22398" xr:uid="{13DA91AB-510C-4840-A46C-B39175EE8098}"/>
    <cellStyle name="Comma 4 2 2 3 2 4 3" xfId="5845" xr:uid="{00000000-0005-0000-0000-00000A080000}"/>
    <cellStyle name="Comma 4 2 2 3 2 4 3 2" xfId="15171" xr:uid="{8336ACF6-8BD3-4828-8B85-C6496172C6FC}"/>
    <cellStyle name="Comma 4 2 2 3 2 4 3 3" xfId="24470" xr:uid="{8962B509-6064-4A27-823E-D6F6CF827E74}"/>
    <cellStyle name="Comma 4 2 2 3 2 4 4" xfId="10954" xr:uid="{B9B778A8-798A-4987-ABCF-FD6A4B276791}"/>
    <cellStyle name="Comma 4 2 2 3 2 4 5" xfId="20253" xr:uid="{1D18C910-24BC-4116-BEC4-084C4FC4079A}"/>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61EF4AD0-F3C7-49D2-B1EA-B44762A5409D}"/>
    <cellStyle name="Comma 4 2 2 3 2 5 2 2 3" xfId="27028" xr:uid="{58846CAF-DB42-4735-BD0D-F16090A38CCA}"/>
    <cellStyle name="Comma 4 2 2 3 2 5 2 3" xfId="13512" xr:uid="{B498A8B0-8619-4975-ACE4-DA01F13206F5}"/>
    <cellStyle name="Comma 4 2 2 3 2 5 2 4" xfId="22811" xr:uid="{073C0F75-20CC-45FD-A044-E97FE3D07305}"/>
    <cellStyle name="Comma 4 2 2 3 2 5 3" xfId="6258" xr:uid="{00000000-0005-0000-0000-00000E080000}"/>
    <cellStyle name="Comma 4 2 2 3 2 5 3 2" xfId="15584" xr:uid="{88FC4CDD-C2A5-404D-B67A-5F6CFAB8E80E}"/>
    <cellStyle name="Comma 4 2 2 3 2 5 3 3" xfId="24883" xr:uid="{1F6B56E3-EFFF-47F3-BA71-0037FCC9CA63}"/>
    <cellStyle name="Comma 4 2 2 3 2 5 4" xfId="11367" xr:uid="{B34F5236-27D2-4A54-B070-C9180219568C}"/>
    <cellStyle name="Comma 4 2 2 3 2 5 5" xfId="20666" xr:uid="{F895D8A6-7E1E-4E65-BDF0-F3A4E6B5F1CA}"/>
    <cellStyle name="Comma 4 2 2 3 2 6" xfId="2387" xr:uid="{00000000-0005-0000-0000-00000F080000}"/>
    <cellStyle name="Comma 4 2 2 3 2 6 2" xfId="6671" xr:uid="{00000000-0005-0000-0000-000010080000}"/>
    <cellStyle name="Comma 4 2 2 3 2 6 2 2" xfId="15997" xr:uid="{60EA58DF-1B65-4690-9F47-20B2EEE27726}"/>
    <cellStyle name="Comma 4 2 2 3 2 6 2 3" xfId="25296" xr:uid="{70809FFA-A570-40D6-AA0A-E41442F867BD}"/>
    <cellStyle name="Comma 4 2 2 3 2 6 3" xfId="11780" xr:uid="{327CD431-F372-4578-8C0E-517491F2AD38}"/>
    <cellStyle name="Comma 4 2 2 3 2 6 4" xfId="21079" xr:uid="{D4658340-6442-4FBE-9383-0A7EFCF5BB45}"/>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F7CBC3D2-C7B8-4BB7-AD95-8DB65EE815DE}"/>
    <cellStyle name="Comma 4 2 2 3 2 8 2 3" xfId="25613" xr:uid="{F23B352F-97DB-46D9-BF43-0F498661EC25}"/>
    <cellStyle name="Comma 4 2 2 3 2 8 3" xfId="12097" xr:uid="{8CEF2E40-E43B-48BE-A556-CF027D26C628}"/>
    <cellStyle name="Comma 4 2 2 3 2 8 4" xfId="21396" xr:uid="{070AF986-C0B8-43CB-9DC5-195D50B9247B}"/>
    <cellStyle name="Comma 4 2 2 3 2 9" xfId="4605" xr:uid="{00000000-0005-0000-0000-000014080000}"/>
    <cellStyle name="Comma 4 2 2 3 2 9 2" xfId="13931" xr:uid="{7D282326-326E-42CC-9FFD-20F3BE897101}"/>
    <cellStyle name="Comma 4 2 2 3 2 9 3" xfId="23230" xr:uid="{0D4A594A-5C55-4AA5-8763-BA283E8A2267}"/>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68EAF9B5-86EB-494B-B4B4-4C0FE6C8FAA4}"/>
    <cellStyle name="Comma 4 2 2 3 3 2 2 3" xfId="25788" xr:uid="{B79F4A37-0A2D-4669-A910-1D7CD4BC555E}"/>
    <cellStyle name="Comma 4 2 2 3 3 2 3" xfId="12272" xr:uid="{12F5B923-DD38-414A-BED9-34390F192012}"/>
    <cellStyle name="Comma 4 2 2 3 3 2 4" xfId="21571" xr:uid="{6A2B2E08-67C8-4340-A366-2C285CCEE362}"/>
    <cellStyle name="Comma 4 2 2 3 3 3" xfId="5018" xr:uid="{00000000-0005-0000-0000-000018080000}"/>
    <cellStyle name="Comma 4 2 2 3 3 3 2" xfId="14344" xr:uid="{CA09D229-36D5-473E-8A3B-65A20FBB37B5}"/>
    <cellStyle name="Comma 4 2 2 3 3 3 3" xfId="23643" xr:uid="{655ED66E-257D-4A5C-B015-529C4742A1EE}"/>
    <cellStyle name="Comma 4 2 2 3 3 4" xfId="9314" xr:uid="{A74197AE-1229-40FC-8212-8FB289D74FF6}"/>
    <cellStyle name="Comma 4 2 2 3 3 4 2" xfId="18629" xr:uid="{2BC312EC-BDD4-40AE-A889-2C950C66F3A0}"/>
    <cellStyle name="Comma 4 2 2 3 3 4 3" xfId="27926" xr:uid="{9FF1421E-DE89-410A-9AF4-33AF3E1748AA}"/>
    <cellStyle name="Comma 4 2 2 3 3 5" xfId="10127" xr:uid="{999CFAE0-BCEA-4700-B065-6985E0882C01}"/>
    <cellStyle name="Comma 4 2 2 3 3 6" xfId="19426" xr:uid="{FB8EAD6A-CACC-48FB-948D-AD81E2960D5A}"/>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835617B1-FD83-44A6-955F-8045B17360F4}"/>
    <cellStyle name="Comma 4 2 2 3 4 2 2 3" xfId="26201" xr:uid="{19842580-7851-4690-B86C-B2E24A214A57}"/>
    <cellStyle name="Comma 4 2 2 3 4 2 3" xfId="12685" xr:uid="{C7C24EF7-B0CE-4BAB-BA6A-786BE7645EDA}"/>
    <cellStyle name="Comma 4 2 2 3 4 2 4" xfId="21984" xr:uid="{F7F9B0DA-A050-4045-A88B-3B90CEEDEA18}"/>
    <cellStyle name="Comma 4 2 2 3 4 3" xfId="5431" xr:uid="{00000000-0005-0000-0000-00001C080000}"/>
    <cellStyle name="Comma 4 2 2 3 4 3 2" xfId="14757" xr:uid="{95B88263-D0E9-475C-A6D3-683537A2F397}"/>
    <cellStyle name="Comma 4 2 2 3 4 3 3" xfId="24056" xr:uid="{276C474D-E4BC-421B-A10D-D100221F6659}"/>
    <cellStyle name="Comma 4 2 2 3 4 4" xfId="10540" xr:uid="{BAACEC00-AE79-4DDE-8BB7-D4719A25E497}"/>
    <cellStyle name="Comma 4 2 2 3 4 5" xfId="19839" xr:uid="{671F36C6-B187-4337-AB54-16A38333B5D8}"/>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EFBAE05E-F1AE-4327-8671-EEC6E78BA1F3}"/>
    <cellStyle name="Comma 4 2 2 3 5 2 2 3" xfId="26614" xr:uid="{0B93A339-B53D-4EDF-B9BC-928ABC1F95E9}"/>
    <cellStyle name="Comma 4 2 2 3 5 2 3" xfId="13098" xr:uid="{7116145D-1ACE-4B8F-8E35-B14988FE7B3A}"/>
    <cellStyle name="Comma 4 2 2 3 5 2 4" xfId="22397" xr:uid="{2EFE59DA-B55D-4493-86CE-05FC19E8031A}"/>
    <cellStyle name="Comma 4 2 2 3 5 3" xfId="5844" xr:uid="{00000000-0005-0000-0000-000020080000}"/>
    <cellStyle name="Comma 4 2 2 3 5 3 2" xfId="15170" xr:uid="{1633C6C7-AABB-49DB-85C7-5D98A5B7F556}"/>
    <cellStyle name="Comma 4 2 2 3 5 3 3" xfId="24469" xr:uid="{DC2BD7A2-30E9-434F-99A2-1FAAD3CF5850}"/>
    <cellStyle name="Comma 4 2 2 3 5 4" xfId="10953" xr:uid="{95D2CFB8-3BAE-4AA5-86F5-7CE6D9CA999F}"/>
    <cellStyle name="Comma 4 2 2 3 5 5" xfId="20252" xr:uid="{4EFC66ED-66F6-468F-A443-A1B05353B3FA}"/>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8C767E1B-271D-4434-95B1-E76FA15F3C8B}"/>
    <cellStyle name="Comma 4 2 2 3 6 2 2 3" xfId="27027" xr:uid="{4557A7F8-10F2-4A97-BF77-493123F4B0F7}"/>
    <cellStyle name="Comma 4 2 2 3 6 2 3" xfId="13511" xr:uid="{40462795-C8BE-4F8E-A07F-528C2A5577CA}"/>
    <cellStyle name="Comma 4 2 2 3 6 2 4" xfId="22810" xr:uid="{A13446D5-4C5F-46A7-BB0C-FE50B4A572B1}"/>
    <cellStyle name="Comma 4 2 2 3 6 3" xfId="6257" xr:uid="{00000000-0005-0000-0000-000024080000}"/>
    <cellStyle name="Comma 4 2 2 3 6 3 2" xfId="15583" xr:uid="{875784E8-301C-4B7E-9F56-8BFEC9C003B6}"/>
    <cellStyle name="Comma 4 2 2 3 6 3 3" xfId="24882" xr:uid="{F32EEB25-2325-43A4-B89B-072F51D51F0D}"/>
    <cellStyle name="Comma 4 2 2 3 6 4" xfId="11366" xr:uid="{F59E4623-E9E4-4A43-AE2D-B991466BFC01}"/>
    <cellStyle name="Comma 4 2 2 3 6 5" xfId="20665" xr:uid="{FD152F75-83A0-41CD-A574-95547F9ED6A7}"/>
    <cellStyle name="Comma 4 2 2 3 7" xfId="2386" xr:uid="{00000000-0005-0000-0000-000025080000}"/>
    <cellStyle name="Comma 4 2 2 3 7 2" xfId="6670" xr:uid="{00000000-0005-0000-0000-000026080000}"/>
    <cellStyle name="Comma 4 2 2 3 7 2 2" xfId="15996" xr:uid="{8ED5FF2E-954C-45E2-9AAA-FA4CFB349917}"/>
    <cellStyle name="Comma 4 2 2 3 7 2 3" xfId="25295" xr:uid="{550DC238-075D-449E-80A7-2F1B5D6EE977}"/>
    <cellStyle name="Comma 4 2 2 3 7 3" xfId="11779" xr:uid="{EB34DD22-C67D-4863-BCD0-D95AF67DB232}"/>
    <cellStyle name="Comma 4 2 2 3 7 4" xfId="21078" xr:uid="{5418F2C1-8678-49AE-BD47-82514D31BF9F}"/>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148AE20D-DA60-469A-BA91-783D830F6F22}"/>
    <cellStyle name="Comma 4 2 2 3 9 2 3" xfId="25612" xr:uid="{D0FCEC69-078F-4651-8EEA-5DF158D7E44F}"/>
    <cellStyle name="Comma 4 2 2 3 9 3" xfId="12096" xr:uid="{073353A0-242A-458F-A82A-01CB9E1FA86E}"/>
    <cellStyle name="Comma 4 2 2 3 9 4" xfId="21395" xr:uid="{1D02379D-7724-4740-AAB7-330005365CC4}"/>
    <cellStyle name="Comma 4 2 2 4" xfId="134" xr:uid="{00000000-0005-0000-0000-00002A080000}"/>
    <cellStyle name="Comma 4 2 2 4 10" xfId="8993" xr:uid="{2969CB69-37C4-4C43-BC9D-87F92556F829}"/>
    <cellStyle name="Comma 4 2 2 4 10 2" xfId="18317" xr:uid="{B139649A-A5E4-495A-AB02-CCFDF3FCA6B0}"/>
    <cellStyle name="Comma 4 2 2 4 10 3" xfId="27615" xr:uid="{2FBB8BC2-7308-4F52-8C25-2A4A684FB1FA}"/>
    <cellStyle name="Comma 4 2 2 4 11" xfId="9715" xr:uid="{C6553099-9259-4E50-BA49-6F2EDA6D0E4D}"/>
    <cellStyle name="Comma 4 2 2 4 12" xfId="19014" xr:uid="{DC4850B8-B7C4-4B99-BDD6-2C967680204B}"/>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B9E658B9-25FA-48FA-88C3-B0F968FFD79C}"/>
    <cellStyle name="Comma 4 2 2 4 2 2 2 3" xfId="25790" xr:uid="{98CEDEB6-380C-4CEA-AFF9-012AF8837355}"/>
    <cellStyle name="Comma 4 2 2 4 2 2 3" xfId="12274" xr:uid="{24F41BF0-8956-42AA-8B79-DCA294F69D38}"/>
    <cellStyle name="Comma 4 2 2 4 2 2 4" xfId="21573" xr:uid="{68C21EFE-F96C-4423-8A25-F69BEBD2DADD}"/>
    <cellStyle name="Comma 4 2 2 4 2 3" xfId="5020" xr:uid="{00000000-0005-0000-0000-00002E080000}"/>
    <cellStyle name="Comma 4 2 2 4 2 3 2" xfId="14346" xr:uid="{3BF11465-0034-4443-A4A5-BD172F41111D}"/>
    <cellStyle name="Comma 4 2 2 4 2 3 3" xfId="23645" xr:uid="{7E97D8E1-02A0-4C41-8506-A65573F6516E}"/>
    <cellStyle name="Comma 4 2 2 4 2 4" xfId="9418" xr:uid="{F2EB07B7-2227-485D-9411-A8F75EC2F9DA}"/>
    <cellStyle name="Comma 4 2 2 4 2 4 2" xfId="18733" xr:uid="{836384B3-6992-41AB-85EF-870A5667A024}"/>
    <cellStyle name="Comma 4 2 2 4 2 4 3" xfId="28030" xr:uid="{48E16B0C-BCE3-4B81-B72C-B09B8B5D2BAD}"/>
    <cellStyle name="Comma 4 2 2 4 2 5" xfId="10129" xr:uid="{7DA0F26F-5DFE-4398-A6B4-985DCD89827B}"/>
    <cellStyle name="Comma 4 2 2 4 2 6" xfId="19428" xr:uid="{6DE537FC-524E-4A4F-AD93-DDCC14F8CBF3}"/>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921B7E38-2C03-45DA-B50E-EAE98CB3790C}"/>
    <cellStyle name="Comma 4 2 2 4 3 2 2 3" xfId="26203" xr:uid="{A5AFA4A6-A9B3-4B4E-9E4D-91BB5D4BD740}"/>
    <cellStyle name="Comma 4 2 2 4 3 2 3" xfId="12687" xr:uid="{AE6C848F-F620-4C78-803B-D31464C4E8A4}"/>
    <cellStyle name="Comma 4 2 2 4 3 2 4" xfId="21986" xr:uid="{63824B97-5C59-48BB-9AAE-1521D4CD9FD7}"/>
    <cellStyle name="Comma 4 2 2 4 3 3" xfId="5433" xr:uid="{00000000-0005-0000-0000-000032080000}"/>
    <cellStyle name="Comma 4 2 2 4 3 3 2" xfId="14759" xr:uid="{0A30A235-1C81-42A0-A2B1-13BD74924C1F}"/>
    <cellStyle name="Comma 4 2 2 4 3 3 3" xfId="24058" xr:uid="{2FF49517-AB86-4790-B8B4-A296885B3F5D}"/>
    <cellStyle name="Comma 4 2 2 4 3 4" xfId="10542" xr:uid="{46EA1094-1A64-4E50-9848-2ABF0B81D335}"/>
    <cellStyle name="Comma 4 2 2 4 3 5" xfId="19841" xr:uid="{D04AAA27-6B45-436F-99D3-5F9A7186CD6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B1E61650-78FE-481F-8202-BEEAB100B62E}"/>
    <cellStyle name="Comma 4 2 2 4 4 2 2 3" xfId="26616" xr:uid="{B3FD0DCA-D47E-4A43-8C6C-E26F510992A2}"/>
    <cellStyle name="Comma 4 2 2 4 4 2 3" xfId="13100" xr:uid="{960D36F9-69F6-4B54-AA9A-6626225126C7}"/>
    <cellStyle name="Comma 4 2 2 4 4 2 4" xfId="22399" xr:uid="{FC05A62A-4CBA-4B9B-8297-993CD064A011}"/>
    <cellStyle name="Comma 4 2 2 4 4 3" xfId="5846" xr:uid="{00000000-0005-0000-0000-000036080000}"/>
    <cellStyle name="Comma 4 2 2 4 4 3 2" xfId="15172" xr:uid="{137E0AAE-196F-49F1-AD83-922D38A0DC47}"/>
    <cellStyle name="Comma 4 2 2 4 4 3 3" xfId="24471" xr:uid="{76D7454F-E1B1-4523-8BFF-586F62604F24}"/>
    <cellStyle name="Comma 4 2 2 4 4 4" xfId="10955" xr:uid="{56D00C2C-40F6-4211-977A-661956CF9377}"/>
    <cellStyle name="Comma 4 2 2 4 4 5" xfId="20254" xr:uid="{BD45ECBC-42CC-45A2-AEB3-3A1539510BD0}"/>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85D92ED8-8C83-4CF9-8A80-C56102E4F67A}"/>
    <cellStyle name="Comma 4 2 2 4 5 2 2 3" xfId="27029" xr:uid="{429C90E5-4032-416D-B2E0-FE52531F209A}"/>
    <cellStyle name="Comma 4 2 2 4 5 2 3" xfId="13513" xr:uid="{EB547D59-59FB-400E-8C81-1AFB4437516D}"/>
    <cellStyle name="Comma 4 2 2 4 5 2 4" xfId="22812" xr:uid="{71B80313-8EF8-4695-BDBB-99DD33DE5ADE}"/>
    <cellStyle name="Comma 4 2 2 4 5 3" xfId="6259" xr:uid="{00000000-0005-0000-0000-00003A080000}"/>
    <cellStyle name="Comma 4 2 2 4 5 3 2" xfId="15585" xr:uid="{5B550BFA-3F74-4164-990B-EF623D79C1B8}"/>
    <cellStyle name="Comma 4 2 2 4 5 3 3" xfId="24884" xr:uid="{F7625116-E390-4939-A959-AB7DE7221DA8}"/>
    <cellStyle name="Comma 4 2 2 4 5 4" xfId="11368" xr:uid="{CEE58730-B729-4723-B8BB-C358147C6B7F}"/>
    <cellStyle name="Comma 4 2 2 4 5 5" xfId="20667" xr:uid="{13138F10-60CB-47D9-9E16-DC44997986A2}"/>
    <cellStyle name="Comma 4 2 2 4 6" xfId="2388" xr:uid="{00000000-0005-0000-0000-00003B080000}"/>
    <cellStyle name="Comma 4 2 2 4 6 2" xfId="6672" xr:uid="{00000000-0005-0000-0000-00003C080000}"/>
    <cellStyle name="Comma 4 2 2 4 6 2 2" xfId="15998" xr:uid="{5039FAFA-714D-48DD-A1C8-4B2A3484E516}"/>
    <cellStyle name="Comma 4 2 2 4 6 2 3" xfId="25297" xr:uid="{F89AB44B-8F94-4985-92D9-A3C35DA6B82B}"/>
    <cellStyle name="Comma 4 2 2 4 6 3" xfId="11781" xr:uid="{A2C963AD-B068-4B87-90B6-BB5FD148A2F9}"/>
    <cellStyle name="Comma 4 2 2 4 6 4" xfId="21080" xr:uid="{9D01611F-560B-4A08-A146-DE22D5CD772F}"/>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5CDC4AB0-9A9B-4979-B34C-70E3DC28F457}"/>
    <cellStyle name="Comma 4 2 2 4 8 2 3" xfId="25614" xr:uid="{DBA4AFB0-F2A3-4A11-A632-87B2AF742D3B}"/>
    <cellStyle name="Comma 4 2 2 4 8 3" xfId="12098" xr:uid="{A2273693-21AD-4536-A275-9BDC42CCFFB8}"/>
    <cellStyle name="Comma 4 2 2 4 8 4" xfId="21397" xr:uid="{FD1E1202-BDCE-4F85-A1E5-F83D22B9FB25}"/>
    <cellStyle name="Comma 4 2 2 4 9" xfId="4606" xr:uid="{00000000-0005-0000-0000-000040080000}"/>
    <cellStyle name="Comma 4 2 2 4 9 2" xfId="13932" xr:uid="{4AF72C5C-9D15-4E7F-BACF-D53719F9899B}"/>
    <cellStyle name="Comma 4 2 2 4 9 3" xfId="23231" xr:uid="{36D1EA27-FAF0-400C-9EF9-1127E09F84D1}"/>
    <cellStyle name="Comma 4 2 2 5" xfId="135" xr:uid="{00000000-0005-0000-0000-000041080000}"/>
    <cellStyle name="Comma 4 2 2 5 10" xfId="9210" xr:uid="{C1F9418B-EF96-4063-883D-A983E131C6A4}"/>
    <cellStyle name="Comma 4 2 2 5 10 2" xfId="18526" xr:uid="{029BF9AE-B4C3-480F-80B4-2706A2091D2F}"/>
    <cellStyle name="Comma 4 2 2 5 10 3" xfId="27823" xr:uid="{F4CE7C81-766D-4B85-942F-1C8D8B104A5E}"/>
    <cellStyle name="Comma 4 2 2 5 11" xfId="9716" xr:uid="{C305EF85-673E-4004-BFD0-0992490A402F}"/>
    <cellStyle name="Comma 4 2 2 5 12" xfId="19015" xr:uid="{5328BA16-AAA9-4A1F-B0B8-6B87CF49EC7E}"/>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4FB264B8-544A-4CDF-B99E-F21D5554FAD7}"/>
    <cellStyle name="Comma 4 2 2 5 2 2 2 3" xfId="25791" xr:uid="{F2DD159E-63EE-4958-92D7-24C0F7E2AF11}"/>
    <cellStyle name="Comma 4 2 2 5 2 2 3" xfId="12275" xr:uid="{AB85529D-A004-4999-A4CC-EB2A8550E3A2}"/>
    <cellStyle name="Comma 4 2 2 5 2 2 4" xfId="21574" xr:uid="{AE5ED51F-84D0-4075-A3D4-EA378264536B}"/>
    <cellStyle name="Comma 4 2 2 5 2 3" xfId="5021" xr:uid="{00000000-0005-0000-0000-000045080000}"/>
    <cellStyle name="Comma 4 2 2 5 2 3 2" xfId="14347" xr:uid="{27CB3224-EC0F-4E75-9A3B-3990BB4CEF89}"/>
    <cellStyle name="Comma 4 2 2 5 2 3 3" xfId="23646" xr:uid="{285477E2-EFC5-4DD9-87B1-6BE06A7C5BBF}"/>
    <cellStyle name="Comma 4 2 2 5 2 4" xfId="9593" xr:uid="{3B41C66E-2108-4CBE-9776-211459781E55}"/>
    <cellStyle name="Comma 4 2 2 5 2 4 2" xfId="18897" xr:uid="{E4368B2E-939A-45C8-ACB4-A658E4E2EA65}"/>
    <cellStyle name="Comma 4 2 2 5 2 4 3" xfId="28194" xr:uid="{9ACBE11B-EE72-49C2-9608-A276FCC178B8}"/>
    <cellStyle name="Comma 4 2 2 5 2 5" xfId="10130" xr:uid="{8ED6F4DC-813B-4FE8-9DD8-1D7C4DBDCDBE}"/>
    <cellStyle name="Comma 4 2 2 5 2 6" xfId="19429" xr:uid="{331B015B-3D5E-45BE-948C-90C86B7FB3D8}"/>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D6D0C982-166B-4BCC-AF97-2FF540601702}"/>
    <cellStyle name="Comma 4 2 2 5 3 2 2 3" xfId="26204" xr:uid="{CA0B8D74-96AF-4FCF-AD55-2E571B64EDD3}"/>
    <cellStyle name="Comma 4 2 2 5 3 2 3" xfId="12688" xr:uid="{4760A107-1172-48C8-8032-6AA6960B7432}"/>
    <cellStyle name="Comma 4 2 2 5 3 2 4" xfId="21987" xr:uid="{EDDE72AD-5994-44B8-BDDF-3B11CCCF8E69}"/>
    <cellStyle name="Comma 4 2 2 5 3 3" xfId="5434" xr:uid="{00000000-0005-0000-0000-000049080000}"/>
    <cellStyle name="Comma 4 2 2 5 3 3 2" xfId="14760" xr:uid="{E7F23B24-D447-43EC-888B-171B9E5F1428}"/>
    <cellStyle name="Comma 4 2 2 5 3 3 3" xfId="24059" xr:uid="{DA03CB3A-85A5-4E49-8B70-5E328282A36F}"/>
    <cellStyle name="Comma 4 2 2 5 3 4" xfId="10543" xr:uid="{F9CFD423-0CB9-4BDF-8BA2-342052AFB823}"/>
    <cellStyle name="Comma 4 2 2 5 3 5" xfId="19842" xr:uid="{DF845091-8865-4633-8473-7DA6C7F537D8}"/>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DCAA1E6E-1F8D-4928-B31F-E51296A2EE01}"/>
    <cellStyle name="Comma 4 2 2 5 4 2 2 3" xfId="26617" xr:uid="{B07E02EF-7D69-422F-9986-FE07F56F6006}"/>
    <cellStyle name="Comma 4 2 2 5 4 2 3" xfId="13101" xr:uid="{A39866AF-5439-451D-B1F5-0D461864C59C}"/>
    <cellStyle name="Comma 4 2 2 5 4 2 4" xfId="22400" xr:uid="{1C0E36F4-74F8-403D-83F0-0B785D19E1E5}"/>
    <cellStyle name="Comma 4 2 2 5 4 3" xfId="5847" xr:uid="{00000000-0005-0000-0000-00004D080000}"/>
    <cellStyle name="Comma 4 2 2 5 4 3 2" xfId="15173" xr:uid="{E3215768-2D7E-4409-8213-65337F1BBD4B}"/>
    <cellStyle name="Comma 4 2 2 5 4 3 3" xfId="24472" xr:uid="{E1FF6C40-276F-4930-8DCE-6FC9EC969FC6}"/>
    <cellStyle name="Comma 4 2 2 5 4 4" xfId="10956" xr:uid="{1331B52B-35CF-44C6-955E-115A727FB36F}"/>
    <cellStyle name="Comma 4 2 2 5 4 5" xfId="20255" xr:uid="{FF26ACD3-32B1-4870-8048-E6A9E991DBC3}"/>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11E77C1C-F41A-41CA-A8C3-2A684AF44A88}"/>
    <cellStyle name="Comma 4 2 2 5 5 2 2 3" xfId="27030" xr:uid="{019193A8-9EE5-455E-97B1-B714DBB1793D}"/>
    <cellStyle name="Comma 4 2 2 5 5 2 3" xfId="13514" xr:uid="{B5D940EC-28D6-48D4-95B7-FD4D56811735}"/>
    <cellStyle name="Comma 4 2 2 5 5 2 4" xfId="22813" xr:uid="{8D58081A-AC10-49E7-96B7-B2C84FE2751B}"/>
    <cellStyle name="Comma 4 2 2 5 5 3" xfId="6260" xr:uid="{00000000-0005-0000-0000-000051080000}"/>
    <cellStyle name="Comma 4 2 2 5 5 3 2" xfId="15586" xr:uid="{DE9BD3AA-F73E-4BE0-9C86-C5FAC68FF324}"/>
    <cellStyle name="Comma 4 2 2 5 5 3 3" xfId="24885" xr:uid="{1F3B6D91-0C25-41FA-8E46-5FD6CDC787D3}"/>
    <cellStyle name="Comma 4 2 2 5 5 4" xfId="11369" xr:uid="{0174A933-2262-46F4-8FC5-E6C6E07A0C21}"/>
    <cellStyle name="Comma 4 2 2 5 5 5" xfId="20668" xr:uid="{7DD230BD-C403-4AF5-AF78-ACEAB97B7D00}"/>
    <cellStyle name="Comma 4 2 2 5 6" xfId="2389" xr:uid="{00000000-0005-0000-0000-000052080000}"/>
    <cellStyle name="Comma 4 2 2 5 6 2" xfId="6673" xr:uid="{00000000-0005-0000-0000-000053080000}"/>
    <cellStyle name="Comma 4 2 2 5 6 2 2" xfId="15999" xr:uid="{EB8E5EC7-C5D0-4345-8421-AA8A50345452}"/>
    <cellStyle name="Comma 4 2 2 5 6 2 3" xfId="25298" xr:uid="{CDCE8B48-5A79-46D8-841F-72374232AEEA}"/>
    <cellStyle name="Comma 4 2 2 5 6 3" xfId="11782" xr:uid="{EB2A0391-7B3D-4B85-8709-D9732D6A583A}"/>
    <cellStyle name="Comma 4 2 2 5 6 4" xfId="21081" xr:uid="{02E49BD3-4664-4C1A-9472-3F0765F4ED1C}"/>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E7F3FE91-0556-44F9-BC9B-CB0E27275FD7}"/>
    <cellStyle name="Comma 4 2 2 5 8 2 3" xfId="25615" xr:uid="{C3DA68BD-B9DE-49F5-8E4E-D22FD49AB63C}"/>
    <cellStyle name="Comma 4 2 2 5 8 3" xfId="12099" xr:uid="{821FE9A3-D09C-4DAB-92B6-A0B6FF0DAC0C}"/>
    <cellStyle name="Comma 4 2 2 5 8 4" xfId="21398" xr:uid="{09C7F173-D376-4246-B952-71F56015FA95}"/>
    <cellStyle name="Comma 4 2 2 5 9" xfId="4607" xr:uid="{00000000-0005-0000-0000-000057080000}"/>
    <cellStyle name="Comma 4 2 2 5 9 2" xfId="13933" xr:uid="{8B7ABA47-7F82-4416-B411-B7A8C5DEA152}"/>
    <cellStyle name="Comma 4 2 2 5 9 3" xfId="23232" xr:uid="{6F80D57E-C275-4DDC-A197-D9C7B922B617}"/>
    <cellStyle name="Comma 4 2 2 6" xfId="9228" xr:uid="{49D8FCED-23A7-48B2-8D10-F90787B2F62D}"/>
    <cellStyle name="Comma 4 2 2 7" xfId="8786" xr:uid="{8FDBE9F4-5F27-4B1B-A262-D62BF874EF16}"/>
    <cellStyle name="Comma 4 2 2 7 2" xfId="18110" xr:uid="{725FC986-8652-423E-951E-9F73B83F1A08}"/>
    <cellStyle name="Comma 4 2 2 7 3" xfId="27408" xr:uid="{0D926DD6-18CC-4C44-9C89-B9B6F3978583}"/>
    <cellStyle name="Comma 4 2 3" xfId="136" xr:uid="{00000000-0005-0000-0000-000058080000}"/>
    <cellStyle name="Comma 4 2 3 10" xfId="2768" xr:uid="{00000000-0005-0000-0000-000059080000}"/>
    <cellStyle name="Comma 4 2 3 10 2" xfId="6991" xr:uid="{00000000-0005-0000-0000-00005A080000}"/>
    <cellStyle name="Comma 4 2 3 10 2 2" xfId="16317" xr:uid="{7B32A69C-F4CC-4332-B573-8CBD38D50109}"/>
    <cellStyle name="Comma 4 2 3 10 2 3" xfId="25616" xr:uid="{01E1D433-D426-455D-B1B4-65DE7237E1AF}"/>
    <cellStyle name="Comma 4 2 3 10 3" xfId="12100" xr:uid="{D36D57CF-862B-4EC8-AF2B-0591EE13538B}"/>
    <cellStyle name="Comma 4 2 3 10 4" xfId="21399" xr:uid="{75C3085C-13EE-4549-90E3-4D30663D9E05}"/>
    <cellStyle name="Comma 4 2 3 11" xfId="4608" xr:uid="{00000000-0005-0000-0000-00005B080000}"/>
    <cellStyle name="Comma 4 2 3 11 2" xfId="13934" xr:uid="{25080779-3CFA-47F0-B3EE-45C0BF24C447}"/>
    <cellStyle name="Comma 4 2 3 11 3" xfId="23233" xr:uid="{DEFC4B30-89E9-4C20-BA7F-314803FA9C8B}"/>
    <cellStyle name="Comma 4 2 3 12" xfId="8805" xr:uid="{C45527F6-07B7-4887-BAF3-A6424444BA3B}"/>
    <cellStyle name="Comma 4 2 3 12 2" xfId="18129" xr:uid="{FE38CCDA-AEFF-4B62-997B-87569DC4C67A}"/>
    <cellStyle name="Comma 4 2 3 12 3" xfId="27427" xr:uid="{1A28B243-86AA-4C65-B657-4DE280A28A9D}"/>
    <cellStyle name="Comma 4 2 3 13" xfId="9717" xr:uid="{C04676CB-64AA-4DD1-8126-7E0BD791B90E}"/>
    <cellStyle name="Comma 4 2 3 14" xfId="19016" xr:uid="{417C715C-69E9-482C-9072-DD4A55ABC43A}"/>
    <cellStyle name="Comma 4 2 3 2" xfId="137" xr:uid="{00000000-0005-0000-0000-00005C080000}"/>
    <cellStyle name="Comma 4 2 3 2 10" xfId="4609" xr:uid="{00000000-0005-0000-0000-00005D080000}"/>
    <cellStyle name="Comma 4 2 3 2 10 2" xfId="13935" xr:uid="{EADADA83-736F-4C1C-B022-7E587B4BE4F4}"/>
    <cellStyle name="Comma 4 2 3 2 10 3" xfId="23234" xr:uid="{E3A5C923-5CA9-456C-8A15-66879B9980BB}"/>
    <cellStyle name="Comma 4 2 3 2 11" xfId="8908" xr:uid="{E7021C11-E6EB-4392-A0AD-2A78F42B4BB7}"/>
    <cellStyle name="Comma 4 2 3 2 11 2" xfId="18232" xr:uid="{6D332DA9-6CF3-4C16-97D0-A31B52D15B0B}"/>
    <cellStyle name="Comma 4 2 3 2 11 3" xfId="27530" xr:uid="{BA5FB2B7-3013-4E9B-BDBD-1157A2FDD053}"/>
    <cellStyle name="Comma 4 2 3 2 12" xfId="9718" xr:uid="{FD080230-A074-4A18-A90D-4ECB2EAF6BC0}"/>
    <cellStyle name="Comma 4 2 3 2 13" xfId="19017" xr:uid="{518AF4E4-18D8-49A2-91EF-E5B5AF463FA5}"/>
    <cellStyle name="Comma 4 2 3 2 2" xfId="138" xr:uid="{00000000-0005-0000-0000-00005E080000}"/>
    <cellStyle name="Comma 4 2 3 2 2 10" xfId="9115" xr:uid="{1A31CCC4-B2C0-4E0C-B714-855521500FE8}"/>
    <cellStyle name="Comma 4 2 3 2 2 10 2" xfId="18439" xr:uid="{675B6D78-D96C-4015-A203-DC136B57E35A}"/>
    <cellStyle name="Comma 4 2 3 2 2 10 3" xfId="27737" xr:uid="{7C375CB9-431D-48BF-A4AC-4BA61750FD31}"/>
    <cellStyle name="Comma 4 2 3 2 2 11" xfId="9719" xr:uid="{723A44CC-C2F4-49AE-BAB1-6046666B9EBE}"/>
    <cellStyle name="Comma 4 2 3 2 2 12" xfId="19018" xr:uid="{9508CBA0-9821-49A6-BA24-CDD720BAE4C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F5B12517-099C-449B-8B64-2D7CF3BBC253}"/>
    <cellStyle name="Comma 4 2 3 2 2 2 2 2 3" xfId="25794" xr:uid="{088A44D4-78AB-476B-ACF1-169324145D91}"/>
    <cellStyle name="Comma 4 2 3 2 2 2 2 3" xfId="12278" xr:uid="{FEC4C658-BB4E-4320-A2AB-915405D4D149}"/>
    <cellStyle name="Comma 4 2 3 2 2 2 2 4" xfId="21577" xr:uid="{D1B73507-E2D6-4738-BB69-8E01BC0C07BF}"/>
    <cellStyle name="Comma 4 2 3 2 2 2 3" xfId="5024" xr:uid="{00000000-0005-0000-0000-000062080000}"/>
    <cellStyle name="Comma 4 2 3 2 2 2 3 2" xfId="14350" xr:uid="{C49BE6EE-D2CC-4CBF-BB7C-C4A6E21F11CD}"/>
    <cellStyle name="Comma 4 2 3 2 2 2 3 3" xfId="23649" xr:uid="{3BA698CE-28AE-4B0C-B41B-662890F53F54}"/>
    <cellStyle name="Comma 4 2 3 2 2 2 4" xfId="9540" xr:uid="{F922DD27-FEAE-4DB6-894F-26CD58815668}"/>
    <cellStyle name="Comma 4 2 3 2 2 2 4 2" xfId="18855" xr:uid="{0C6F2F60-EA4A-4627-B58A-C05B0A594A34}"/>
    <cellStyle name="Comma 4 2 3 2 2 2 4 3" xfId="28152" xr:uid="{40A7162B-3109-4C61-8C26-95232DA7B84C}"/>
    <cellStyle name="Comma 4 2 3 2 2 2 5" xfId="10133" xr:uid="{5E5BBB6A-3E12-45E8-94F6-642F2A9B644B}"/>
    <cellStyle name="Comma 4 2 3 2 2 2 6" xfId="19432" xr:uid="{D66190D4-6524-4A9A-8DB0-631D403ABD4D}"/>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A082D6C5-98CC-4BC8-BB0F-8099ED9D3EFB}"/>
    <cellStyle name="Comma 4 2 3 2 2 3 2 2 3" xfId="26207" xr:uid="{A3BA7854-F2F4-43D8-BBD4-0DD8737CC16D}"/>
    <cellStyle name="Comma 4 2 3 2 2 3 2 3" xfId="12691" xr:uid="{7214E2B5-71FF-41D0-B886-33FC2BD6E3FD}"/>
    <cellStyle name="Comma 4 2 3 2 2 3 2 4" xfId="21990" xr:uid="{554A441A-80C1-49A8-B3F6-0192258910E9}"/>
    <cellStyle name="Comma 4 2 3 2 2 3 3" xfId="5437" xr:uid="{00000000-0005-0000-0000-000066080000}"/>
    <cellStyle name="Comma 4 2 3 2 2 3 3 2" xfId="14763" xr:uid="{28275209-330A-424F-B98B-FB9C323D5BC5}"/>
    <cellStyle name="Comma 4 2 3 2 2 3 3 3" xfId="24062" xr:uid="{6851D1E3-7471-40A5-8A37-D50ECB04EFE9}"/>
    <cellStyle name="Comma 4 2 3 2 2 3 4" xfId="10546" xr:uid="{1A6C45B2-4674-46B8-B7AE-ACF1BAEE9F4E}"/>
    <cellStyle name="Comma 4 2 3 2 2 3 5" xfId="19845" xr:uid="{E76027B2-D498-48A6-9FE6-18CDCC621354}"/>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D98F885F-C7B9-48A7-A7CC-46ED0C925BEA}"/>
    <cellStyle name="Comma 4 2 3 2 2 4 2 2 3" xfId="26620" xr:uid="{98F9C446-3AC4-46CF-AEC8-5364E7C62EE6}"/>
    <cellStyle name="Comma 4 2 3 2 2 4 2 3" xfId="13104" xr:uid="{D0FC10E6-6878-4C43-972A-FD8B67D007C8}"/>
    <cellStyle name="Comma 4 2 3 2 2 4 2 4" xfId="22403" xr:uid="{F1171DA8-8294-4D55-9CA1-78D889059831}"/>
    <cellStyle name="Comma 4 2 3 2 2 4 3" xfId="5850" xr:uid="{00000000-0005-0000-0000-00006A080000}"/>
    <cellStyle name="Comma 4 2 3 2 2 4 3 2" xfId="15176" xr:uid="{E829DB96-602A-4D31-B421-B7F6158DBAC9}"/>
    <cellStyle name="Comma 4 2 3 2 2 4 3 3" xfId="24475" xr:uid="{76881280-8C6F-4876-AB7B-1BD792410B96}"/>
    <cellStyle name="Comma 4 2 3 2 2 4 4" xfId="10959" xr:uid="{0B2CC8A5-2B02-4743-A185-525CE7F023A1}"/>
    <cellStyle name="Comma 4 2 3 2 2 4 5" xfId="20258" xr:uid="{574A1FFE-AB32-4256-A04A-E9607346C59C}"/>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D62D5652-3A1F-4169-8864-A7F35296EB03}"/>
    <cellStyle name="Comma 4 2 3 2 2 5 2 2 3" xfId="27033" xr:uid="{D70AA303-C94A-4CAC-ADC0-9030E3A90523}"/>
    <cellStyle name="Comma 4 2 3 2 2 5 2 3" xfId="13517" xr:uid="{1BCA7222-D7F7-41D9-8B14-41F6D25CBA7D}"/>
    <cellStyle name="Comma 4 2 3 2 2 5 2 4" xfId="22816" xr:uid="{24D19EC2-597A-4481-96E7-1941BD39C5AC}"/>
    <cellStyle name="Comma 4 2 3 2 2 5 3" xfId="6263" xr:uid="{00000000-0005-0000-0000-00006E080000}"/>
    <cellStyle name="Comma 4 2 3 2 2 5 3 2" xfId="15589" xr:uid="{08D22639-DE45-4F74-B698-5C1979D9EAFD}"/>
    <cellStyle name="Comma 4 2 3 2 2 5 3 3" xfId="24888" xr:uid="{89F7A37B-F21A-451A-BEBF-F1BE07BCB67D}"/>
    <cellStyle name="Comma 4 2 3 2 2 5 4" xfId="11372" xr:uid="{9DDCD845-CE18-4331-8EF8-26DE1B646AEA}"/>
    <cellStyle name="Comma 4 2 3 2 2 5 5" xfId="20671" xr:uid="{D772E11B-E6B9-4D6D-AAA1-17EB709C31B5}"/>
    <cellStyle name="Comma 4 2 3 2 2 6" xfId="2392" xr:uid="{00000000-0005-0000-0000-00006F080000}"/>
    <cellStyle name="Comma 4 2 3 2 2 6 2" xfId="6676" xr:uid="{00000000-0005-0000-0000-000070080000}"/>
    <cellStyle name="Comma 4 2 3 2 2 6 2 2" xfId="16002" xr:uid="{12EE7FAF-9666-417D-B64F-A00EA0A92317}"/>
    <cellStyle name="Comma 4 2 3 2 2 6 2 3" xfId="25301" xr:uid="{619CAC4A-4B0F-4930-B8B1-E2F239EB2F3F}"/>
    <cellStyle name="Comma 4 2 3 2 2 6 3" xfId="11785" xr:uid="{48BB954E-98D6-4682-B18E-F5B631257877}"/>
    <cellStyle name="Comma 4 2 3 2 2 6 4" xfId="21084" xr:uid="{F845901D-23C8-4CC5-9AA3-5AB486C794D4}"/>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EC51045C-2879-47F6-9F7C-E5233599A42D}"/>
    <cellStyle name="Comma 4 2 3 2 2 8 2 3" xfId="25618" xr:uid="{BB52A3CE-BB89-43CD-9971-EB0AD83DF6C1}"/>
    <cellStyle name="Comma 4 2 3 2 2 8 3" xfId="12102" xr:uid="{13BE0903-D037-4D58-81F3-265E742DD63E}"/>
    <cellStyle name="Comma 4 2 3 2 2 8 4" xfId="21401" xr:uid="{C0E27821-445A-404E-94F2-9E0DA1B0718E}"/>
    <cellStyle name="Comma 4 2 3 2 2 9" xfId="4610" xr:uid="{00000000-0005-0000-0000-000074080000}"/>
    <cellStyle name="Comma 4 2 3 2 2 9 2" xfId="13936" xr:uid="{4EF3F246-0455-4781-9C13-330F876DE6B2}"/>
    <cellStyle name="Comma 4 2 3 2 2 9 3" xfId="23235" xr:uid="{DAF84AF2-B8CD-426F-AC63-707FF2964EB0}"/>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3D47B525-C9AC-455C-A529-2678EB92FF11}"/>
    <cellStyle name="Comma 4 2 3 2 3 2 2 3" xfId="25793" xr:uid="{134D7E7F-3058-4C46-9D30-0E2EC36EAE20}"/>
    <cellStyle name="Comma 4 2 3 2 3 2 3" xfId="12277" xr:uid="{C8C6A83C-359C-41AA-BEFF-0B3D1312DC6B}"/>
    <cellStyle name="Comma 4 2 3 2 3 2 4" xfId="21576" xr:uid="{75256F81-D1EB-4C67-987D-40622DD653A8}"/>
    <cellStyle name="Comma 4 2 3 2 3 3" xfId="5023" xr:uid="{00000000-0005-0000-0000-000078080000}"/>
    <cellStyle name="Comma 4 2 3 2 3 3 2" xfId="14349" xr:uid="{C3438AFF-9670-4895-8037-7ADF19441C5E}"/>
    <cellStyle name="Comma 4 2 3 2 3 3 3" xfId="23648" xr:uid="{A54CE29C-F36C-4D7C-9A74-A9F191347268}"/>
    <cellStyle name="Comma 4 2 3 2 3 4" xfId="9333" xr:uid="{5C974796-1B06-4FA8-AB2A-F6B34628ACD4}"/>
    <cellStyle name="Comma 4 2 3 2 3 4 2" xfId="18648" xr:uid="{19FE0C8F-A0D4-476F-95B0-008C4982176E}"/>
    <cellStyle name="Comma 4 2 3 2 3 4 3" xfId="27945" xr:uid="{CF1BE178-6D7A-4E89-9371-0B5904BBBC8E}"/>
    <cellStyle name="Comma 4 2 3 2 3 5" xfId="10132" xr:uid="{0EFFFB3F-F7CD-4F08-9FB8-D51957EFDBA9}"/>
    <cellStyle name="Comma 4 2 3 2 3 6" xfId="19431" xr:uid="{C629C71D-2030-4F89-8338-8B8CDAAB8779}"/>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526764A4-2EB5-456F-B7F1-5D5EA2E35D06}"/>
    <cellStyle name="Comma 4 2 3 2 4 2 2 3" xfId="26206" xr:uid="{AF463EFF-91C8-43F5-A6F0-95DD267B9B73}"/>
    <cellStyle name="Comma 4 2 3 2 4 2 3" xfId="12690" xr:uid="{EC1E8CDA-F5A0-4785-A7D4-971C74C0E614}"/>
    <cellStyle name="Comma 4 2 3 2 4 2 4" xfId="21989" xr:uid="{0933DFEB-2C8E-4929-859F-E022F972B0A7}"/>
    <cellStyle name="Comma 4 2 3 2 4 3" xfId="5436" xr:uid="{00000000-0005-0000-0000-00007C080000}"/>
    <cellStyle name="Comma 4 2 3 2 4 3 2" xfId="14762" xr:uid="{79D381B5-08FB-4BBC-9C30-26C143E53A4F}"/>
    <cellStyle name="Comma 4 2 3 2 4 3 3" xfId="24061" xr:uid="{9D4666BA-2935-4FBC-82C6-83B916FB430E}"/>
    <cellStyle name="Comma 4 2 3 2 4 4" xfId="10545" xr:uid="{2C191F2F-0FAF-44A0-A216-691285542A0C}"/>
    <cellStyle name="Comma 4 2 3 2 4 5" xfId="19844" xr:uid="{A8194C97-C34A-4C89-A63B-26194ECC701F}"/>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F7D9BD5C-B2C0-45DF-8DFE-E149B3B68EA3}"/>
    <cellStyle name="Comma 4 2 3 2 5 2 2 3" xfId="26619" xr:uid="{07632352-F925-404F-BBDA-93BEEEC621A7}"/>
    <cellStyle name="Comma 4 2 3 2 5 2 3" xfId="13103" xr:uid="{0DB93CBD-DB6F-4B52-B34D-0F57CAFE1EC3}"/>
    <cellStyle name="Comma 4 2 3 2 5 2 4" xfId="22402" xr:uid="{13A2F41B-8FB9-4671-83AF-AE62069BD760}"/>
    <cellStyle name="Comma 4 2 3 2 5 3" xfId="5849" xr:uid="{00000000-0005-0000-0000-000080080000}"/>
    <cellStyle name="Comma 4 2 3 2 5 3 2" xfId="15175" xr:uid="{BE7BA940-0828-438E-A3F7-6D3D49E34FCE}"/>
    <cellStyle name="Comma 4 2 3 2 5 3 3" xfId="24474" xr:uid="{56122596-104C-4911-93A2-11ADB4CC5CE1}"/>
    <cellStyle name="Comma 4 2 3 2 5 4" xfId="10958" xr:uid="{E2E1671E-053E-4EAF-9114-B43FC0A90530}"/>
    <cellStyle name="Comma 4 2 3 2 5 5" xfId="20257" xr:uid="{D404B35F-556D-4D19-B5B9-764D5608EB9B}"/>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EA334C39-8072-4334-B682-85FB13A51541}"/>
    <cellStyle name="Comma 4 2 3 2 6 2 2 3" xfId="27032" xr:uid="{04381B2C-3A1F-42FA-9C97-2AC8F672DEC9}"/>
    <cellStyle name="Comma 4 2 3 2 6 2 3" xfId="13516" xr:uid="{E0B1D4EF-8932-4DD3-8314-0B1D36895C03}"/>
    <cellStyle name="Comma 4 2 3 2 6 2 4" xfId="22815" xr:uid="{40932C41-77A8-483E-B474-39C0FED2C752}"/>
    <cellStyle name="Comma 4 2 3 2 6 3" xfId="6262" xr:uid="{00000000-0005-0000-0000-000084080000}"/>
    <cellStyle name="Comma 4 2 3 2 6 3 2" xfId="15588" xr:uid="{8523D746-8277-4283-9AF6-598B0022D969}"/>
    <cellStyle name="Comma 4 2 3 2 6 3 3" xfId="24887" xr:uid="{83AC16CB-F27D-4983-A45D-9813F730B7B8}"/>
    <cellStyle name="Comma 4 2 3 2 6 4" xfId="11371" xr:uid="{8A2EE654-83C0-4B9D-A2F4-472AFA24CC14}"/>
    <cellStyle name="Comma 4 2 3 2 6 5" xfId="20670" xr:uid="{8B9A66B1-8F69-4406-89E0-54F2BA285CCF}"/>
    <cellStyle name="Comma 4 2 3 2 7" xfId="2391" xr:uid="{00000000-0005-0000-0000-000085080000}"/>
    <cellStyle name="Comma 4 2 3 2 7 2" xfId="6675" xr:uid="{00000000-0005-0000-0000-000086080000}"/>
    <cellStyle name="Comma 4 2 3 2 7 2 2" xfId="16001" xr:uid="{3865FE24-2774-4C3D-A1FA-CD0A877AED6E}"/>
    <cellStyle name="Comma 4 2 3 2 7 2 3" xfId="25300" xr:uid="{308EB3FB-2593-4F30-BA80-5104D5223F2A}"/>
    <cellStyle name="Comma 4 2 3 2 7 3" xfId="11784" xr:uid="{AF7A33DA-C56C-4904-BBFA-7F3002C18426}"/>
    <cellStyle name="Comma 4 2 3 2 7 4" xfId="21083" xr:uid="{09E0C186-9C1E-4F85-8D28-D8F9315F8282}"/>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CAE09CCC-023E-4BAE-9491-014E70A3E45D}"/>
    <cellStyle name="Comma 4 2 3 2 9 2 3" xfId="25617" xr:uid="{75BEDC8E-9AEF-4725-92A4-0659C62E4CB8}"/>
    <cellStyle name="Comma 4 2 3 2 9 3" xfId="12101" xr:uid="{EE887EB4-A19D-4561-AA2F-6B994DA38E1C}"/>
    <cellStyle name="Comma 4 2 3 2 9 4" xfId="21400" xr:uid="{8EB2F731-CB9B-4E62-99B1-82848CFC9427}"/>
    <cellStyle name="Comma 4 2 3 3" xfId="139" xr:uid="{00000000-0005-0000-0000-00008A080000}"/>
    <cellStyle name="Comma 4 2 3 3 10" xfId="9012" xr:uid="{61C0F117-76A9-43CA-B381-88B2CFF6294C}"/>
    <cellStyle name="Comma 4 2 3 3 10 2" xfId="18336" xr:uid="{AFD1AF1D-0CDE-443D-8AFA-D89F2B74D1AF}"/>
    <cellStyle name="Comma 4 2 3 3 10 3" xfId="27634" xr:uid="{B494CB62-6933-44CC-BED7-C6250C7175A0}"/>
    <cellStyle name="Comma 4 2 3 3 11" xfId="9720" xr:uid="{710A47C8-2E35-4ECD-9AD1-B67C980B6695}"/>
    <cellStyle name="Comma 4 2 3 3 12" xfId="19019" xr:uid="{8EFD4E8A-9870-4433-8B55-1BA900DD47E9}"/>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2EBEABDC-566C-4D19-AF69-5ED468A1406E}"/>
    <cellStyle name="Comma 4 2 3 3 2 2 2 3" xfId="25795" xr:uid="{606F612F-F21F-4100-A6D2-B4CA15FC9627}"/>
    <cellStyle name="Comma 4 2 3 3 2 2 3" xfId="12279" xr:uid="{CC1CC7C1-A142-4504-9852-898F24F2C2E9}"/>
    <cellStyle name="Comma 4 2 3 3 2 2 4" xfId="21578" xr:uid="{96AC007C-3380-49E4-BCBD-3A3F3B177A92}"/>
    <cellStyle name="Comma 4 2 3 3 2 3" xfId="5025" xr:uid="{00000000-0005-0000-0000-00008E080000}"/>
    <cellStyle name="Comma 4 2 3 3 2 3 2" xfId="14351" xr:uid="{F079A9BF-8C53-4D83-AE16-1A5260548CDD}"/>
    <cellStyle name="Comma 4 2 3 3 2 3 3" xfId="23650" xr:uid="{7C67BDD8-A6C6-4B70-98C4-CDD1354EC940}"/>
    <cellStyle name="Comma 4 2 3 3 2 4" xfId="9437" xr:uid="{35C6809B-E49F-4A7F-8CB1-650474E72B0A}"/>
    <cellStyle name="Comma 4 2 3 3 2 4 2" xfId="18752" xr:uid="{73551638-48CF-445D-86EB-E56818D70D81}"/>
    <cellStyle name="Comma 4 2 3 3 2 4 3" xfId="28049" xr:uid="{53EC0A49-2024-44CF-8889-C742DC88EBDF}"/>
    <cellStyle name="Comma 4 2 3 3 2 5" xfId="10134" xr:uid="{08656859-D7EF-4A89-BC1F-1300C558A90B}"/>
    <cellStyle name="Comma 4 2 3 3 2 6" xfId="19433" xr:uid="{6CC3A502-B124-494C-BB66-61C3EAC26973}"/>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A032DF5C-C644-4A1F-B8E4-B2B34F9FC7B1}"/>
    <cellStyle name="Comma 4 2 3 3 3 2 2 3" xfId="26208" xr:uid="{4596D4D1-6815-4679-8E60-F645147464FE}"/>
    <cellStyle name="Comma 4 2 3 3 3 2 3" xfId="12692" xr:uid="{27E6299A-FF6B-4388-A61B-BEE77E71AAA9}"/>
    <cellStyle name="Comma 4 2 3 3 3 2 4" xfId="21991" xr:uid="{4775857F-396D-4418-8885-3B6BF320438E}"/>
    <cellStyle name="Comma 4 2 3 3 3 3" xfId="5438" xr:uid="{00000000-0005-0000-0000-000092080000}"/>
    <cellStyle name="Comma 4 2 3 3 3 3 2" xfId="14764" xr:uid="{45E57690-D980-4736-BC90-7367F198BA01}"/>
    <cellStyle name="Comma 4 2 3 3 3 3 3" xfId="24063" xr:uid="{F5A5DAE4-B14E-4446-AF7E-D4C6FD59CA97}"/>
    <cellStyle name="Comma 4 2 3 3 3 4" xfId="10547" xr:uid="{BC27657E-7761-4932-9D7B-54349A72E1A8}"/>
    <cellStyle name="Comma 4 2 3 3 3 5" xfId="19846" xr:uid="{E271A214-E1F5-4F46-8AFC-5926233DF07B}"/>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1CC82C18-C1E6-4006-9570-554C9AE803E8}"/>
    <cellStyle name="Comma 4 2 3 3 4 2 2 3" xfId="26621" xr:uid="{8E41C683-82C7-459B-B13D-004B6D36120D}"/>
    <cellStyle name="Comma 4 2 3 3 4 2 3" xfId="13105" xr:uid="{12F6D072-7778-472C-8B64-17CD80F76558}"/>
    <cellStyle name="Comma 4 2 3 3 4 2 4" xfId="22404" xr:uid="{AEB2E170-91C7-463F-B830-3E3E2A973E91}"/>
    <cellStyle name="Comma 4 2 3 3 4 3" xfId="5851" xr:uid="{00000000-0005-0000-0000-000096080000}"/>
    <cellStyle name="Comma 4 2 3 3 4 3 2" xfId="15177" xr:uid="{7F08C3B2-A9C0-42E7-B6E3-8F27E1470E6D}"/>
    <cellStyle name="Comma 4 2 3 3 4 3 3" xfId="24476" xr:uid="{AD7DC512-0E59-43B9-B106-B599B2FA6835}"/>
    <cellStyle name="Comma 4 2 3 3 4 4" xfId="10960" xr:uid="{DFEFF7E9-C4DC-432D-991C-ED9E2BDBB747}"/>
    <cellStyle name="Comma 4 2 3 3 4 5" xfId="20259" xr:uid="{E4631EEA-349F-4438-AFDE-4782063CC966}"/>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2CE68506-6EC7-4B48-9DF9-CD8866C6ACDC}"/>
    <cellStyle name="Comma 4 2 3 3 5 2 2 3" xfId="27034" xr:uid="{FA5AD120-9EB4-40D2-8047-FD8D9E3BBB84}"/>
    <cellStyle name="Comma 4 2 3 3 5 2 3" xfId="13518" xr:uid="{3A73EAA2-5054-4564-91DC-ACF36F59A0A3}"/>
    <cellStyle name="Comma 4 2 3 3 5 2 4" xfId="22817" xr:uid="{7EF4C858-A668-4A4C-A2E9-4DC6EF873693}"/>
    <cellStyle name="Comma 4 2 3 3 5 3" xfId="6264" xr:uid="{00000000-0005-0000-0000-00009A080000}"/>
    <cellStyle name="Comma 4 2 3 3 5 3 2" xfId="15590" xr:uid="{029F2275-5030-44F3-BA3C-7A915D03A9E0}"/>
    <cellStyle name="Comma 4 2 3 3 5 3 3" xfId="24889" xr:uid="{99322C67-ACB2-4916-A79A-6FB79015A1FA}"/>
    <cellStyle name="Comma 4 2 3 3 5 4" xfId="11373" xr:uid="{E1766472-844C-4B27-A54C-0168E0F9947F}"/>
    <cellStyle name="Comma 4 2 3 3 5 5" xfId="20672" xr:uid="{46D3CAF5-46C1-4218-8F77-575C0FFAE02C}"/>
    <cellStyle name="Comma 4 2 3 3 6" xfId="2393" xr:uid="{00000000-0005-0000-0000-00009B080000}"/>
    <cellStyle name="Comma 4 2 3 3 6 2" xfId="6677" xr:uid="{00000000-0005-0000-0000-00009C080000}"/>
    <cellStyle name="Comma 4 2 3 3 6 2 2" xfId="16003" xr:uid="{A63288DB-7E1B-417F-9389-6F825A959D45}"/>
    <cellStyle name="Comma 4 2 3 3 6 2 3" xfId="25302" xr:uid="{CBF6587C-98F9-4DA7-9DA6-8430D0855507}"/>
    <cellStyle name="Comma 4 2 3 3 6 3" xfId="11786" xr:uid="{6CE831C5-5CA0-40E4-872C-45348C61C644}"/>
    <cellStyle name="Comma 4 2 3 3 6 4" xfId="21085" xr:uid="{0498254D-0A0B-403F-B6EA-20CC8EF84C2D}"/>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B41CF4E7-011E-4510-AEF3-5500E4A2F42C}"/>
    <cellStyle name="Comma 4 2 3 3 8 2 3" xfId="25619" xr:uid="{935D1509-B506-4477-9C99-64DE60C3E392}"/>
    <cellStyle name="Comma 4 2 3 3 8 3" xfId="12103" xr:uid="{90C59025-E04F-4847-BD59-1DBD66702AF2}"/>
    <cellStyle name="Comma 4 2 3 3 8 4" xfId="21402" xr:uid="{DCF8ABBE-848E-418A-97BB-6F66BC3A2EDD}"/>
    <cellStyle name="Comma 4 2 3 3 9" xfId="4611" xr:uid="{00000000-0005-0000-0000-0000A0080000}"/>
    <cellStyle name="Comma 4 2 3 3 9 2" xfId="13937" xr:uid="{CFDB8014-6CC7-4D76-9978-5E4BE9A35CFE}"/>
    <cellStyle name="Comma 4 2 3 3 9 3" xfId="23236" xr:uid="{D0C2F7AE-5289-4E94-A558-03DC1848585B}"/>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B4ECD33F-56D5-419D-B3D3-3C2A510DC638}"/>
    <cellStyle name="Comma 4 2 3 4 2 2 3" xfId="25792" xr:uid="{01DE5186-6519-48A2-8295-5B45BA3B54CC}"/>
    <cellStyle name="Comma 4 2 3 4 2 3" xfId="12276" xr:uid="{D3C05B2B-C547-4DAF-9FF4-E94CF9DE702C}"/>
    <cellStyle name="Comma 4 2 3 4 2 4" xfId="21575" xr:uid="{C8D612F3-D19D-4F9C-8AED-B767956B7E18}"/>
    <cellStyle name="Comma 4 2 3 4 3" xfId="5022" xr:uid="{00000000-0005-0000-0000-0000A4080000}"/>
    <cellStyle name="Comma 4 2 3 4 3 2" xfId="14348" xr:uid="{17CF862F-01FB-474B-9C7D-CC76F5BDF9DA}"/>
    <cellStyle name="Comma 4 2 3 4 3 3" xfId="23647" xr:uid="{B2A9A4EB-CB2D-4EA0-A22A-92F7D4BED38E}"/>
    <cellStyle name="Comma 4 2 3 4 4" xfId="9230" xr:uid="{24B6B749-023F-4009-8785-C6CFE1098E24}"/>
    <cellStyle name="Comma 4 2 3 4 4 2" xfId="18545" xr:uid="{FA5F532F-8AB7-4511-B508-6C0418BFDFB0}"/>
    <cellStyle name="Comma 4 2 3 4 4 3" xfId="27842" xr:uid="{3002B377-4939-4F99-A047-FBECD321BE2F}"/>
    <cellStyle name="Comma 4 2 3 4 5" xfId="10131" xr:uid="{E5242365-FC0F-4025-A4D6-C871D3E4ECB1}"/>
    <cellStyle name="Comma 4 2 3 4 6" xfId="19430" xr:uid="{F08FD0F1-EF13-42BB-A5CC-41D6385910F0}"/>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7CE4A5A4-0A87-4882-AD12-60F6B4067464}"/>
    <cellStyle name="Comma 4 2 3 5 2 2 3" xfId="26205" xr:uid="{38779C47-EB3A-43B8-8BFF-D305155C7D03}"/>
    <cellStyle name="Comma 4 2 3 5 2 3" xfId="12689" xr:uid="{D2CF0B0F-8A2B-49A0-AAAA-68ED4EE4DCB8}"/>
    <cellStyle name="Comma 4 2 3 5 2 4" xfId="21988" xr:uid="{F26106D6-1183-4616-8376-F81B709BD772}"/>
    <cellStyle name="Comma 4 2 3 5 3" xfId="5435" xr:uid="{00000000-0005-0000-0000-0000A8080000}"/>
    <cellStyle name="Comma 4 2 3 5 3 2" xfId="14761" xr:uid="{EB864669-8E03-41EE-981B-4D59B1AEFFA3}"/>
    <cellStyle name="Comma 4 2 3 5 3 3" xfId="24060" xr:uid="{C8E2A2D2-936E-49AC-90E7-BF5383611886}"/>
    <cellStyle name="Comma 4 2 3 5 4" xfId="10544" xr:uid="{D690EE11-D3B1-4E56-B2D3-7BF9846AAF64}"/>
    <cellStyle name="Comma 4 2 3 5 5" xfId="19843" xr:uid="{F1BDE3E2-1DE6-43ED-B5C4-F3AACA768B58}"/>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23B1D54C-52B1-49F8-964C-D6D3503CE83D}"/>
    <cellStyle name="Comma 4 2 3 6 2 2 3" xfId="26618" xr:uid="{F914071B-0075-409D-9604-0EF353310440}"/>
    <cellStyle name="Comma 4 2 3 6 2 3" xfId="13102" xr:uid="{25499DBE-26CD-489A-944F-F44C94684FF7}"/>
    <cellStyle name="Comma 4 2 3 6 2 4" xfId="22401" xr:uid="{EE7B1231-46E3-4F4D-9B98-13BFDF352C24}"/>
    <cellStyle name="Comma 4 2 3 6 3" xfId="5848" xr:uid="{00000000-0005-0000-0000-0000AC080000}"/>
    <cellStyle name="Comma 4 2 3 6 3 2" xfId="15174" xr:uid="{0FCDBB1A-ACCF-411A-A0DD-D7E2A8466990}"/>
    <cellStyle name="Comma 4 2 3 6 3 3" xfId="24473" xr:uid="{E3FD5AF4-29DB-4992-937F-A512893E6D35}"/>
    <cellStyle name="Comma 4 2 3 6 4" xfId="10957" xr:uid="{FD500BFC-CA34-46E3-AB03-DCA74F47083B}"/>
    <cellStyle name="Comma 4 2 3 6 5" xfId="20256" xr:uid="{1D6A8CE9-8CD4-4CEE-87AF-B62C1429C54A}"/>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1158C868-FE64-4ECB-B5A4-1920C27C9E47}"/>
    <cellStyle name="Comma 4 2 3 7 2 2 3" xfId="27031" xr:uid="{542C3821-E4E7-4808-96FE-3B6B07EE1DD7}"/>
    <cellStyle name="Comma 4 2 3 7 2 3" xfId="13515" xr:uid="{887391C9-AD8E-419E-8928-FC4220B8A490}"/>
    <cellStyle name="Comma 4 2 3 7 2 4" xfId="22814" xr:uid="{7A975DFF-B43F-41C4-86BC-75DFC6CFA7B1}"/>
    <cellStyle name="Comma 4 2 3 7 3" xfId="6261" xr:uid="{00000000-0005-0000-0000-0000B0080000}"/>
    <cellStyle name="Comma 4 2 3 7 3 2" xfId="15587" xr:uid="{D7B1BA84-2731-48DD-83FA-25A3191C6871}"/>
    <cellStyle name="Comma 4 2 3 7 3 3" xfId="24886" xr:uid="{CF156394-72C7-4491-94B1-0E6CD1C80302}"/>
    <cellStyle name="Comma 4 2 3 7 4" xfId="11370" xr:uid="{8043664E-5BE8-4118-8E97-F188025F6979}"/>
    <cellStyle name="Comma 4 2 3 7 5" xfId="20669" xr:uid="{E710E48A-F930-49D9-8F02-29DFE697DA46}"/>
    <cellStyle name="Comma 4 2 3 8" xfId="2390" xr:uid="{00000000-0005-0000-0000-0000B1080000}"/>
    <cellStyle name="Comma 4 2 3 8 2" xfId="6674" xr:uid="{00000000-0005-0000-0000-0000B2080000}"/>
    <cellStyle name="Comma 4 2 3 8 2 2" xfId="16000" xr:uid="{59C93B3B-3F5C-4B33-A3B8-585C4963C14F}"/>
    <cellStyle name="Comma 4 2 3 8 2 3" xfId="25299" xr:uid="{32BFB6D7-5AC1-482F-8BE6-63AE864123E3}"/>
    <cellStyle name="Comma 4 2 3 8 3" xfId="11783" xr:uid="{5C9FA404-030E-4588-B857-8F74C5F0A70D}"/>
    <cellStyle name="Comma 4 2 3 8 4" xfId="21082" xr:uid="{E4FB764E-60A0-4BEF-9FC1-8DE39E5CF75A}"/>
    <cellStyle name="Comma 4 2 3 9" xfId="2373" xr:uid="{00000000-0005-0000-0000-0000B3080000}"/>
    <cellStyle name="Comma 4 2 4" xfId="140" xr:uid="{00000000-0005-0000-0000-0000B4080000}"/>
    <cellStyle name="Comma 4 2 4 10" xfId="4612" xr:uid="{00000000-0005-0000-0000-0000B5080000}"/>
    <cellStyle name="Comma 4 2 4 10 2" xfId="13938" xr:uid="{41F9BCAA-CE43-42CC-BEE4-11AAE29BC793}"/>
    <cellStyle name="Comma 4 2 4 10 3" xfId="23237" xr:uid="{D92B1870-F6A8-4803-A953-372164688351}"/>
    <cellStyle name="Comma 4 2 4 11" xfId="8858" xr:uid="{B6A00C95-D04C-44B2-B8AF-67540882256C}"/>
    <cellStyle name="Comma 4 2 4 11 2" xfId="18182" xr:uid="{384A9AC1-B150-4CFB-B966-9EA7B7C128EF}"/>
    <cellStyle name="Comma 4 2 4 11 3" xfId="27480" xr:uid="{E5395838-F7D2-47DA-93CD-8EFA0A9FDB9B}"/>
    <cellStyle name="Comma 4 2 4 12" xfId="9721" xr:uid="{7B1ABDBD-F88F-49C3-A9F6-F2D53F5FE3A3}"/>
    <cellStyle name="Comma 4 2 4 13" xfId="19020" xr:uid="{3D6BBB73-04C6-4B31-9F9B-64C9C7E6617A}"/>
    <cellStyle name="Comma 4 2 4 2" xfId="141" xr:uid="{00000000-0005-0000-0000-0000B6080000}"/>
    <cellStyle name="Comma 4 2 4 2 10" xfId="9065" xr:uid="{961AA06A-D943-447E-AADB-49B440E7E7CE}"/>
    <cellStyle name="Comma 4 2 4 2 10 2" xfId="18389" xr:uid="{423925EB-29CD-425F-9FE7-9430D8BED1B2}"/>
    <cellStyle name="Comma 4 2 4 2 10 3" xfId="27687" xr:uid="{25260FF7-C9FF-427B-9542-01E6DD7E8706}"/>
    <cellStyle name="Comma 4 2 4 2 11" xfId="9722" xr:uid="{5A609652-5789-4C82-A134-9FAFE51ADF2D}"/>
    <cellStyle name="Comma 4 2 4 2 12" xfId="19021" xr:uid="{0A405233-E33A-477E-BA42-726BE16B8617}"/>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5240058E-68F7-41D6-8B21-8E759C3333D5}"/>
    <cellStyle name="Comma 4 2 4 2 2 2 2 3" xfId="25797" xr:uid="{9E8436EB-E603-4C73-92D8-9543170A5B07}"/>
    <cellStyle name="Comma 4 2 4 2 2 2 3" xfId="12281" xr:uid="{627CE0E4-DEED-4274-84EE-C5F5F0013464}"/>
    <cellStyle name="Comma 4 2 4 2 2 2 4" xfId="21580" xr:uid="{197DA97E-566D-4269-B989-3807BEA2A5EC}"/>
    <cellStyle name="Comma 4 2 4 2 2 3" xfId="5027" xr:uid="{00000000-0005-0000-0000-0000BA080000}"/>
    <cellStyle name="Comma 4 2 4 2 2 3 2" xfId="14353" xr:uid="{35589F6D-1815-4B4D-BC07-A6F2A9147AFC}"/>
    <cellStyle name="Comma 4 2 4 2 2 3 3" xfId="23652" xr:uid="{2CA15553-E9BF-4CCA-BE32-7F4104D55064}"/>
    <cellStyle name="Comma 4 2 4 2 2 4" xfId="9490" xr:uid="{2FAEB1E6-7B41-437B-B2A9-4352AB4F4B98}"/>
    <cellStyle name="Comma 4 2 4 2 2 4 2" xfId="18805" xr:uid="{8A451A0D-18DC-46DF-AC31-8BC275419FAB}"/>
    <cellStyle name="Comma 4 2 4 2 2 4 3" xfId="28102" xr:uid="{0C497488-11FE-403B-8503-6952EF99FDDE}"/>
    <cellStyle name="Comma 4 2 4 2 2 5" xfId="10136" xr:uid="{ED554B31-58A2-4B2E-B9AB-DEA8D7EB0DF3}"/>
    <cellStyle name="Comma 4 2 4 2 2 6" xfId="19435" xr:uid="{57D2F677-120E-48A3-B375-DC38BAE9B39A}"/>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CB835ADB-57D4-4C26-BDD3-0366C8B53FE4}"/>
    <cellStyle name="Comma 4 2 4 2 3 2 2 3" xfId="26210" xr:uid="{D820624E-0EFA-416D-BF73-0A6A1838F275}"/>
    <cellStyle name="Comma 4 2 4 2 3 2 3" xfId="12694" xr:uid="{3B118C21-CE8E-42A7-B2F6-D1548546827F}"/>
    <cellStyle name="Comma 4 2 4 2 3 2 4" xfId="21993" xr:uid="{AABC10E3-AAD5-4F22-B1B2-E65E4C6226F6}"/>
    <cellStyle name="Comma 4 2 4 2 3 3" xfId="5440" xr:uid="{00000000-0005-0000-0000-0000BE080000}"/>
    <cellStyle name="Comma 4 2 4 2 3 3 2" xfId="14766" xr:uid="{202B1FBD-0CEC-440F-B8C9-11BFA1918FE3}"/>
    <cellStyle name="Comma 4 2 4 2 3 3 3" xfId="24065" xr:uid="{BB69F897-7881-4798-ACD5-B13783C33D38}"/>
    <cellStyle name="Comma 4 2 4 2 3 4" xfId="10549" xr:uid="{546DD59E-3E99-4918-9F9B-6A587CC1517D}"/>
    <cellStyle name="Comma 4 2 4 2 3 5" xfId="19848" xr:uid="{AAE5AF0D-A39B-4629-BF75-667CE449718E}"/>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D5DED241-9759-425B-A4DC-FFB9239D2C3C}"/>
    <cellStyle name="Comma 4 2 4 2 4 2 2 3" xfId="26623" xr:uid="{A28F9064-DAE4-4E17-A732-AE1E1996881C}"/>
    <cellStyle name="Comma 4 2 4 2 4 2 3" xfId="13107" xr:uid="{183B83AB-523E-42E7-82C0-92A5316DC3EA}"/>
    <cellStyle name="Comma 4 2 4 2 4 2 4" xfId="22406" xr:uid="{5C78B032-DA3B-4DC7-9791-636179BF24DA}"/>
    <cellStyle name="Comma 4 2 4 2 4 3" xfId="5853" xr:uid="{00000000-0005-0000-0000-0000C2080000}"/>
    <cellStyle name="Comma 4 2 4 2 4 3 2" xfId="15179" xr:uid="{B950910A-7409-49C0-9B67-F83A8869F82E}"/>
    <cellStyle name="Comma 4 2 4 2 4 3 3" xfId="24478" xr:uid="{46B18709-5167-4672-8E25-61708B2C9F50}"/>
    <cellStyle name="Comma 4 2 4 2 4 4" xfId="10962" xr:uid="{3FE33852-4327-4550-93AC-AAE2AD9E298A}"/>
    <cellStyle name="Comma 4 2 4 2 4 5" xfId="20261" xr:uid="{71B13FC8-BC03-4C88-A21C-4B31C43A9045}"/>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F70C0FFC-165C-434E-BFCD-A34490E45801}"/>
    <cellStyle name="Comma 4 2 4 2 5 2 2 3" xfId="27036" xr:uid="{E1B0C2BB-2FFF-42CC-90B5-55D15FA247CC}"/>
    <cellStyle name="Comma 4 2 4 2 5 2 3" xfId="13520" xr:uid="{6603C46F-5572-4770-A931-7757EDFCEC6C}"/>
    <cellStyle name="Comma 4 2 4 2 5 2 4" xfId="22819" xr:uid="{B96091B5-A0FC-47B5-A1FD-AA7701BA9C38}"/>
    <cellStyle name="Comma 4 2 4 2 5 3" xfId="6266" xr:uid="{00000000-0005-0000-0000-0000C6080000}"/>
    <cellStyle name="Comma 4 2 4 2 5 3 2" xfId="15592" xr:uid="{CF8D0842-BDF3-4BDF-AE30-010B51C474BC}"/>
    <cellStyle name="Comma 4 2 4 2 5 3 3" xfId="24891" xr:uid="{CFC2C093-6772-4BA9-BB91-8FD2EBCAB90B}"/>
    <cellStyle name="Comma 4 2 4 2 5 4" xfId="11375" xr:uid="{13ED31B7-09DD-4B77-878D-9527DDCFE964}"/>
    <cellStyle name="Comma 4 2 4 2 5 5" xfId="20674" xr:uid="{947DB4B4-8804-491E-A554-E57F0883B99F}"/>
    <cellStyle name="Comma 4 2 4 2 6" xfId="2395" xr:uid="{00000000-0005-0000-0000-0000C7080000}"/>
    <cellStyle name="Comma 4 2 4 2 6 2" xfId="6679" xr:uid="{00000000-0005-0000-0000-0000C8080000}"/>
    <cellStyle name="Comma 4 2 4 2 6 2 2" xfId="16005" xr:uid="{2F160D97-ED9A-470D-85B3-C5755527419E}"/>
    <cellStyle name="Comma 4 2 4 2 6 2 3" xfId="25304" xr:uid="{2C31848A-9F90-47BE-9D54-0FB029FED521}"/>
    <cellStyle name="Comma 4 2 4 2 6 3" xfId="11788" xr:uid="{51B8AD23-0BFD-4368-9D1B-9828309D41E8}"/>
    <cellStyle name="Comma 4 2 4 2 6 4" xfId="21087" xr:uid="{0D3B2CCA-78D1-4332-9C47-A47768945404}"/>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A8CC3D69-CD4F-47B8-B48B-7B1486CCB420}"/>
    <cellStyle name="Comma 4 2 4 2 8 2 3" xfId="25621" xr:uid="{206F92A1-889E-462B-8306-01741BA4B9F0}"/>
    <cellStyle name="Comma 4 2 4 2 8 3" xfId="12105" xr:uid="{948ED9F6-722D-4903-B4E8-E5EE524C66C7}"/>
    <cellStyle name="Comma 4 2 4 2 8 4" xfId="21404" xr:uid="{62EAA4BB-F201-4C64-A1B3-A896C1929120}"/>
    <cellStyle name="Comma 4 2 4 2 9" xfId="4613" xr:uid="{00000000-0005-0000-0000-0000CC080000}"/>
    <cellStyle name="Comma 4 2 4 2 9 2" xfId="13939" xr:uid="{77FCE81A-C605-4B00-8F83-BF5BEF84BA00}"/>
    <cellStyle name="Comma 4 2 4 2 9 3" xfId="23238" xr:uid="{DF67AC4A-7CD7-4EA1-8BDF-659B7A6804CE}"/>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42E170DF-410A-4ACC-BEEC-3946D64F0275}"/>
    <cellStyle name="Comma 4 2 4 3 2 2 3" xfId="25796" xr:uid="{CB9E2633-9B92-4019-AFA2-5A397FEE5BB2}"/>
    <cellStyle name="Comma 4 2 4 3 2 3" xfId="12280" xr:uid="{D0755A1A-CECB-421E-9597-D7DC137DE344}"/>
    <cellStyle name="Comma 4 2 4 3 2 4" xfId="21579" xr:uid="{14BCCDC4-E03B-4E6B-8BD5-7DD56C713D80}"/>
    <cellStyle name="Comma 4 2 4 3 3" xfId="5026" xr:uid="{00000000-0005-0000-0000-0000D0080000}"/>
    <cellStyle name="Comma 4 2 4 3 3 2" xfId="14352" xr:uid="{F6FCD08F-14A5-4A45-A61F-32CBAAC81FBE}"/>
    <cellStyle name="Comma 4 2 4 3 3 3" xfId="23651" xr:uid="{BD68100A-5063-47E5-86C2-43B81804C422}"/>
    <cellStyle name="Comma 4 2 4 3 4" xfId="9283" xr:uid="{7E46ED3C-A8F4-4512-93D9-5F41F1AC397C}"/>
    <cellStyle name="Comma 4 2 4 3 4 2" xfId="18598" xr:uid="{7E915CC2-10E9-4F1B-B25E-9E0F0985C8A2}"/>
    <cellStyle name="Comma 4 2 4 3 4 3" xfId="27895" xr:uid="{40AF1FA6-B334-447A-8D8E-D8002F93E290}"/>
    <cellStyle name="Comma 4 2 4 3 5" xfId="10135" xr:uid="{FB90ECCE-3D41-499F-B604-D7614F13F926}"/>
    <cellStyle name="Comma 4 2 4 3 6" xfId="19434" xr:uid="{95EC0201-74FC-47FA-8BDB-C994AD254A2E}"/>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B5CD2ACC-5C32-4A5D-A467-3C3469637617}"/>
    <cellStyle name="Comma 4 2 4 4 2 2 3" xfId="26209" xr:uid="{E8C299E3-3CC4-43CE-B6F9-DF8FB61010EC}"/>
    <cellStyle name="Comma 4 2 4 4 2 3" xfId="12693" xr:uid="{BDB3035E-90EF-4E7A-BFFC-7DCAC1DDB38F}"/>
    <cellStyle name="Comma 4 2 4 4 2 4" xfId="21992" xr:uid="{AD5EB4AD-6F31-4958-9895-D99DDD95F6DE}"/>
    <cellStyle name="Comma 4 2 4 4 3" xfId="5439" xr:uid="{00000000-0005-0000-0000-0000D4080000}"/>
    <cellStyle name="Comma 4 2 4 4 3 2" xfId="14765" xr:uid="{75E2444D-AE2B-4233-A1A2-A2FA843B954B}"/>
    <cellStyle name="Comma 4 2 4 4 3 3" xfId="24064" xr:uid="{2EF9DECC-D2A5-4AD2-A9B9-60BA8430F1DF}"/>
    <cellStyle name="Comma 4 2 4 4 4" xfId="10548" xr:uid="{468B2778-A1F2-4D1C-9EB9-958B81CF44A5}"/>
    <cellStyle name="Comma 4 2 4 4 5" xfId="19847" xr:uid="{B02DE13B-031E-4EC8-AD59-EAE35C5449DB}"/>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8C422955-1393-46DB-BDAD-7D06624277E4}"/>
    <cellStyle name="Comma 4 2 4 5 2 2 3" xfId="26622" xr:uid="{2066F32C-988D-4D88-AAB7-D1C8536D86F2}"/>
    <cellStyle name="Comma 4 2 4 5 2 3" xfId="13106" xr:uid="{27213E2F-76CD-4110-824A-0581F560A695}"/>
    <cellStyle name="Comma 4 2 4 5 2 4" xfId="22405" xr:uid="{DCF10FB6-9306-4104-B06D-D89078D65494}"/>
    <cellStyle name="Comma 4 2 4 5 3" xfId="5852" xr:uid="{00000000-0005-0000-0000-0000D8080000}"/>
    <cellStyle name="Comma 4 2 4 5 3 2" xfId="15178" xr:uid="{A5F9914F-0523-4B47-9E85-35BBD850B63F}"/>
    <cellStyle name="Comma 4 2 4 5 3 3" xfId="24477" xr:uid="{1261F5F2-F19E-4D2C-94C7-23221E0AB860}"/>
    <cellStyle name="Comma 4 2 4 5 4" xfId="10961" xr:uid="{268FAC17-6587-4B50-8441-D392720D2EE8}"/>
    <cellStyle name="Comma 4 2 4 5 5" xfId="20260" xr:uid="{92C38AEB-183D-40A9-8ABD-6EEF68A804C5}"/>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6FFAAA08-9FA5-4757-80C4-1480FC7D0B03}"/>
    <cellStyle name="Comma 4 2 4 6 2 2 3" xfId="27035" xr:uid="{5CA061A0-01BF-4154-BCA4-462B886F2CE3}"/>
    <cellStyle name="Comma 4 2 4 6 2 3" xfId="13519" xr:uid="{20494976-9CC5-4734-A9E5-79C7E224B46B}"/>
    <cellStyle name="Comma 4 2 4 6 2 4" xfId="22818" xr:uid="{2235F9C6-26CC-47EC-9A20-5D59127099CB}"/>
    <cellStyle name="Comma 4 2 4 6 3" xfId="6265" xr:uid="{00000000-0005-0000-0000-0000DC080000}"/>
    <cellStyle name="Comma 4 2 4 6 3 2" xfId="15591" xr:uid="{361F6B91-95C7-494F-97E8-DC49F6E8137B}"/>
    <cellStyle name="Comma 4 2 4 6 3 3" xfId="24890" xr:uid="{C20F97F3-9EF3-4C91-9945-18AE3110DA04}"/>
    <cellStyle name="Comma 4 2 4 6 4" xfId="11374" xr:uid="{8CD3008B-3AA3-493F-96D2-44A8B5BB7FB5}"/>
    <cellStyle name="Comma 4 2 4 6 5" xfId="20673" xr:uid="{F5420B7D-8917-4F4A-9CC5-52BF6D80806F}"/>
    <cellStyle name="Comma 4 2 4 7" xfId="2394" xr:uid="{00000000-0005-0000-0000-0000DD080000}"/>
    <cellStyle name="Comma 4 2 4 7 2" xfId="6678" xr:uid="{00000000-0005-0000-0000-0000DE080000}"/>
    <cellStyle name="Comma 4 2 4 7 2 2" xfId="16004" xr:uid="{0C804EDF-7DB7-4309-8BF0-BEB9EEF576EF}"/>
    <cellStyle name="Comma 4 2 4 7 2 3" xfId="25303" xr:uid="{6B85DCD4-4280-4E12-BD54-E3484F4FAF90}"/>
    <cellStyle name="Comma 4 2 4 7 3" xfId="11787" xr:uid="{A153F2BB-F55F-496B-8A9C-8C8D86ADA0E4}"/>
    <cellStyle name="Comma 4 2 4 7 4" xfId="21086" xr:uid="{B1C96911-08F6-4A36-A604-572B2FF3B0C4}"/>
    <cellStyle name="Comma 4 2 4 8" xfId="2369" xr:uid="{00000000-0005-0000-0000-0000DF080000}"/>
    <cellStyle name="Comma 4 2 4 9" xfId="2772" xr:uid="{00000000-0005-0000-0000-0000E0080000}"/>
    <cellStyle name="Comma 4 2 4 9 2" xfId="6995" xr:uid="{00000000-0005-0000-0000-0000E1080000}"/>
    <cellStyle name="Comma 4 2 4 9 2 2" xfId="16321" xr:uid="{8B6990BC-7A81-435F-BD70-2D649DD4BA7D}"/>
    <cellStyle name="Comma 4 2 4 9 2 3" xfId="25620" xr:uid="{527B34AD-01B2-4B3D-8516-3BC5933D8DAF}"/>
    <cellStyle name="Comma 4 2 4 9 3" xfId="12104" xr:uid="{C49BCCFD-D771-47A7-8CD1-B04958688E92}"/>
    <cellStyle name="Comma 4 2 4 9 4" xfId="21403" xr:uid="{85881175-B729-4E91-8321-55B3735A007D}"/>
    <cellStyle name="Comma 4 2 5" xfId="142" xr:uid="{00000000-0005-0000-0000-0000E2080000}"/>
    <cellStyle name="Comma 4 2 5 10" xfId="8974" xr:uid="{86B0C89A-8A2D-4755-B15D-84E412E1D380}"/>
    <cellStyle name="Comma 4 2 5 10 2" xfId="18298" xr:uid="{B3863DAB-65F1-410E-8B3B-DABDD0CF7C5E}"/>
    <cellStyle name="Comma 4 2 5 10 3" xfId="27596" xr:uid="{19D70E9B-76BA-4DE9-9FA1-9EEF12D2A52E}"/>
    <cellStyle name="Comma 4 2 5 11" xfId="9723" xr:uid="{9FD73A6C-C958-48A4-8D39-6D9443097D7A}"/>
    <cellStyle name="Comma 4 2 5 12" xfId="19022" xr:uid="{1E7EDC63-E5D5-4342-A961-F53AD5984826}"/>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74B49D8B-0FBD-4F45-A095-AA51D252E8AE}"/>
    <cellStyle name="Comma 4 2 5 2 2 2 3" xfId="25798" xr:uid="{8347621F-10BA-4E84-999C-66DA3030A2D9}"/>
    <cellStyle name="Comma 4 2 5 2 2 3" xfId="12282" xr:uid="{3B5AB201-C218-478D-8280-B62B957DA5C6}"/>
    <cellStyle name="Comma 4 2 5 2 2 4" xfId="21581" xr:uid="{2DD1D8A2-899C-4A0D-B606-65A610AE0B5B}"/>
    <cellStyle name="Comma 4 2 5 2 3" xfId="5028" xr:uid="{00000000-0005-0000-0000-0000E6080000}"/>
    <cellStyle name="Comma 4 2 5 2 3 2" xfId="14354" xr:uid="{6AB64E96-D6B7-4027-9A60-D147F48D7319}"/>
    <cellStyle name="Comma 4 2 5 2 3 3" xfId="23653" xr:uid="{AA37424F-7301-460D-8779-2D84B55296A6}"/>
    <cellStyle name="Comma 4 2 5 2 4" xfId="9399" xr:uid="{1B388BC7-1FC6-4DC3-B345-755F61B57864}"/>
    <cellStyle name="Comma 4 2 5 2 4 2" xfId="18714" xr:uid="{1C988FA2-61BF-453D-BD89-94E26063E560}"/>
    <cellStyle name="Comma 4 2 5 2 4 3" xfId="28011" xr:uid="{93295285-185E-4167-981D-6C07A767163A}"/>
    <cellStyle name="Comma 4 2 5 2 5" xfId="10137" xr:uid="{F4570851-4DFC-406B-BA01-FF1CB0BC3857}"/>
    <cellStyle name="Comma 4 2 5 2 6" xfId="19436" xr:uid="{4E97A931-63D4-4BC7-BC28-80FEB4B38B37}"/>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9A300BEA-EAB7-44D7-BD59-FF9A3FAC7630}"/>
    <cellStyle name="Comma 4 2 5 3 2 2 3" xfId="26211" xr:uid="{F87D9F75-722D-471E-A978-3E42E58A2CEC}"/>
    <cellStyle name="Comma 4 2 5 3 2 3" xfId="12695" xr:uid="{CDE8AE38-C63F-497E-91E0-45970E019AA0}"/>
    <cellStyle name="Comma 4 2 5 3 2 4" xfId="21994" xr:uid="{76AF13C6-2ADD-452C-92B7-8422DC3CBE30}"/>
    <cellStyle name="Comma 4 2 5 3 3" xfId="5441" xr:uid="{00000000-0005-0000-0000-0000EA080000}"/>
    <cellStyle name="Comma 4 2 5 3 3 2" xfId="14767" xr:uid="{7BF788EB-50EA-4559-BCFA-3FEE1C5420A2}"/>
    <cellStyle name="Comma 4 2 5 3 3 3" xfId="24066" xr:uid="{FC8D0C16-86D7-453C-AAB9-69BACC1485F1}"/>
    <cellStyle name="Comma 4 2 5 3 4" xfId="10550" xr:uid="{482A662B-DD6A-46BC-860D-6692F41E6F0F}"/>
    <cellStyle name="Comma 4 2 5 3 5" xfId="19849" xr:uid="{9129755F-EE0E-47C2-8DED-158098D6F0D3}"/>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01373F25-810F-404F-AB5C-25C0E5781A9F}"/>
    <cellStyle name="Comma 4 2 5 4 2 2 3" xfId="26624" xr:uid="{6B8CB286-0FBB-4298-BD63-E6B2BCAD74FB}"/>
    <cellStyle name="Comma 4 2 5 4 2 3" xfId="13108" xr:uid="{CEB88761-2C0A-403A-A974-29761C495D56}"/>
    <cellStyle name="Comma 4 2 5 4 2 4" xfId="22407" xr:uid="{AE1151E7-5D67-4F8F-9562-351677978768}"/>
    <cellStyle name="Comma 4 2 5 4 3" xfId="5854" xr:uid="{00000000-0005-0000-0000-0000EE080000}"/>
    <cellStyle name="Comma 4 2 5 4 3 2" xfId="15180" xr:uid="{479CB92D-0B80-4888-982C-81600AD90EB9}"/>
    <cellStyle name="Comma 4 2 5 4 3 3" xfId="24479" xr:uid="{E5CF6566-C7FC-4A79-A4FC-11F8B4B30E99}"/>
    <cellStyle name="Comma 4 2 5 4 4" xfId="10963" xr:uid="{D7AF8A1F-B66B-4659-B3A0-CA7D5F179C6E}"/>
    <cellStyle name="Comma 4 2 5 4 5" xfId="20262" xr:uid="{6000FFAF-302E-4E98-AF86-9EFD08D8B60B}"/>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75FA8179-DB45-45D4-BFE1-6526798E21DC}"/>
    <cellStyle name="Comma 4 2 5 5 2 2 3" xfId="27037" xr:uid="{4F710CBD-62B1-4B37-8BD2-67DF0185AE91}"/>
    <cellStyle name="Comma 4 2 5 5 2 3" xfId="13521" xr:uid="{EC92083B-DEA9-46AC-90BD-19A403EEEF01}"/>
    <cellStyle name="Comma 4 2 5 5 2 4" xfId="22820" xr:uid="{DC004A97-EC14-4969-B3F8-69D34773631B}"/>
    <cellStyle name="Comma 4 2 5 5 3" xfId="6267" xr:uid="{00000000-0005-0000-0000-0000F2080000}"/>
    <cellStyle name="Comma 4 2 5 5 3 2" xfId="15593" xr:uid="{263C9574-3B39-4C2A-BF6A-9890C522D379}"/>
    <cellStyle name="Comma 4 2 5 5 3 3" xfId="24892" xr:uid="{BB2033CF-85D2-4831-8952-C924E2914173}"/>
    <cellStyle name="Comma 4 2 5 5 4" xfId="11376" xr:uid="{34DC70AE-8BAF-480B-A5A5-D05A2554EE92}"/>
    <cellStyle name="Comma 4 2 5 5 5" xfId="20675" xr:uid="{4BC70481-42EC-41C1-B267-E28423B2AB59}"/>
    <cellStyle name="Comma 4 2 5 6" xfId="2396" xr:uid="{00000000-0005-0000-0000-0000F3080000}"/>
    <cellStyle name="Comma 4 2 5 6 2" xfId="6680" xr:uid="{00000000-0005-0000-0000-0000F4080000}"/>
    <cellStyle name="Comma 4 2 5 6 2 2" xfId="16006" xr:uid="{4AEE6BAA-7D28-4F01-A516-646B87D8BE6C}"/>
    <cellStyle name="Comma 4 2 5 6 2 3" xfId="25305" xr:uid="{22B4FD82-CFA8-4552-A8B1-922C1E3BFDC5}"/>
    <cellStyle name="Comma 4 2 5 6 3" xfId="11789" xr:uid="{48D3E8C7-756A-4E17-9743-FA1AC159D69A}"/>
    <cellStyle name="Comma 4 2 5 6 4" xfId="21088" xr:uid="{2E5FF80B-F227-45AF-B6D6-E57DC82444CC}"/>
    <cellStyle name="Comma 4 2 5 7" xfId="2367" xr:uid="{00000000-0005-0000-0000-0000F5080000}"/>
    <cellStyle name="Comma 4 2 5 8" xfId="2774" xr:uid="{00000000-0005-0000-0000-0000F6080000}"/>
    <cellStyle name="Comma 4 2 5 8 2" xfId="6997" xr:uid="{00000000-0005-0000-0000-0000F7080000}"/>
    <cellStyle name="Comma 4 2 5 8 2 2" xfId="16323" xr:uid="{8A224D62-CDEE-4812-AB59-11893B5FCB1E}"/>
    <cellStyle name="Comma 4 2 5 8 2 3" xfId="25622" xr:uid="{5DC7F7CD-8CC0-499E-8D20-8E294EB0E0EA}"/>
    <cellStyle name="Comma 4 2 5 8 3" xfId="12106" xr:uid="{3EB5A722-DE76-42E9-8024-4F9EEF4836C7}"/>
    <cellStyle name="Comma 4 2 5 8 4" xfId="21405" xr:uid="{9AC50F9C-B26C-4243-B8BE-80A51104AE7C}"/>
    <cellStyle name="Comma 4 2 5 9" xfId="4614" xr:uid="{00000000-0005-0000-0000-0000F8080000}"/>
    <cellStyle name="Comma 4 2 5 9 2" xfId="13940" xr:uid="{4516EF45-99FF-47CD-B211-3060ABABDCF9}"/>
    <cellStyle name="Comma 4 2 5 9 3" xfId="23239" xr:uid="{75C11932-B4E5-4BFC-A02F-2772AAC99D6F}"/>
    <cellStyle name="Comma 4 2 6" xfId="143" xr:uid="{00000000-0005-0000-0000-0000F9080000}"/>
    <cellStyle name="Comma 4 2 6 10" xfId="9177" xr:uid="{A20A3B72-7630-464F-8E57-DA2B9D6E44FB}"/>
    <cellStyle name="Comma 4 2 6 10 2" xfId="18495" xr:uid="{B6476A7D-57F5-4739-987F-ACD56878B9D5}"/>
    <cellStyle name="Comma 4 2 6 10 3" xfId="27792" xr:uid="{8D47DF20-5C7D-476B-8AB9-F264D3250EFA}"/>
    <cellStyle name="Comma 4 2 6 11" xfId="9724" xr:uid="{D8C6D3DC-6395-4492-BEF0-67331281CCC2}"/>
    <cellStyle name="Comma 4 2 6 12" xfId="19023" xr:uid="{B568ECE6-91B8-4D6C-A97F-FA34CF0F8949}"/>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7E3619FA-859C-43A5-9A8F-E1A91CF02677}"/>
    <cellStyle name="Comma 4 2 6 2 2 2 3" xfId="25799" xr:uid="{8E2D32EE-64F4-4F1B-B643-87059758269E}"/>
    <cellStyle name="Comma 4 2 6 2 2 3" xfId="12283" xr:uid="{6116696D-085B-40EB-9713-CAF9751FADBF}"/>
    <cellStyle name="Comma 4 2 6 2 2 4" xfId="21582" xr:uid="{4BA231C1-BCBD-49E7-8C3A-E84B726309BF}"/>
    <cellStyle name="Comma 4 2 6 2 3" xfId="5029" xr:uid="{00000000-0005-0000-0000-0000FD080000}"/>
    <cellStyle name="Comma 4 2 6 2 3 2" xfId="14355" xr:uid="{6763ACE6-1F12-4A8F-BB5A-719425A102BD}"/>
    <cellStyle name="Comma 4 2 6 2 3 3" xfId="23654" xr:uid="{68F01673-097A-4EC8-BE02-6BEE608582DA}"/>
    <cellStyle name="Comma 4 2 6 2 4" xfId="9594" xr:uid="{CCB8D3FE-19FC-4F7F-9966-44FD23A1A32A}"/>
    <cellStyle name="Comma 4 2 6 2 4 2" xfId="18898" xr:uid="{D3AC8527-9154-4C12-8537-76BDCC2C8FC2}"/>
    <cellStyle name="Comma 4 2 6 2 4 3" xfId="28195" xr:uid="{41897EE1-3CB7-4001-BE0C-CCC2010D1E52}"/>
    <cellStyle name="Comma 4 2 6 2 5" xfId="10138" xr:uid="{2081DBAD-6165-49D0-B61C-CEEFF259D0EE}"/>
    <cellStyle name="Comma 4 2 6 2 6" xfId="19437" xr:uid="{94F5F6EC-3814-43DC-88AE-E9391D74D4A9}"/>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623D9CE4-802E-49DA-8472-60BD5F28124B}"/>
    <cellStyle name="Comma 4 2 6 3 2 2 3" xfId="26212" xr:uid="{71E74043-BECB-47D6-9F75-BFF87D9A7CBA}"/>
    <cellStyle name="Comma 4 2 6 3 2 3" xfId="12696" xr:uid="{631FE3F9-33A5-4EAA-A3CF-AFD44DE471C5}"/>
    <cellStyle name="Comma 4 2 6 3 2 4" xfId="21995" xr:uid="{545B8CD5-F6BB-4150-BE9B-2468719FBEB1}"/>
    <cellStyle name="Comma 4 2 6 3 3" xfId="5442" xr:uid="{00000000-0005-0000-0000-000001090000}"/>
    <cellStyle name="Comma 4 2 6 3 3 2" xfId="14768" xr:uid="{A9E4844D-E875-4ECA-BBBA-A5008097125A}"/>
    <cellStyle name="Comma 4 2 6 3 3 3" xfId="24067" xr:uid="{DE1CD6F4-B05E-4C4A-A4BE-3BAD9044A72F}"/>
    <cellStyle name="Comma 4 2 6 3 4" xfId="10551" xr:uid="{D343989B-64BB-45B4-898D-089CB53D81A3}"/>
    <cellStyle name="Comma 4 2 6 3 5" xfId="19850" xr:uid="{059E32B0-7BFA-4DFE-A89F-1EAFFF986AF3}"/>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2DB6002A-FA88-4462-A005-B01725953CE7}"/>
    <cellStyle name="Comma 4 2 6 4 2 2 3" xfId="26625" xr:uid="{32E85C92-1E63-4FF5-866A-68D67B9881BC}"/>
    <cellStyle name="Comma 4 2 6 4 2 3" xfId="13109" xr:uid="{4A426111-C7F3-4D1E-A454-EEFE08A9D4E6}"/>
    <cellStyle name="Comma 4 2 6 4 2 4" xfId="22408" xr:uid="{2BECBAB1-48D6-4A01-8CD5-663AC053A458}"/>
    <cellStyle name="Comma 4 2 6 4 3" xfId="5855" xr:uid="{00000000-0005-0000-0000-000005090000}"/>
    <cellStyle name="Comma 4 2 6 4 3 2" xfId="15181" xr:uid="{D36E56D7-B9ED-4C0B-A59A-D4E46E35BBAE}"/>
    <cellStyle name="Comma 4 2 6 4 3 3" xfId="24480" xr:uid="{48C690EC-67F6-4441-A7F7-43945E5AA8E5}"/>
    <cellStyle name="Comma 4 2 6 4 4" xfId="10964" xr:uid="{42074232-38FD-4619-B3FA-DA8C32AFEE6A}"/>
    <cellStyle name="Comma 4 2 6 4 5" xfId="20263" xr:uid="{B386FC86-61E4-405F-B0E4-5F2B09F8BC1D}"/>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04BEE198-174D-40CF-9B14-7F766CD259FF}"/>
    <cellStyle name="Comma 4 2 6 5 2 2 3" xfId="27038" xr:uid="{8CF26D3A-BC65-4EDF-8567-442F78B28DCA}"/>
    <cellStyle name="Comma 4 2 6 5 2 3" xfId="13522" xr:uid="{9736700A-C25E-4652-95F3-2EFCC21AA159}"/>
    <cellStyle name="Comma 4 2 6 5 2 4" xfId="22821" xr:uid="{FAA3B18A-12B6-4AF3-A815-64151CA394C2}"/>
    <cellStyle name="Comma 4 2 6 5 3" xfId="6268" xr:uid="{00000000-0005-0000-0000-000009090000}"/>
    <cellStyle name="Comma 4 2 6 5 3 2" xfId="15594" xr:uid="{365AC2CE-B3C1-4D6A-B0F8-8FF351431403}"/>
    <cellStyle name="Comma 4 2 6 5 3 3" xfId="24893" xr:uid="{F1659F8E-3594-4A80-BD91-4B8D9E494A2F}"/>
    <cellStyle name="Comma 4 2 6 5 4" xfId="11377" xr:uid="{F470AE7D-D350-4A63-A053-D60C7AFD0AC0}"/>
    <cellStyle name="Comma 4 2 6 5 5" xfId="20676" xr:uid="{3E036C05-2A36-445D-BB26-228B161FC449}"/>
    <cellStyle name="Comma 4 2 6 6" xfId="2397" xr:uid="{00000000-0005-0000-0000-00000A090000}"/>
    <cellStyle name="Comma 4 2 6 6 2" xfId="6681" xr:uid="{00000000-0005-0000-0000-00000B090000}"/>
    <cellStyle name="Comma 4 2 6 6 2 2" xfId="16007" xr:uid="{E4CB41D1-AEB4-4A33-BEEF-1105EB11487F}"/>
    <cellStyle name="Comma 4 2 6 6 2 3" xfId="25306" xr:uid="{13141E4A-A2D5-4B58-87C9-16A9DF1AAA2B}"/>
    <cellStyle name="Comma 4 2 6 6 3" xfId="11790" xr:uid="{D73C9EA5-B081-4D7A-8F52-1356B7E27F13}"/>
    <cellStyle name="Comma 4 2 6 6 4" xfId="21089" xr:uid="{006FA7C5-7BE6-4F6B-85AF-E81BDE13E3C0}"/>
    <cellStyle name="Comma 4 2 6 7" xfId="2366" xr:uid="{00000000-0005-0000-0000-00000C090000}"/>
    <cellStyle name="Comma 4 2 6 8" xfId="2775" xr:uid="{00000000-0005-0000-0000-00000D090000}"/>
    <cellStyle name="Comma 4 2 6 8 2" xfId="6998" xr:uid="{00000000-0005-0000-0000-00000E090000}"/>
    <cellStyle name="Comma 4 2 6 8 2 2" xfId="16324" xr:uid="{2AD3CDF8-383F-4B2B-8B00-05C5D0A47C07}"/>
    <cellStyle name="Comma 4 2 6 8 2 3" xfId="25623" xr:uid="{1C7EEEE6-2A5E-46DC-9AD9-AEE13E884170}"/>
    <cellStyle name="Comma 4 2 6 8 3" xfId="12107" xr:uid="{10544CE5-0E92-4572-90FC-6D84D352B2B0}"/>
    <cellStyle name="Comma 4 2 6 8 4" xfId="21406" xr:uid="{349E7235-DCCC-4AE4-9C50-E5D2C38A11BF}"/>
    <cellStyle name="Comma 4 2 6 9" xfId="4615" xr:uid="{00000000-0005-0000-0000-00000F090000}"/>
    <cellStyle name="Comma 4 2 6 9 2" xfId="13941" xr:uid="{6D0BFA00-1037-44D9-AC32-9D421DA1DF55}"/>
    <cellStyle name="Comma 4 2 6 9 3" xfId="23240" xr:uid="{9BC2FAB4-0A86-46DD-A146-3C412670A0BC}"/>
    <cellStyle name="Comma 4 2 7" xfId="9190" xr:uid="{C8B7F6BD-E2DD-41C7-A6AF-A5C7B900A7ED}"/>
    <cellStyle name="Comma 4 2 8" xfId="8755" xr:uid="{40286204-C766-4116-8542-387551AD6364}"/>
    <cellStyle name="Comma 4 2 8 2" xfId="18079" xr:uid="{CDC5E412-DC96-48D9-A5A5-FBF7B778AAC5}"/>
    <cellStyle name="Comma 4 2 8 3" xfId="27377" xr:uid="{5FF7A337-F2F2-40CC-9FA9-A758787FBDF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7098A0B5-B50B-4979-9E90-6349A50A70D1}"/>
    <cellStyle name="Comma 4 3 2 10 2 3" xfId="25624" xr:uid="{E429A86E-C183-45B2-B825-F9582E1E3475}"/>
    <cellStyle name="Comma 4 3 2 10 3" xfId="12108" xr:uid="{71E93D9E-27B7-43E6-A80B-E6B57D4E98AD}"/>
    <cellStyle name="Comma 4 3 2 10 4" xfId="21407" xr:uid="{DFFAAD13-E597-4A3B-97A2-B2843089E9C5}"/>
    <cellStyle name="Comma 4 3 2 11" xfId="4616" xr:uid="{00000000-0005-0000-0000-000014090000}"/>
    <cellStyle name="Comma 4 3 2 11 2" xfId="13942" xr:uid="{2D6784E4-B9FD-4B96-9C51-DFD784948D27}"/>
    <cellStyle name="Comma 4 3 2 11 3" xfId="23241" xr:uid="{293EEC4F-1CCE-424C-AE88-D25140230803}"/>
    <cellStyle name="Comma 4 3 2 12" xfId="8807" xr:uid="{5C5EF314-D0DB-425B-AE7D-D52FEEE90EC1}"/>
    <cellStyle name="Comma 4 3 2 12 2" xfId="18131" xr:uid="{AB5C187A-8EC1-4E28-9438-25F836B09E13}"/>
    <cellStyle name="Comma 4 3 2 12 3" xfId="27429" xr:uid="{111B7C42-C5A8-4CF2-A2BA-39BC45A4BB26}"/>
    <cellStyle name="Comma 4 3 2 13" xfId="9725" xr:uid="{D10D3733-3E8D-41BC-8DA1-95164C2B931F}"/>
    <cellStyle name="Comma 4 3 2 14" xfId="19024" xr:uid="{D4664010-4CD8-4473-A7C5-8AF6982CF31D}"/>
    <cellStyle name="Comma 4 3 2 2" xfId="146" xr:uid="{00000000-0005-0000-0000-000015090000}"/>
    <cellStyle name="Comma 4 3 2 2 10" xfId="4617" xr:uid="{00000000-0005-0000-0000-000016090000}"/>
    <cellStyle name="Comma 4 3 2 2 10 2" xfId="13943" xr:uid="{284FAE3C-A9AA-4F2A-A414-716800D5AD12}"/>
    <cellStyle name="Comma 4 3 2 2 10 3" xfId="23242" xr:uid="{A4DF3ED5-E99B-47F6-A04D-45FC5E3E96EA}"/>
    <cellStyle name="Comma 4 3 2 2 11" xfId="8910" xr:uid="{15019DD0-71A0-438D-B796-68DE42B22692}"/>
    <cellStyle name="Comma 4 3 2 2 11 2" xfId="18234" xr:uid="{87F67BD8-5900-4B65-B947-0301E295728B}"/>
    <cellStyle name="Comma 4 3 2 2 11 3" xfId="27532" xr:uid="{299C12C0-827C-475A-8787-D4518B8FDB0F}"/>
    <cellStyle name="Comma 4 3 2 2 12" xfId="9726" xr:uid="{4FA65C1B-6643-4AF5-801C-0B42B9A4F673}"/>
    <cellStyle name="Comma 4 3 2 2 13" xfId="19025" xr:uid="{5875388B-766E-4929-ADDF-D4014D1326AF}"/>
    <cellStyle name="Comma 4 3 2 2 2" xfId="147" xr:uid="{00000000-0005-0000-0000-000017090000}"/>
    <cellStyle name="Comma 4 3 2 2 2 10" xfId="9117" xr:uid="{1409F531-DBF2-41E0-9C74-F9317358BA15}"/>
    <cellStyle name="Comma 4 3 2 2 2 10 2" xfId="18441" xr:uid="{1D52B8DE-64BF-4B8C-8C6C-360ECC9E433A}"/>
    <cellStyle name="Comma 4 3 2 2 2 10 3" xfId="27739" xr:uid="{AADAB292-8339-441F-A967-5ADA46A45A0E}"/>
    <cellStyle name="Comma 4 3 2 2 2 11" xfId="9727" xr:uid="{952D1662-4F1C-4382-A501-1C3125BEDDD3}"/>
    <cellStyle name="Comma 4 3 2 2 2 12" xfId="19026" xr:uid="{3E1A9C85-29BA-4E91-84CD-23BF330102F8}"/>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0B5C0400-2E33-4384-AB33-A6C988A612CF}"/>
    <cellStyle name="Comma 4 3 2 2 2 2 2 2 3" xfId="25802" xr:uid="{1070D078-F3E7-4487-AB70-A6AC414EC370}"/>
    <cellStyle name="Comma 4 3 2 2 2 2 2 3" xfId="12286" xr:uid="{22969AC7-7908-45CD-B4E5-D0EF0B60CDDD}"/>
    <cellStyle name="Comma 4 3 2 2 2 2 2 4" xfId="21585" xr:uid="{0FAB73A6-BF91-41D8-9D51-F6AD33411C3B}"/>
    <cellStyle name="Comma 4 3 2 2 2 2 3" xfId="5032" xr:uid="{00000000-0005-0000-0000-00001B090000}"/>
    <cellStyle name="Comma 4 3 2 2 2 2 3 2" xfId="14358" xr:uid="{1FD1A071-D42F-44A5-9BFD-B3BDE3D8E8F1}"/>
    <cellStyle name="Comma 4 3 2 2 2 2 3 3" xfId="23657" xr:uid="{94F2E255-7D99-4940-AEC2-67DD69F207AD}"/>
    <cellStyle name="Comma 4 3 2 2 2 2 4" xfId="9542" xr:uid="{26CD77CC-F017-4839-8245-BBF245D45E53}"/>
    <cellStyle name="Comma 4 3 2 2 2 2 4 2" xfId="18857" xr:uid="{2240241B-A434-47BC-880C-9372E9553AE7}"/>
    <cellStyle name="Comma 4 3 2 2 2 2 4 3" xfId="28154" xr:uid="{64F8F12D-D622-4BE3-AFD3-837E0DA9C307}"/>
    <cellStyle name="Comma 4 3 2 2 2 2 5" xfId="10141" xr:uid="{CFD8CF77-CE03-42FE-A86F-5214AB536E1F}"/>
    <cellStyle name="Comma 4 3 2 2 2 2 6" xfId="19440" xr:uid="{793292C6-F735-43A5-9265-C9EF8F652769}"/>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3551D70E-567D-4C10-9D60-77D8F0D2A11B}"/>
    <cellStyle name="Comma 4 3 2 2 2 3 2 2 3" xfId="26215" xr:uid="{0EA0CDE0-AEC1-439D-BB22-399928E35B84}"/>
    <cellStyle name="Comma 4 3 2 2 2 3 2 3" xfId="12699" xr:uid="{B7999890-F55B-4F78-9188-35FAA39D5537}"/>
    <cellStyle name="Comma 4 3 2 2 2 3 2 4" xfId="21998" xr:uid="{6AC7A9A8-1E48-435C-83CA-7D8EBBF6E0DB}"/>
    <cellStyle name="Comma 4 3 2 2 2 3 3" xfId="5445" xr:uid="{00000000-0005-0000-0000-00001F090000}"/>
    <cellStyle name="Comma 4 3 2 2 2 3 3 2" xfId="14771" xr:uid="{8362445B-F615-4405-983C-C58C6C58E0B2}"/>
    <cellStyle name="Comma 4 3 2 2 2 3 3 3" xfId="24070" xr:uid="{A01FD94C-E097-4AA5-B417-8FA486D17F00}"/>
    <cellStyle name="Comma 4 3 2 2 2 3 4" xfId="10554" xr:uid="{C6A07500-9D7C-453E-8092-59912EB25E30}"/>
    <cellStyle name="Comma 4 3 2 2 2 3 5" xfId="19853" xr:uid="{B32F7A33-F5F9-46F9-9C5F-75ABF53500A0}"/>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DB2759D8-8A26-493E-928A-8CC6A68837E6}"/>
    <cellStyle name="Comma 4 3 2 2 2 4 2 2 3" xfId="26628" xr:uid="{1774CC7F-9FA3-4CA0-B833-49D79F219C92}"/>
    <cellStyle name="Comma 4 3 2 2 2 4 2 3" xfId="13112" xr:uid="{4D1A2523-FDED-4E0B-B44B-82F0D1E061E1}"/>
    <cellStyle name="Comma 4 3 2 2 2 4 2 4" xfId="22411" xr:uid="{91CFEC03-9E9B-4949-91E9-A2EAC8826B50}"/>
    <cellStyle name="Comma 4 3 2 2 2 4 3" xfId="5858" xr:uid="{00000000-0005-0000-0000-000023090000}"/>
    <cellStyle name="Comma 4 3 2 2 2 4 3 2" xfId="15184" xr:uid="{E823BD21-C13E-495D-8CFE-A6C5CAC68954}"/>
    <cellStyle name="Comma 4 3 2 2 2 4 3 3" xfId="24483" xr:uid="{D9CDA78B-2A5A-4917-AEA9-FDF196E55E5B}"/>
    <cellStyle name="Comma 4 3 2 2 2 4 4" xfId="10967" xr:uid="{106E402E-3009-4966-8AE0-53C83FA47ACD}"/>
    <cellStyle name="Comma 4 3 2 2 2 4 5" xfId="20266" xr:uid="{DED89251-2DD6-4FF1-9E24-F3A59DE5310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20B814B7-10E6-4B16-845C-EFB90F40A294}"/>
    <cellStyle name="Comma 4 3 2 2 2 5 2 2 3" xfId="27041" xr:uid="{D4DAAF1D-2A34-4489-AAD2-B82EFE4FDB33}"/>
    <cellStyle name="Comma 4 3 2 2 2 5 2 3" xfId="13525" xr:uid="{E0A09818-4204-467B-824C-A37E6FCB1D70}"/>
    <cellStyle name="Comma 4 3 2 2 2 5 2 4" xfId="22824" xr:uid="{CF91420C-96E6-4234-80CB-8A7028BF0A32}"/>
    <cellStyle name="Comma 4 3 2 2 2 5 3" xfId="6271" xr:uid="{00000000-0005-0000-0000-000027090000}"/>
    <cellStyle name="Comma 4 3 2 2 2 5 3 2" xfId="15597" xr:uid="{6D2903B7-3E91-4BF4-BD01-A0B27A559AB1}"/>
    <cellStyle name="Comma 4 3 2 2 2 5 3 3" xfId="24896" xr:uid="{ED324BD7-39EB-4EF3-A70A-7160B900A351}"/>
    <cellStyle name="Comma 4 3 2 2 2 5 4" xfId="11380" xr:uid="{A210C703-335A-4D82-B0B9-6870359DE2A8}"/>
    <cellStyle name="Comma 4 3 2 2 2 5 5" xfId="20679" xr:uid="{0F03ECE1-1FAC-486D-80F1-984E3BEF62BF}"/>
    <cellStyle name="Comma 4 3 2 2 2 6" xfId="2400" xr:uid="{00000000-0005-0000-0000-000028090000}"/>
    <cellStyle name="Comma 4 3 2 2 2 6 2" xfId="6684" xr:uid="{00000000-0005-0000-0000-000029090000}"/>
    <cellStyle name="Comma 4 3 2 2 2 6 2 2" xfId="16010" xr:uid="{EA49BC1A-4017-4B86-896C-D7728F3C4B2F}"/>
    <cellStyle name="Comma 4 3 2 2 2 6 2 3" xfId="25309" xr:uid="{3CDE5E30-82D8-4C04-9B08-7F78ED289157}"/>
    <cellStyle name="Comma 4 3 2 2 2 6 3" xfId="11793" xr:uid="{1FCE603F-6640-4607-9258-0D884860B25C}"/>
    <cellStyle name="Comma 4 3 2 2 2 6 4" xfId="21092" xr:uid="{24A5401B-57C1-4625-8E44-279CE6B263BF}"/>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C5C2D462-E205-4E91-B3E6-F9C0597DE57F}"/>
    <cellStyle name="Comma 4 3 2 2 2 8 2 3" xfId="25626" xr:uid="{60C69357-49A6-4096-8587-C94A168C15D1}"/>
    <cellStyle name="Comma 4 3 2 2 2 8 3" xfId="12110" xr:uid="{D777113F-6A09-4209-A0F8-21D16F88B157}"/>
    <cellStyle name="Comma 4 3 2 2 2 8 4" xfId="21409" xr:uid="{C8638C4D-BE75-4009-8CD8-DABA27AFEFE7}"/>
    <cellStyle name="Comma 4 3 2 2 2 9" xfId="4618" xr:uid="{00000000-0005-0000-0000-00002D090000}"/>
    <cellStyle name="Comma 4 3 2 2 2 9 2" xfId="13944" xr:uid="{E1B1A957-829E-4306-95C5-F65E12317AD8}"/>
    <cellStyle name="Comma 4 3 2 2 2 9 3" xfId="23243" xr:uid="{9ED39EBE-8CC3-4361-BC8A-9423B0CE8B8C}"/>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4CE248C4-25C3-428A-B33C-510E77BDF1A6}"/>
    <cellStyle name="Comma 4 3 2 2 3 2 2 3" xfId="25801" xr:uid="{EFA398A1-5E7A-45E4-9D76-D0D792E43051}"/>
    <cellStyle name="Comma 4 3 2 2 3 2 3" xfId="12285" xr:uid="{C922030A-EBD7-4B00-8037-3F0D0C46473A}"/>
    <cellStyle name="Comma 4 3 2 2 3 2 4" xfId="21584" xr:uid="{35F56582-D61F-4EC1-8C10-032BC82E389D}"/>
    <cellStyle name="Comma 4 3 2 2 3 3" xfId="5031" xr:uid="{00000000-0005-0000-0000-000031090000}"/>
    <cellStyle name="Comma 4 3 2 2 3 3 2" xfId="14357" xr:uid="{13351DA2-074D-4AFA-8773-96126CF09799}"/>
    <cellStyle name="Comma 4 3 2 2 3 3 3" xfId="23656" xr:uid="{33C937E8-B582-434A-9E79-F5650A5A7E3D}"/>
    <cellStyle name="Comma 4 3 2 2 3 4" xfId="9335" xr:uid="{BACD532B-C811-4076-B107-03E74D1B7113}"/>
    <cellStyle name="Comma 4 3 2 2 3 4 2" xfId="18650" xr:uid="{27ABF46E-7990-40EB-9244-D075DC77736E}"/>
    <cellStyle name="Comma 4 3 2 2 3 4 3" xfId="27947" xr:uid="{99EF0CAE-41EC-44D0-9C82-7BA28490AD17}"/>
    <cellStyle name="Comma 4 3 2 2 3 5" xfId="10140" xr:uid="{49779202-14AD-4727-946F-E754335BD23E}"/>
    <cellStyle name="Comma 4 3 2 2 3 6" xfId="19439" xr:uid="{BBB1A616-04CA-48F1-85EB-824E13B889C8}"/>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10267DB8-E7E7-4647-9807-31E42927D35B}"/>
    <cellStyle name="Comma 4 3 2 2 4 2 2 3" xfId="26214" xr:uid="{E41ACB7D-440A-4B6E-AC35-8B7DE7DEC708}"/>
    <cellStyle name="Comma 4 3 2 2 4 2 3" xfId="12698" xr:uid="{3369D7A1-E4F0-42C9-9094-0C89750DDAA6}"/>
    <cellStyle name="Comma 4 3 2 2 4 2 4" xfId="21997" xr:uid="{877F8002-46DD-44D1-A05C-632A35A7A678}"/>
    <cellStyle name="Comma 4 3 2 2 4 3" xfId="5444" xr:uid="{00000000-0005-0000-0000-000035090000}"/>
    <cellStyle name="Comma 4 3 2 2 4 3 2" xfId="14770" xr:uid="{936F0E14-454E-4C38-ACDF-F4E066CB1052}"/>
    <cellStyle name="Comma 4 3 2 2 4 3 3" xfId="24069" xr:uid="{7723A12A-3A0A-4F65-A122-74B17A98D83F}"/>
    <cellStyle name="Comma 4 3 2 2 4 4" xfId="10553" xr:uid="{7746B71C-CB72-40DE-BCA7-E55087EA8F51}"/>
    <cellStyle name="Comma 4 3 2 2 4 5" xfId="19852" xr:uid="{15F2357E-C129-4A77-81ED-FA269340FFC4}"/>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F4952BBC-21B4-42D6-8B27-4F0B7352A687}"/>
    <cellStyle name="Comma 4 3 2 2 5 2 2 3" xfId="26627" xr:uid="{3C704A5F-2938-4444-AEE9-393B5E0BCB7C}"/>
    <cellStyle name="Comma 4 3 2 2 5 2 3" xfId="13111" xr:uid="{368AF14B-5B9F-4C87-9EDA-B5430F0706AA}"/>
    <cellStyle name="Comma 4 3 2 2 5 2 4" xfId="22410" xr:uid="{C560D9B3-8ED3-41F0-BFE2-85BE3EFEFBE1}"/>
    <cellStyle name="Comma 4 3 2 2 5 3" xfId="5857" xr:uid="{00000000-0005-0000-0000-000039090000}"/>
    <cellStyle name="Comma 4 3 2 2 5 3 2" xfId="15183" xr:uid="{798C17C2-5346-45FD-A36E-8C1806B4C556}"/>
    <cellStyle name="Comma 4 3 2 2 5 3 3" xfId="24482" xr:uid="{C14CBBF2-DB51-4663-BC33-A2EEF69B538E}"/>
    <cellStyle name="Comma 4 3 2 2 5 4" xfId="10966" xr:uid="{80EF1F9E-EE3A-4160-AFBF-C02065857119}"/>
    <cellStyle name="Comma 4 3 2 2 5 5" xfId="20265" xr:uid="{21C1E1FE-1C8C-458B-B55D-AC84161C7EAA}"/>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2D4F12C2-01D1-4122-B977-F9813FE1EE8E}"/>
    <cellStyle name="Comma 4 3 2 2 6 2 2 3" xfId="27040" xr:uid="{C2EDCAE3-BBD3-4D69-8038-AADCAA958014}"/>
    <cellStyle name="Comma 4 3 2 2 6 2 3" xfId="13524" xr:uid="{0B65375A-A1C4-4329-BAF9-2EBDD78DCC3E}"/>
    <cellStyle name="Comma 4 3 2 2 6 2 4" xfId="22823" xr:uid="{54C1EC77-D84D-4F3C-ACA5-616E0E20F575}"/>
    <cellStyle name="Comma 4 3 2 2 6 3" xfId="6270" xr:uid="{00000000-0005-0000-0000-00003D090000}"/>
    <cellStyle name="Comma 4 3 2 2 6 3 2" xfId="15596" xr:uid="{C025FE3F-C809-4154-A567-2A2671772359}"/>
    <cellStyle name="Comma 4 3 2 2 6 3 3" xfId="24895" xr:uid="{00EF8AA3-B300-4010-9FA0-17547033C4C0}"/>
    <cellStyle name="Comma 4 3 2 2 6 4" xfId="11379" xr:uid="{B68AECFB-1609-4A5E-905F-AB81565BED2F}"/>
    <cellStyle name="Comma 4 3 2 2 6 5" xfId="20678" xr:uid="{20140914-7C66-4968-B37A-797D8E7B6499}"/>
    <cellStyle name="Comma 4 3 2 2 7" xfId="2399" xr:uid="{00000000-0005-0000-0000-00003E090000}"/>
    <cellStyle name="Comma 4 3 2 2 7 2" xfId="6683" xr:uid="{00000000-0005-0000-0000-00003F090000}"/>
    <cellStyle name="Comma 4 3 2 2 7 2 2" xfId="16009" xr:uid="{F59F924C-14A2-424A-A2EA-A40A4F5E5480}"/>
    <cellStyle name="Comma 4 3 2 2 7 2 3" xfId="25308" xr:uid="{E28FC5A5-034E-411C-AB48-FF09F80CB263}"/>
    <cellStyle name="Comma 4 3 2 2 7 3" xfId="11792" xr:uid="{590DF4F5-14C3-499A-AF34-EBC5048DD416}"/>
    <cellStyle name="Comma 4 3 2 2 7 4" xfId="21091" xr:uid="{B834F530-8E1A-46E1-9550-81243EE9BE86}"/>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A7C35CAD-FB9B-4792-8B7A-65722EC77B13}"/>
    <cellStyle name="Comma 4 3 2 2 9 2 3" xfId="25625" xr:uid="{E9C179F4-D5FE-4F28-B98D-0B6E394DF450}"/>
    <cellStyle name="Comma 4 3 2 2 9 3" xfId="12109" xr:uid="{53B30CCD-9EB2-49BE-BB20-195126C51942}"/>
    <cellStyle name="Comma 4 3 2 2 9 4" xfId="21408" xr:uid="{B2F0DD4F-40EF-417B-BC25-5649ECD87848}"/>
    <cellStyle name="Comma 4 3 2 3" xfId="148" xr:uid="{00000000-0005-0000-0000-000043090000}"/>
    <cellStyle name="Comma 4 3 2 3 10" xfId="9014" xr:uid="{46568903-2C47-4BC3-8E78-5A47F62B319C}"/>
    <cellStyle name="Comma 4 3 2 3 10 2" xfId="18338" xr:uid="{5F38BEB7-48F7-4918-AF10-611B34E5D57E}"/>
    <cellStyle name="Comma 4 3 2 3 10 3" xfId="27636" xr:uid="{6AC48BAA-93FB-4187-B4C9-DEB2D0BD413B}"/>
    <cellStyle name="Comma 4 3 2 3 11" xfId="9728" xr:uid="{C354FB6F-7481-4A38-8312-58D560354F73}"/>
    <cellStyle name="Comma 4 3 2 3 12" xfId="19027" xr:uid="{66CF6CA5-7D36-43C6-AA83-09A63CE06A1C}"/>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F23E6B39-7840-4E7D-A5D6-64C64951DB00}"/>
    <cellStyle name="Comma 4 3 2 3 2 2 2 3" xfId="25803" xr:uid="{D8FC55B9-3384-4046-B5E1-4C5C22599F5A}"/>
    <cellStyle name="Comma 4 3 2 3 2 2 3" xfId="12287" xr:uid="{D06218B0-A32A-4EB7-8250-56B201819395}"/>
    <cellStyle name="Comma 4 3 2 3 2 2 4" xfId="21586" xr:uid="{A51FE239-258B-4B49-B33B-62B3C6A6691C}"/>
    <cellStyle name="Comma 4 3 2 3 2 3" xfId="5033" xr:uid="{00000000-0005-0000-0000-000047090000}"/>
    <cellStyle name="Comma 4 3 2 3 2 3 2" xfId="14359" xr:uid="{286DC70A-D97C-4CE2-AD94-49FCF5BCDFD5}"/>
    <cellStyle name="Comma 4 3 2 3 2 3 3" xfId="23658" xr:uid="{6AC78922-D409-4C38-BFB7-879DC5B2595D}"/>
    <cellStyle name="Comma 4 3 2 3 2 4" xfId="9439" xr:uid="{2FD116B5-6902-4630-AFC5-CC8B06C5F457}"/>
    <cellStyle name="Comma 4 3 2 3 2 4 2" xfId="18754" xr:uid="{C2FF2E55-6772-491F-A0CA-82F8CC92D6A5}"/>
    <cellStyle name="Comma 4 3 2 3 2 4 3" xfId="28051" xr:uid="{AC1F2CD0-1DD7-4EBC-B419-385E7D565A86}"/>
    <cellStyle name="Comma 4 3 2 3 2 5" xfId="10142" xr:uid="{6208669B-AB30-42B8-AA8C-D89A07358EFB}"/>
    <cellStyle name="Comma 4 3 2 3 2 6" xfId="19441" xr:uid="{E1C6F77C-5C76-4D5E-833B-FA204655DADD}"/>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E43BF7C1-C4AE-4668-8B56-73447F4AFE42}"/>
    <cellStyle name="Comma 4 3 2 3 3 2 2 3" xfId="26216" xr:uid="{928AEF0B-3E7B-45E0-A8F9-2E22412D58E7}"/>
    <cellStyle name="Comma 4 3 2 3 3 2 3" xfId="12700" xr:uid="{3739B35C-34E5-40BA-88F2-467EEB2E0049}"/>
    <cellStyle name="Comma 4 3 2 3 3 2 4" xfId="21999" xr:uid="{8D1CA961-65D2-4AD1-8B15-0045C61D2308}"/>
    <cellStyle name="Comma 4 3 2 3 3 3" xfId="5446" xr:uid="{00000000-0005-0000-0000-00004B090000}"/>
    <cellStyle name="Comma 4 3 2 3 3 3 2" xfId="14772" xr:uid="{922B02EB-A682-4758-8BBF-B1CDD558DA61}"/>
    <cellStyle name="Comma 4 3 2 3 3 3 3" xfId="24071" xr:uid="{11B8C533-9503-4FF3-8669-63B9FA663EF5}"/>
    <cellStyle name="Comma 4 3 2 3 3 4" xfId="10555" xr:uid="{111CC214-EE70-4DE5-A58B-464D9FDB9973}"/>
    <cellStyle name="Comma 4 3 2 3 3 5" xfId="19854" xr:uid="{92662799-3F2B-4BA5-A7D4-A655703AD269}"/>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E5C65C65-5113-4CD3-8304-4EAAD9650B37}"/>
    <cellStyle name="Comma 4 3 2 3 4 2 2 3" xfId="26629" xr:uid="{E7F759EA-4D9F-4A4F-BD8F-8DA47483C011}"/>
    <cellStyle name="Comma 4 3 2 3 4 2 3" xfId="13113" xr:uid="{9352D245-B65A-4E49-932F-A322FEAB9D5E}"/>
    <cellStyle name="Comma 4 3 2 3 4 2 4" xfId="22412" xr:uid="{581A1B40-BE36-415B-9FBC-26E1F48C1C94}"/>
    <cellStyle name="Comma 4 3 2 3 4 3" xfId="5859" xr:uid="{00000000-0005-0000-0000-00004F090000}"/>
    <cellStyle name="Comma 4 3 2 3 4 3 2" xfId="15185" xr:uid="{651C4B85-6628-4182-B40E-B5765B29583D}"/>
    <cellStyle name="Comma 4 3 2 3 4 3 3" xfId="24484" xr:uid="{F15615B7-55CA-4757-9D28-DDCFA0FC4BF0}"/>
    <cellStyle name="Comma 4 3 2 3 4 4" xfId="10968" xr:uid="{846323DB-C0E7-4172-806F-6BFBBF51C572}"/>
    <cellStyle name="Comma 4 3 2 3 4 5" xfId="20267" xr:uid="{DD7BD9B1-DA7A-484A-B9C7-AE070E1AFE72}"/>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A0E6DDA3-3037-4E6B-AAF6-F8C6A693F631}"/>
    <cellStyle name="Comma 4 3 2 3 5 2 2 3" xfId="27042" xr:uid="{4241FDB8-1E07-4613-B422-EF499D09A356}"/>
    <cellStyle name="Comma 4 3 2 3 5 2 3" xfId="13526" xr:uid="{F77442CD-30EC-4DFA-989A-E20160149BB9}"/>
    <cellStyle name="Comma 4 3 2 3 5 2 4" xfId="22825" xr:uid="{55091DDC-5BC4-41C9-81AB-F74FCE018876}"/>
    <cellStyle name="Comma 4 3 2 3 5 3" xfId="6272" xr:uid="{00000000-0005-0000-0000-000053090000}"/>
    <cellStyle name="Comma 4 3 2 3 5 3 2" xfId="15598" xr:uid="{190ABFAA-6961-4E3E-81A9-89313047A498}"/>
    <cellStyle name="Comma 4 3 2 3 5 3 3" xfId="24897" xr:uid="{748143EF-04A5-4DE7-AD5B-2E58590BA6C1}"/>
    <cellStyle name="Comma 4 3 2 3 5 4" xfId="11381" xr:uid="{2560F4FA-2548-4BA7-95A9-ED4888086CB6}"/>
    <cellStyle name="Comma 4 3 2 3 5 5" xfId="20680" xr:uid="{83B880EF-AFD2-425E-9F85-6575FCDB67F8}"/>
    <cellStyle name="Comma 4 3 2 3 6" xfId="2401" xr:uid="{00000000-0005-0000-0000-000054090000}"/>
    <cellStyle name="Comma 4 3 2 3 6 2" xfId="6685" xr:uid="{00000000-0005-0000-0000-000055090000}"/>
    <cellStyle name="Comma 4 3 2 3 6 2 2" xfId="16011" xr:uid="{77E95988-DA0A-46E7-9DE0-505E17E75A08}"/>
    <cellStyle name="Comma 4 3 2 3 6 2 3" xfId="25310" xr:uid="{2A85FD45-03C6-4E3E-810E-A268CADB7D33}"/>
    <cellStyle name="Comma 4 3 2 3 6 3" xfId="11794" xr:uid="{0C333B63-C475-4169-8FE2-3CB78FEC3D8F}"/>
    <cellStyle name="Comma 4 3 2 3 6 4" xfId="21093" xr:uid="{F16FEE59-AF6A-4330-BD7B-E0044E78DF32}"/>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0A4E445C-B8C0-4CCE-9447-217140BEEDFC}"/>
    <cellStyle name="Comma 4 3 2 3 8 2 3" xfId="25627" xr:uid="{0CE6E6B6-337E-49FA-B215-1DB82D5B9F8D}"/>
    <cellStyle name="Comma 4 3 2 3 8 3" xfId="12111" xr:uid="{D950CB2A-6D14-4B45-B9F2-FEF5A703A228}"/>
    <cellStyle name="Comma 4 3 2 3 8 4" xfId="21410" xr:uid="{5AD43EEE-A89B-4DD6-A874-AFBC201AE094}"/>
    <cellStyle name="Comma 4 3 2 3 9" xfId="4619" xr:uid="{00000000-0005-0000-0000-000059090000}"/>
    <cellStyle name="Comma 4 3 2 3 9 2" xfId="13945" xr:uid="{F4080139-A763-41B3-B1CA-A8279BDF26F7}"/>
    <cellStyle name="Comma 4 3 2 3 9 3" xfId="23244" xr:uid="{809416EE-14A1-49E4-9605-DBA76BB62303}"/>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3FFC6F3F-CA4C-487E-BD52-7E4102C41647}"/>
    <cellStyle name="Comma 4 3 2 4 2 2 3" xfId="25800" xr:uid="{26FE75B1-237C-4AA9-BF33-0486B2D9BF8B}"/>
    <cellStyle name="Comma 4 3 2 4 2 3" xfId="12284" xr:uid="{B2A90FC9-1F6D-4DDC-BA9D-7E99708EF23C}"/>
    <cellStyle name="Comma 4 3 2 4 2 4" xfId="21583" xr:uid="{0C63B97D-9D74-460E-B4E9-65EEF4F3CEE7}"/>
    <cellStyle name="Comma 4 3 2 4 3" xfId="5030" xr:uid="{00000000-0005-0000-0000-00005D090000}"/>
    <cellStyle name="Comma 4 3 2 4 3 2" xfId="14356" xr:uid="{589CFFF5-524D-41A6-8209-44E0FC157C55}"/>
    <cellStyle name="Comma 4 3 2 4 3 3" xfId="23655" xr:uid="{79ABC5B5-82E3-44D2-92D8-2DC476075B46}"/>
    <cellStyle name="Comma 4 3 2 4 4" xfId="9232" xr:uid="{8193451B-D8F0-40BD-91ED-34E7041117F6}"/>
    <cellStyle name="Comma 4 3 2 4 4 2" xfId="18547" xr:uid="{7AA8C97A-DC7B-4194-8B55-6103D5C41280}"/>
    <cellStyle name="Comma 4 3 2 4 4 3" xfId="27844" xr:uid="{76E1FC44-8614-49BE-8A6E-ACB47353EDEA}"/>
    <cellStyle name="Comma 4 3 2 4 5" xfId="10139" xr:uid="{6A6F746E-C98C-4B17-85F7-D36733E6F65D}"/>
    <cellStyle name="Comma 4 3 2 4 6" xfId="19438" xr:uid="{03AE34EA-9991-4D40-A93B-E97C29DC50A7}"/>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15B65717-1CC5-43C7-A9F2-35CEF02EFE59}"/>
    <cellStyle name="Comma 4 3 2 5 2 2 3" xfId="26213" xr:uid="{6391DD9C-CA84-48A9-AF3B-716CC8651A74}"/>
    <cellStyle name="Comma 4 3 2 5 2 3" xfId="12697" xr:uid="{045B8D84-4EC1-427A-B9D3-C5CD3E869A18}"/>
    <cellStyle name="Comma 4 3 2 5 2 4" xfId="21996" xr:uid="{143AB9B0-2FBE-41B6-A7D9-707535C60BAA}"/>
    <cellStyle name="Comma 4 3 2 5 3" xfId="5443" xr:uid="{00000000-0005-0000-0000-000061090000}"/>
    <cellStyle name="Comma 4 3 2 5 3 2" xfId="14769" xr:uid="{8A4722AA-E1E2-4E97-ADCC-BC94BF77EB49}"/>
    <cellStyle name="Comma 4 3 2 5 3 3" xfId="24068" xr:uid="{FE1432A6-2A64-420D-8216-8C656B0F96F5}"/>
    <cellStyle name="Comma 4 3 2 5 4" xfId="10552" xr:uid="{252332A4-3F93-4C2B-A04E-88AD420896DD}"/>
    <cellStyle name="Comma 4 3 2 5 5" xfId="19851" xr:uid="{AFD1D304-3D09-4B96-981F-695AF28BA3CC}"/>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A5A87C7B-E591-4EB0-9DED-8660F46DEE7A}"/>
    <cellStyle name="Comma 4 3 2 6 2 2 3" xfId="26626" xr:uid="{36DD7A84-1D06-4915-B8C9-EB439CCE1EF8}"/>
    <cellStyle name="Comma 4 3 2 6 2 3" xfId="13110" xr:uid="{96FC4948-28A9-448E-A0E2-56CDA00DE1DC}"/>
    <cellStyle name="Comma 4 3 2 6 2 4" xfId="22409" xr:uid="{89B9E4F0-D7D3-4EBF-9590-416EAC139497}"/>
    <cellStyle name="Comma 4 3 2 6 3" xfId="5856" xr:uid="{00000000-0005-0000-0000-000065090000}"/>
    <cellStyle name="Comma 4 3 2 6 3 2" xfId="15182" xr:uid="{B05479CC-1953-4268-A816-0551FA8F89CA}"/>
    <cellStyle name="Comma 4 3 2 6 3 3" xfId="24481" xr:uid="{DA56FA02-3548-42DA-9DB6-5207E3D63DF4}"/>
    <cellStyle name="Comma 4 3 2 6 4" xfId="10965" xr:uid="{8B06793E-1787-4509-A64B-4384FC2BA5C1}"/>
    <cellStyle name="Comma 4 3 2 6 5" xfId="20264" xr:uid="{C34FA025-6B47-4DEA-92AF-B952F8EBC97A}"/>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4B6A4594-C3EF-47FA-BD32-6A6967FA8A7B}"/>
    <cellStyle name="Comma 4 3 2 7 2 2 3" xfId="27039" xr:uid="{5B0E3545-17D5-4D75-A102-BEE5C7BDCBD2}"/>
    <cellStyle name="Comma 4 3 2 7 2 3" xfId="13523" xr:uid="{2C346C98-1B67-4458-8F93-6C3DEEE696A9}"/>
    <cellStyle name="Comma 4 3 2 7 2 4" xfId="22822" xr:uid="{6060222F-D665-4128-90A6-9BA18C45C2B0}"/>
    <cellStyle name="Comma 4 3 2 7 3" xfId="6269" xr:uid="{00000000-0005-0000-0000-000069090000}"/>
    <cellStyle name="Comma 4 3 2 7 3 2" xfId="15595" xr:uid="{C1FF1A42-8B2C-4A70-A69F-F33903213035}"/>
    <cellStyle name="Comma 4 3 2 7 3 3" xfId="24894" xr:uid="{1B322197-3AFD-47A7-934F-B9AC365404F2}"/>
    <cellStyle name="Comma 4 3 2 7 4" xfId="11378" xr:uid="{BD3909FB-1347-45E3-8EE3-B4D989F18CE2}"/>
    <cellStyle name="Comma 4 3 2 7 5" xfId="20677" xr:uid="{4057A09A-9BED-4851-9E42-A70D443BA7F7}"/>
    <cellStyle name="Comma 4 3 2 8" xfId="2398" xr:uid="{00000000-0005-0000-0000-00006A090000}"/>
    <cellStyle name="Comma 4 3 2 8 2" xfId="6682" xr:uid="{00000000-0005-0000-0000-00006B090000}"/>
    <cellStyle name="Comma 4 3 2 8 2 2" xfId="16008" xr:uid="{6C8D5F37-17CE-418E-A0E1-5DADBECD1A18}"/>
    <cellStyle name="Comma 4 3 2 8 2 3" xfId="25307" xr:uid="{87372998-029A-404E-94A4-1F4C1C7EDAC7}"/>
    <cellStyle name="Comma 4 3 2 8 3" xfId="11791" xr:uid="{CFF1462B-F0DF-433C-9002-FA1A0B6F20C2}"/>
    <cellStyle name="Comma 4 3 2 8 4" xfId="21090" xr:uid="{9358215D-ADE0-4934-BAED-13096798256E}"/>
    <cellStyle name="Comma 4 3 2 9" xfId="2365" xr:uid="{00000000-0005-0000-0000-00006C090000}"/>
    <cellStyle name="Comma 4 3 3" xfId="149" xr:uid="{00000000-0005-0000-0000-00006D090000}"/>
    <cellStyle name="Comma 4 3 3 10" xfId="4620" xr:uid="{00000000-0005-0000-0000-00006E090000}"/>
    <cellStyle name="Comma 4 3 3 10 2" xfId="13946" xr:uid="{2CD0EC64-F3DB-4EEF-8B27-3924C449AC87}"/>
    <cellStyle name="Comma 4 3 3 10 3" xfId="23245" xr:uid="{8F0714BC-FD57-4F6E-A332-9B93038752C5}"/>
    <cellStyle name="Comma 4 3 3 11" xfId="8881" xr:uid="{ACA3BC7C-CED7-49C2-9DC3-E2A3989962E9}"/>
    <cellStyle name="Comma 4 3 3 11 2" xfId="18205" xr:uid="{134BF671-A562-4FD2-9162-B8F917AC21FD}"/>
    <cellStyle name="Comma 4 3 3 11 3" xfId="27503" xr:uid="{A1F8A304-BB15-48D6-92F9-43CC4ED7F428}"/>
    <cellStyle name="Comma 4 3 3 12" xfId="9729" xr:uid="{FBCA3D21-57D9-4E6A-9DC5-09E4F0D50645}"/>
    <cellStyle name="Comma 4 3 3 13" xfId="19028" xr:uid="{E6AF883F-E93A-4C17-9A69-102DF741BB36}"/>
    <cellStyle name="Comma 4 3 3 2" xfId="150" xr:uid="{00000000-0005-0000-0000-00006F090000}"/>
    <cellStyle name="Comma 4 3 3 2 10" xfId="9088" xr:uid="{D40CFC42-DEA3-4A4C-8532-2B6CFC29229D}"/>
    <cellStyle name="Comma 4 3 3 2 10 2" xfId="18412" xr:uid="{215EC810-8EDB-40B6-B149-7B8270F87416}"/>
    <cellStyle name="Comma 4 3 3 2 10 3" xfId="27710" xr:uid="{B37635E2-2178-403D-A0B1-3054348CF3EA}"/>
    <cellStyle name="Comma 4 3 3 2 11" xfId="9730" xr:uid="{C4E43BE0-838A-40FA-9D7C-F778613D85C2}"/>
    <cellStyle name="Comma 4 3 3 2 12" xfId="19029" xr:uid="{21C4254D-B698-45AF-AC18-F42C82693482}"/>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9AE46C6F-DDEC-4D96-B9A1-1DB40BD7EA61}"/>
    <cellStyle name="Comma 4 3 3 2 2 2 2 3" xfId="25805" xr:uid="{8186F631-412C-4E3E-B22D-A4EB4D26698D}"/>
    <cellStyle name="Comma 4 3 3 2 2 2 3" xfId="12289" xr:uid="{F67187A8-308D-4BAB-A38A-F9E0086BFD91}"/>
    <cellStyle name="Comma 4 3 3 2 2 2 4" xfId="21588" xr:uid="{CFC141FF-DB0E-486A-A26A-F40A68F56360}"/>
    <cellStyle name="Comma 4 3 3 2 2 3" xfId="5035" xr:uid="{00000000-0005-0000-0000-000073090000}"/>
    <cellStyle name="Comma 4 3 3 2 2 3 2" xfId="14361" xr:uid="{E68564CC-49DB-43C3-A0F0-3AD554B0B7F0}"/>
    <cellStyle name="Comma 4 3 3 2 2 3 3" xfId="23660" xr:uid="{5AC80D43-837E-4721-A472-090A52BFEFB6}"/>
    <cellStyle name="Comma 4 3 3 2 2 4" xfId="9513" xr:uid="{986E0DAD-8ABC-4DAC-9C56-EF87B6B3B829}"/>
    <cellStyle name="Comma 4 3 3 2 2 4 2" xfId="18828" xr:uid="{ED88BAF1-F3BD-46FC-890F-5FFD6829F6DD}"/>
    <cellStyle name="Comma 4 3 3 2 2 4 3" xfId="28125" xr:uid="{655B4DB1-09E7-4D07-8EB5-EFAE74164857}"/>
    <cellStyle name="Comma 4 3 3 2 2 5" xfId="10144" xr:uid="{C3D5B651-B436-4828-8128-F02718E46A35}"/>
    <cellStyle name="Comma 4 3 3 2 2 6" xfId="19443" xr:uid="{E3CF864A-9CCD-4949-AC84-F9F4FBF6517E}"/>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914529CC-A7F6-4674-A4F6-AFF2078576F7}"/>
    <cellStyle name="Comma 4 3 3 2 3 2 2 3" xfId="26218" xr:uid="{AB94CF51-FAA5-47EB-94ED-6D2D0776792D}"/>
    <cellStyle name="Comma 4 3 3 2 3 2 3" xfId="12702" xr:uid="{AD51899E-B153-46CA-89F0-995593CD2B0D}"/>
    <cellStyle name="Comma 4 3 3 2 3 2 4" xfId="22001" xr:uid="{A85C2B7D-9944-4DE8-A8C5-B783E66EF44D}"/>
    <cellStyle name="Comma 4 3 3 2 3 3" xfId="5448" xr:uid="{00000000-0005-0000-0000-000077090000}"/>
    <cellStyle name="Comma 4 3 3 2 3 3 2" xfId="14774" xr:uid="{C0939D46-D7C6-45D8-8CB4-4D09B3759FB6}"/>
    <cellStyle name="Comma 4 3 3 2 3 3 3" xfId="24073" xr:uid="{8A064D5C-22BA-49FE-95DE-B0FFAE478615}"/>
    <cellStyle name="Comma 4 3 3 2 3 4" xfId="10557" xr:uid="{35C01D5D-3C70-4F3A-A963-8991546CFC9D}"/>
    <cellStyle name="Comma 4 3 3 2 3 5" xfId="19856" xr:uid="{70BCCC2C-B916-46C4-95EC-708B4D24C5C7}"/>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9358B2F5-3B7C-4EAB-A612-B6361821ECBA}"/>
    <cellStyle name="Comma 4 3 3 2 4 2 2 3" xfId="26631" xr:uid="{A512D00D-5283-48A1-A43B-881062AB63C3}"/>
    <cellStyle name="Comma 4 3 3 2 4 2 3" xfId="13115" xr:uid="{53723310-9CCC-4579-96B7-4DC6185F6E37}"/>
    <cellStyle name="Comma 4 3 3 2 4 2 4" xfId="22414" xr:uid="{2744FD85-73F8-48B5-9EBD-AE20FA8E61D5}"/>
    <cellStyle name="Comma 4 3 3 2 4 3" xfId="5861" xr:uid="{00000000-0005-0000-0000-00007B090000}"/>
    <cellStyle name="Comma 4 3 3 2 4 3 2" xfId="15187" xr:uid="{3D662993-032D-4348-BDF1-B7AEDBC93125}"/>
    <cellStyle name="Comma 4 3 3 2 4 3 3" xfId="24486" xr:uid="{E9CEE057-4BE8-4A95-ACF7-9D310DDF2DEB}"/>
    <cellStyle name="Comma 4 3 3 2 4 4" xfId="10970" xr:uid="{42B07DB7-9720-44A9-84C7-164D9EEA0847}"/>
    <cellStyle name="Comma 4 3 3 2 4 5" xfId="20269" xr:uid="{621894CD-C819-451F-848E-DE7D555BAA5F}"/>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E905F667-2930-493C-B993-D048328DAE5D}"/>
    <cellStyle name="Comma 4 3 3 2 5 2 2 3" xfId="27044" xr:uid="{9471531F-22AD-4AD3-9369-16A117E04EAB}"/>
    <cellStyle name="Comma 4 3 3 2 5 2 3" xfId="13528" xr:uid="{5CD48EF3-7B29-4926-A043-5DBD5196465C}"/>
    <cellStyle name="Comma 4 3 3 2 5 2 4" xfId="22827" xr:uid="{BF1DFD6B-BC21-4463-B7C1-D05B30A7D8C2}"/>
    <cellStyle name="Comma 4 3 3 2 5 3" xfId="6274" xr:uid="{00000000-0005-0000-0000-00007F090000}"/>
    <cellStyle name="Comma 4 3 3 2 5 3 2" xfId="15600" xr:uid="{ED543C8C-2197-4950-8877-77A8522CB80D}"/>
    <cellStyle name="Comma 4 3 3 2 5 3 3" xfId="24899" xr:uid="{A11FCA2B-E393-4A17-BB09-DB9380246BD6}"/>
    <cellStyle name="Comma 4 3 3 2 5 4" xfId="11383" xr:uid="{172C4C40-D3A2-4369-AC21-45DD2991159C}"/>
    <cellStyle name="Comma 4 3 3 2 5 5" xfId="20682" xr:uid="{0CE2757D-0746-4F49-A8DC-EA50FA646CC7}"/>
    <cellStyle name="Comma 4 3 3 2 6" xfId="2403" xr:uid="{00000000-0005-0000-0000-000080090000}"/>
    <cellStyle name="Comma 4 3 3 2 6 2" xfId="6687" xr:uid="{00000000-0005-0000-0000-000081090000}"/>
    <cellStyle name="Comma 4 3 3 2 6 2 2" xfId="16013" xr:uid="{9627D9E5-9FFD-4936-A22E-BA643E1194B5}"/>
    <cellStyle name="Comma 4 3 3 2 6 2 3" xfId="25312" xr:uid="{5E5D9CEA-66EB-422F-B036-A49ED5FAF6E3}"/>
    <cellStyle name="Comma 4 3 3 2 6 3" xfId="11796" xr:uid="{6FC1AC92-1F2E-4332-AD72-A8D7C2A0C05B}"/>
    <cellStyle name="Comma 4 3 3 2 6 4" xfId="21095" xr:uid="{AC59F326-32C3-48AF-970E-A5AE4326F61D}"/>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3B424F41-4ED0-48AD-9845-19CE761927FF}"/>
    <cellStyle name="Comma 4 3 3 2 8 2 3" xfId="25629" xr:uid="{174C52CB-3BC4-4469-A7A8-5F24AEE7E97E}"/>
    <cellStyle name="Comma 4 3 3 2 8 3" xfId="12113" xr:uid="{A53C216E-1478-4CE9-9D1B-5C4E21CC08A9}"/>
    <cellStyle name="Comma 4 3 3 2 8 4" xfId="21412" xr:uid="{4E77B955-253F-4FBF-AB32-A885E2E35229}"/>
    <cellStyle name="Comma 4 3 3 2 9" xfId="4621" xr:uid="{00000000-0005-0000-0000-000085090000}"/>
    <cellStyle name="Comma 4 3 3 2 9 2" xfId="13947" xr:uid="{18660AD5-5FE5-41D7-B983-1C4B875F83B3}"/>
    <cellStyle name="Comma 4 3 3 2 9 3" xfId="23246" xr:uid="{C7619EB0-EC05-4894-B25C-3A97EB69FFA2}"/>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047DEA3C-131D-46E5-A23B-D720C9CAD49B}"/>
    <cellStyle name="Comma 4 3 3 3 2 2 3" xfId="25804" xr:uid="{7508C287-1B92-4EF1-80C7-026A99966C2C}"/>
    <cellStyle name="Comma 4 3 3 3 2 3" xfId="12288" xr:uid="{8A7CF718-FF76-490C-B9D9-7FA0E3A84499}"/>
    <cellStyle name="Comma 4 3 3 3 2 4" xfId="21587" xr:uid="{778B2CE1-3129-4D5C-B615-9FE311327CED}"/>
    <cellStyle name="Comma 4 3 3 3 3" xfId="5034" xr:uid="{00000000-0005-0000-0000-000089090000}"/>
    <cellStyle name="Comma 4 3 3 3 3 2" xfId="14360" xr:uid="{51D067E5-FD79-41F0-A1CC-84A60D3BB646}"/>
    <cellStyle name="Comma 4 3 3 3 3 3" xfId="23659" xr:uid="{AF444A3E-D787-4AF2-860B-66081F41DE7A}"/>
    <cellStyle name="Comma 4 3 3 3 4" xfId="9306" xr:uid="{6AC2749B-EC1D-4760-AD4B-F36381A669B6}"/>
    <cellStyle name="Comma 4 3 3 3 4 2" xfId="18621" xr:uid="{A4EACAFB-040B-42C8-AD9A-AD37F2CEA73A}"/>
    <cellStyle name="Comma 4 3 3 3 4 3" xfId="27918" xr:uid="{3C42EDF0-EE86-4D87-9FDB-F415CB9D8844}"/>
    <cellStyle name="Comma 4 3 3 3 5" xfId="10143" xr:uid="{F3260695-E0C7-4675-850D-198E4545382B}"/>
    <cellStyle name="Comma 4 3 3 3 6" xfId="19442" xr:uid="{632A9922-3A7D-4301-8FD4-45644E652F16}"/>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E057FCE2-3CE5-4D02-AC71-D0C52AE6EA3C}"/>
    <cellStyle name="Comma 4 3 3 4 2 2 3" xfId="26217" xr:uid="{6CA75B8C-608C-4E17-A41C-309B0BB3D4AD}"/>
    <cellStyle name="Comma 4 3 3 4 2 3" xfId="12701" xr:uid="{A3BA052D-2C9F-4B9C-8499-8C3AEA1D7362}"/>
    <cellStyle name="Comma 4 3 3 4 2 4" xfId="22000" xr:uid="{733E71EB-5CB0-4523-B5A8-1BB3CBAEA972}"/>
    <cellStyle name="Comma 4 3 3 4 3" xfId="5447" xr:uid="{00000000-0005-0000-0000-00008D090000}"/>
    <cellStyle name="Comma 4 3 3 4 3 2" xfId="14773" xr:uid="{DA6AF1C7-1D33-4A5F-A2AB-2B7EBC2B7A0F}"/>
    <cellStyle name="Comma 4 3 3 4 3 3" xfId="24072" xr:uid="{B5EAF8E9-4AF5-475B-95C6-B60244D95D09}"/>
    <cellStyle name="Comma 4 3 3 4 4" xfId="10556" xr:uid="{D7DF45BF-81F5-41C1-BF51-9FE9440B0ED7}"/>
    <cellStyle name="Comma 4 3 3 4 5" xfId="19855" xr:uid="{C748F4FF-7BA9-411C-9C92-7314259CE26D}"/>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E6023846-3491-429C-A76E-B453583B31A5}"/>
    <cellStyle name="Comma 4 3 3 5 2 2 3" xfId="26630" xr:uid="{E92B0C08-1079-4EB9-B655-A8A59810EA5A}"/>
    <cellStyle name="Comma 4 3 3 5 2 3" xfId="13114" xr:uid="{526B123E-93D3-4C72-8701-F7451402D25F}"/>
    <cellStyle name="Comma 4 3 3 5 2 4" xfId="22413" xr:uid="{0FBD4F04-BE39-4D1F-8AD5-29ECD4B4279F}"/>
    <cellStyle name="Comma 4 3 3 5 3" xfId="5860" xr:uid="{00000000-0005-0000-0000-000091090000}"/>
    <cellStyle name="Comma 4 3 3 5 3 2" xfId="15186" xr:uid="{82AFACE6-B3D3-4E04-B1C3-25DCBA99268C}"/>
    <cellStyle name="Comma 4 3 3 5 3 3" xfId="24485" xr:uid="{57CC462C-A08B-40F4-B9D3-3AE6EBE312F9}"/>
    <cellStyle name="Comma 4 3 3 5 4" xfId="10969" xr:uid="{EF3E5BFC-6E4F-48DC-B40B-D392233C6FE8}"/>
    <cellStyle name="Comma 4 3 3 5 5" xfId="20268" xr:uid="{A925B634-F46C-4029-9CF0-F3FD033BCA41}"/>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CFF4FF23-D0F4-436A-B613-82EC50406A7A}"/>
    <cellStyle name="Comma 4 3 3 6 2 2 3" xfId="27043" xr:uid="{DF534D2B-6590-4DBA-BFC9-DDBF41734E4D}"/>
    <cellStyle name="Comma 4 3 3 6 2 3" xfId="13527" xr:uid="{907CC08F-C87C-4514-AAE1-9282B5A9A012}"/>
    <cellStyle name="Comma 4 3 3 6 2 4" xfId="22826" xr:uid="{6FD89D70-D9EE-4D46-A18F-A6824CAA9901}"/>
    <cellStyle name="Comma 4 3 3 6 3" xfId="6273" xr:uid="{00000000-0005-0000-0000-000095090000}"/>
    <cellStyle name="Comma 4 3 3 6 3 2" xfId="15599" xr:uid="{71DA09E2-C366-4644-832B-B6E1C5B6272E}"/>
    <cellStyle name="Comma 4 3 3 6 3 3" xfId="24898" xr:uid="{D2C4E353-B5E2-4776-B3E3-816F84BE4B13}"/>
    <cellStyle name="Comma 4 3 3 6 4" xfId="11382" xr:uid="{431D8EB0-7A5A-4B9C-A548-88E9C1B9C9FF}"/>
    <cellStyle name="Comma 4 3 3 6 5" xfId="20681" xr:uid="{D48FC539-AD1C-4F3B-AF2F-BD6F8EEA5265}"/>
    <cellStyle name="Comma 4 3 3 7" xfId="2402" xr:uid="{00000000-0005-0000-0000-000096090000}"/>
    <cellStyle name="Comma 4 3 3 7 2" xfId="6686" xr:uid="{00000000-0005-0000-0000-000097090000}"/>
    <cellStyle name="Comma 4 3 3 7 2 2" xfId="16012" xr:uid="{B2AD1BF7-E5B2-47FC-AC06-BCE653B22526}"/>
    <cellStyle name="Comma 4 3 3 7 2 3" xfId="25311" xr:uid="{81084BA8-FA26-4DC9-A3E2-43AFCFB61700}"/>
    <cellStyle name="Comma 4 3 3 7 3" xfId="11795" xr:uid="{513F847C-71EC-4FBE-B8FF-0F15C05756EC}"/>
    <cellStyle name="Comma 4 3 3 7 4" xfId="21094" xr:uid="{FFD67134-07B5-44E2-B9B5-058589BBD89A}"/>
    <cellStyle name="Comma 4 3 3 8" xfId="2361" xr:uid="{00000000-0005-0000-0000-000098090000}"/>
    <cellStyle name="Comma 4 3 3 9" xfId="2780" xr:uid="{00000000-0005-0000-0000-000099090000}"/>
    <cellStyle name="Comma 4 3 3 9 2" xfId="7003" xr:uid="{00000000-0005-0000-0000-00009A090000}"/>
    <cellStyle name="Comma 4 3 3 9 2 2" xfId="16329" xr:uid="{D337367E-5639-4F12-87B0-361DA18C9AC2}"/>
    <cellStyle name="Comma 4 3 3 9 2 3" xfId="25628" xr:uid="{DC817AA8-ACF9-4EAA-85C5-6991C8455680}"/>
    <cellStyle name="Comma 4 3 3 9 3" xfId="12112" xr:uid="{33FE6DF7-8AC9-4FEF-B2C1-8E3930282EBE}"/>
    <cellStyle name="Comma 4 3 3 9 4" xfId="21411" xr:uid="{D7AE441A-BFCD-42C5-917F-5BB2FB337A73}"/>
    <cellStyle name="Comma 4 3 4" xfId="151" xr:uid="{00000000-0005-0000-0000-00009B090000}"/>
    <cellStyle name="Comma 4 3 4 10" xfId="8985" xr:uid="{E965CEC1-A932-4F91-9E18-794CBF7DC7FC}"/>
    <cellStyle name="Comma 4 3 4 10 2" xfId="18309" xr:uid="{5340E3CC-3588-446D-AE3A-019A5AFA5B88}"/>
    <cellStyle name="Comma 4 3 4 10 3" xfId="27607" xr:uid="{68716503-263E-433D-8916-213A0589450D}"/>
    <cellStyle name="Comma 4 3 4 11" xfId="9731" xr:uid="{18CDE1C9-8F3D-43F4-B902-76E9066B1E80}"/>
    <cellStyle name="Comma 4 3 4 12" xfId="19030" xr:uid="{F3BDEC02-B8BA-45CB-8317-BDF0C245E84D}"/>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D1C0820C-5E44-4021-AA1A-4773C44E6B1A}"/>
    <cellStyle name="Comma 4 3 4 2 2 2 3" xfId="25806" xr:uid="{A6677094-CE13-483A-98D0-B76CEF1DD01F}"/>
    <cellStyle name="Comma 4 3 4 2 2 3" xfId="12290" xr:uid="{7832833D-1AD6-466C-8086-18F0B2F31B5A}"/>
    <cellStyle name="Comma 4 3 4 2 2 4" xfId="21589" xr:uid="{F6B0CB2C-CF90-4076-BD90-D61F7B800C4D}"/>
    <cellStyle name="Comma 4 3 4 2 3" xfId="5036" xr:uid="{00000000-0005-0000-0000-00009F090000}"/>
    <cellStyle name="Comma 4 3 4 2 3 2" xfId="14362" xr:uid="{9D64264C-732A-4E0C-83BB-3DFBA14250CC}"/>
    <cellStyle name="Comma 4 3 4 2 3 3" xfId="23661" xr:uid="{A7B25B29-2DC0-4CC8-B7F5-179E72C2306F}"/>
    <cellStyle name="Comma 4 3 4 2 4" xfId="9410" xr:uid="{54DEC146-6204-4AAF-A15F-BAC0A12B5984}"/>
    <cellStyle name="Comma 4 3 4 2 4 2" xfId="18725" xr:uid="{328CD744-8C69-4D9A-82FB-72182134F9FA}"/>
    <cellStyle name="Comma 4 3 4 2 4 3" xfId="28022" xr:uid="{4FC9579E-C90C-4F87-8258-48FC82218077}"/>
    <cellStyle name="Comma 4 3 4 2 5" xfId="10145" xr:uid="{1916FAA5-96E3-4927-A4A3-717B316E1ABD}"/>
    <cellStyle name="Comma 4 3 4 2 6" xfId="19444" xr:uid="{8049AC08-BEF6-4FFC-AF14-4063EB3C4DD3}"/>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1ACF6591-B88F-4105-B532-D914544385C2}"/>
    <cellStyle name="Comma 4 3 4 3 2 2 3" xfId="26219" xr:uid="{30FDBB21-E3E3-4B9A-B44D-DD751705D1CE}"/>
    <cellStyle name="Comma 4 3 4 3 2 3" xfId="12703" xr:uid="{EEE00977-5FDD-4BC2-B08A-121F170ADA8C}"/>
    <cellStyle name="Comma 4 3 4 3 2 4" xfId="22002" xr:uid="{F2607B36-9965-4291-AE97-BF8F40668575}"/>
    <cellStyle name="Comma 4 3 4 3 3" xfId="5449" xr:uid="{00000000-0005-0000-0000-0000A3090000}"/>
    <cellStyle name="Comma 4 3 4 3 3 2" xfId="14775" xr:uid="{803D5DA1-6A9F-4D6B-B684-472F8194CA7E}"/>
    <cellStyle name="Comma 4 3 4 3 3 3" xfId="24074" xr:uid="{F94CE6BC-CF0E-49A0-BF58-9B6CB00CBFE9}"/>
    <cellStyle name="Comma 4 3 4 3 4" xfId="10558" xr:uid="{E862D168-BCA3-42B9-BDAF-B47911771FEF}"/>
    <cellStyle name="Comma 4 3 4 3 5" xfId="19857" xr:uid="{5DA6D0A6-E3E7-4CEE-A606-506E1E8D70D1}"/>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97D8FCA6-4341-452E-9843-7D7F43B355F1}"/>
    <cellStyle name="Comma 4 3 4 4 2 2 3" xfId="26632" xr:uid="{ECC3D705-FD8D-4C02-91C0-0D7EC90CA80B}"/>
    <cellStyle name="Comma 4 3 4 4 2 3" xfId="13116" xr:uid="{6BFD2A96-8EAD-481E-8A62-954AD8790E42}"/>
    <cellStyle name="Comma 4 3 4 4 2 4" xfId="22415" xr:uid="{DFF726B9-3538-499A-B764-DE5D524460D9}"/>
    <cellStyle name="Comma 4 3 4 4 3" xfId="5862" xr:uid="{00000000-0005-0000-0000-0000A7090000}"/>
    <cellStyle name="Comma 4 3 4 4 3 2" xfId="15188" xr:uid="{83238727-868B-4AE0-88A4-8B650E4C95CC}"/>
    <cellStyle name="Comma 4 3 4 4 3 3" xfId="24487" xr:uid="{17E1D3F7-A2CE-442F-BAA0-C365F9D880EE}"/>
    <cellStyle name="Comma 4 3 4 4 4" xfId="10971" xr:uid="{B0BF0328-64B6-4F70-8500-0A583F1DA96F}"/>
    <cellStyle name="Comma 4 3 4 4 5" xfId="20270" xr:uid="{6F93BC9A-CD29-499D-9900-2BD17DFD6596}"/>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D007F9EE-7827-4BBE-A70C-CB4286A82F5E}"/>
    <cellStyle name="Comma 4 3 4 5 2 2 3" xfId="27045" xr:uid="{FAF3FB37-6714-4003-A288-C1C3C6599583}"/>
    <cellStyle name="Comma 4 3 4 5 2 3" xfId="13529" xr:uid="{53F7AA2F-AD15-4530-BF32-B585079103D3}"/>
    <cellStyle name="Comma 4 3 4 5 2 4" xfId="22828" xr:uid="{D657E7AB-6AAE-4AE2-8E19-2AE0F578DF06}"/>
    <cellStyle name="Comma 4 3 4 5 3" xfId="6275" xr:uid="{00000000-0005-0000-0000-0000AB090000}"/>
    <cellStyle name="Comma 4 3 4 5 3 2" xfId="15601" xr:uid="{CF10D313-EDE8-4B8C-952F-9872B01C37FE}"/>
    <cellStyle name="Comma 4 3 4 5 3 3" xfId="24900" xr:uid="{1682417E-D713-4F82-A63A-E72F4E6E6BBE}"/>
    <cellStyle name="Comma 4 3 4 5 4" xfId="11384" xr:uid="{D5AF413D-CD72-4146-9B79-11BAD6191980}"/>
    <cellStyle name="Comma 4 3 4 5 5" xfId="20683" xr:uid="{C58DF005-2DC1-4807-B245-C4F817C1CB86}"/>
    <cellStyle name="Comma 4 3 4 6" xfId="2404" xr:uid="{00000000-0005-0000-0000-0000AC090000}"/>
    <cellStyle name="Comma 4 3 4 6 2" xfId="6688" xr:uid="{00000000-0005-0000-0000-0000AD090000}"/>
    <cellStyle name="Comma 4 3 4 6 2 2" xfId="16014" xr:uid="{23A67DBF-DB90-41C0-B412-BCAB1C22C511}"/>
    <cellStyle name="Comma 4 3 4 6 2 3" xfId="25313" xr:uid="{E104C456-1B22-4810-A2E2-6AE5DC73B91C}"/>
    <cellStyle name="Comma 4 3 4 6 3" xfId="11797" xr:uid="{C2B9DFD9-FD13-4C14-8A94-FCD08F8F2759}"/>
    <cellStyle name="Comma 4 3 4 6 4" xfId="21096" xr:uid="{54A792F6-ED2D-4B0D-BEE1-1D6AA6E5EE09}"/>
    <cellStyle name="Comma 4 3 4 7" xfId="2700" xr:uid="{00000000-0005-0000-0000-0000AE090000}"/>
    <cellStyle name="Comma 4 3 4 8" xfId="2782" xr:uid="{00000000-0005-0000-0000-0000AF090000}"/>
    <cellStyle name="Comma 4 3 4 8 2" xfId="7005" xr:uid="{00000000-0005-0000-0000-0000B0090000}"/>
    <cellStyle name="Comma 4 3 4 8 2 2" xfId="16331" xr:uid="{23E2AB7C-458C-45CC-8F9D-16075AAB36DE}"/>
    <cellStyle name="Comma 4 3 4 8 2 3" xfId="25630" xr:uid="{614657B9-3929-4A1E-829F-6CC2A81A4EC8}"/>
    <cellStyle name="Comma 4 3 4 8 3" xfId="12114" xr:uid="{35F77F05-C426-4DE9-96BC-018630F1DF86}"/>
    <cellStyle name="Comma 4 3 4 8 4" xfId="21413" xr:uid="{1AD5105A-DFAF-47A6-8BCE-CA5B36E24C67}"/>
    <cellStyle name="Comma 4 3 4 9" xfId="4622" xr:uid="{00000000-0005-0000-0000-0000B1090000}"/>
    <cellStyle name="Comma 4 3 4 9 2" xfId="13948" xr:uid="{EA03849B-8133-4D96-8E2A-6D79BE80F998}"/>
    <cellStyle name="Comma 4 3 4 9 3" xfId="23247" xr:uid="{424367E7-A30F-4ACD-A2B8-4BB28372FF5D}"/>
    <cellStyle name="Comma 4 3 5" xfId="152" xr:uid="{00000000-0005-0000-0000-0000B2090000}"/>
    <cellStyle name="Comma 4 3 5 10" xfId="9202" xr:uid="{BF5456DA-E11C-47BD-8210-21F45D9E5F79}"/>
    <cellStyle name="Comma 4 3 5 10 2" xfId="18518" xr:uid="{624088E3-85EE-46AC-BA57-0FB7A1BFDBBE}"/>
    <cellStyle name="Comma 4 3 5 10 3" xfId="27815" xr:uid="{704F94D4-23E3-436E-8F4C-02B36B5EE202}"/>
    <cellStyle name="Comma 4 3 5 11" xfId="9732" xr:uid="{0E339BF1-15AD-4091-BCA1-BAFA64FE4201}"/>
    <cellStyle name="Comma 4 3 5 12" xfId="19031" xr:uid="{C9861095-2663-4D18-9CB4-F6231A57FC3B}"/>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FDB4A352-8AAE-4ED1-BA8A-894681B3FC91}"/>
    <cellStyle name="Comma 4 3 5 2 2 2 3" xfId="25807" xr:uid="{7DEED318-6DBA-4FBC-94DD-DEE887C2F144}"/>
    <cellStyle name="Comma 4 3 5 2 2 3" xfId="12291" xr:uid="{FABA1DE3-9A2F-4685-86B9-DCB6DC20282C}"/>
    <cellStyle name="Comma 4 3 5 2 2 4" xfId="21590" xr:uid="{5CB470FA-F2F7-4C34-8771-971BFE9367D1}"/>
    <cellStyle name="Comma 4 3 5 2 3" xfId="5037" xr:uid="{00000000-0005-0000-0000-0000B6090000}"/>
    <cellStyle name="Comma 4 3 5 2 3 2" xfId="14363" xr:uid="{8C7FFE48-43CF-4A04-82F6-62D32D3A264C}"/>
    <cellStyle name="Comma 4 3 5 2 3 3" xfId="23662" xr:uid="{2EEB1707-6DD1-4E6B-A627-A05DF67750A1}"/>
    <cellStyle name="Comma 4 3 5 2 4" xfId="9595" xr:uid="{3E6BF710-D2EA-4AFB-83F1-C6BF1C2192FF}"/>
    <cellStyle name="Comma 4 3 5 2 4 2" xfId="18899" xr:uid="{603D70E0-AFB7-4719-A24B-4D50107894D7}"/>
    <cellStyle name="Comma 4 3 5 2 4 3" xfId="28196" xr:uid="{68059388-E6FE-43ED-975D-721BAB92B011}"/>
    <cellStyle name="Comma 4 3 5 2 5" xfId="10146" xr:uid="{44B060D7-6FF1-4233-8D33-15D8AC58A73D}"/>
    <cellStyle name="Comma 4 3 5 2 6" xfId="19445" xr:uid="{D8E42304-20E4-41D8-BDBF-80AE7C8E1C60}"/>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DAAF941D-E954-4546-8380-990E04077D3B}"/>
    <cellStyle name="Comma 4 3 5 3 2 2 3" xfId="26220" xr:uid="{97CCDE71-931C-4212-A90D-F0E10F77C8C6}"/>
    <cellStyle name="Comma 4 3 5 3 2 3" xfId="12704" xr:uid="{916CC0DF-D5F0-43AC-A817-F8675F42D140}"/>
    <cellStyle name="Comma 4 3 5 3 2 4" xfId="22003" xr:uid="{853371A6-F042-4C95-BB22-A715FE00093C}"/>
    <cellStyle name="Comma 4 3 5 3 3" xfId="5450" xr:uid="{00000000-0005-0000-0000-0000BA090000}"/>
    <cellStyle name="Comma 4 3 5 3 3 2" xfId="14776" xr:uid="{E0BE8D83-B19A-4302-8C58-E1289D61524E}"/>
    <cellStyle name="Comma 4 3 5 3 3 3" xfId="24075" xr:uid="{8ECA6D52-9EE8-4E02-A1EB-74A2434728AC}"/>
    <cellStyle name="Comma 4 3 5 3 4" xfId="10559" xr:uid="{8CD4F30D-7E46-4D39-BDB4-B1218B7C5F35}"/>
    <cellStyle name="Comma 4 3 5 3 5" xfId="19858" xr:uid="{C1DF174D-F9F3-40FC-9872-622629F77C98}"/>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CD2C9873-E043-46FF-8D75-2FD75FCAB58E}"/>
    <cellStyle name="Comma 4 3 5 4 2 2 3" xfId="26633" xr:uid="{A8FDEE3A-E9C2-486E-8431-E67B2D1C79F8}"/>
    <cellStyle name="Comma 4 3 5 4 2 3" xfId="13117" xr:uid="{B6CC8BF4-A07D-4810-A82B-282CE0B89416}"/>
    <cellStyle name="Comma 4 3 5 4 2 4" xfId="22416" xr:uid="{ABC58389-E3A0-4FF0-84BC-4FB0C124DD1B}"/>
    <cellStyle name="Comma 4 3 5 4 3" xfId="5863" xr:uid="{00000000-0005-0000-0000-0000BE090000}"/>
    <cellStyle name="Comma 4 3 5 4 3 2" xfId="15189" xr:uid="{43B1D8BE-09B3-4BDD-AAB4-87FACC5D0FA2}"/>
    <cellStyle name="Comma 4 3 5 4 3 3" xfId="24488" xr:uid="{0CEEEF5A-5256-43D1-BAC3-40B1C126F456}"/>
    <cellStyle name="Comma 4 3 5 4 4" xfId="10972" xr:uid="{8BA1091A-9740-47FB-B9DF-CA96E759EBC2}"/>
    <cellStyle name="Comma 4 3 5 4 5" xfId="20271" xr:uid="{C2345FD9-0CC0-44D7-AA5B-312744BCAD28}"/>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E4D476F8-CEAD-4E4A-A0E2-46AF4CE7F105}"/>
    <cellStyle name="Comma 4 3 5 5 2 2 3" xfId="27046" xr:uid="{C7BFDD10-3659-4761-80BE-488FAC92118C}"/>
    <cellStyle name="Comma 4 3 5 5 2 3" xfId="13530" xr:uid="{F61CD70E-AFE4-4CB6-9A79-AA02BA71D0D8}"/>
    <cellStyle name="Comma 4 3 5 5 2 4" xfId="22829" xr:uid="{B0A5033F-3C3A-49B9-B62E-934901946932}"/>
    <cellStyle name="Comma 4 3 5 5 3" xfId="6276" xr:uid="{00000000-0005-0000-0000-0000C2090000}"/>
    <cellStyle name="Comma 4 3 5 5 3 2" xfId="15602" xr:uid="{2D65E1F5-B52C-4981-962F-1E014DC1B59F}"/>
    <cellStyle name="Comma 4 3 5 5 3 3" xfId="24901" xr:uid="{1C2A8958-B9DC-45D2-A7E0-62DE5ECF8D9A}"/>
    <cellStyle name="Comma 4 3 5 5 4" xfId="11385" xr:uid="{DB082C48-B5D4-4ED8-898B-E7DA445AEF85}"/>
    <cellStyle name="Comma 4 3 5 5 5" xfId="20684" xr:uid="{FE120D3C-B99C-41DF-8C2F-D0B76761738D}"/>
    <cellStyle name="Comma 4 3 5 6" xfId="2405" xr:uid="{00000000-0005-0000-0000-0000C3090000}"/>
    <cellStyle name="Comma 4 3 5 6 2" xfId="6689" xr:uid="{00000000-0005-0000-0000-0000C4090000}"/>
    <cellStyle name="Comma 4 3 5 6 2 2" xfId="16015" xr:uid="{DC60A6EE-E122-430D-B13F-081A9D2EB7D8}"/>
    <cellStyle name="Comma 4 3 5 6 2 3" xfId="25314" xr:uid="{26B87433-32F0-4984-9D99-D5779FBEB0CA}"/>
    <cellStyle name="Comma 4 3 5 6 3" xfId="11798" xr:uid="{65BE3AFC-CDAB-4B51-A3A2-4CEFE78570AF}"/>
    <cellStyle name="Comma 4 3 5 6 4" xfId="21097" xr:uid="{14CBD568-EFF9-4D6A-84B8-0BD368FED7D8}"/>
    <cellStyle name="Comma 4 3 5 7" xfId="2701" xr:uid="{00000000-0005-0000-0000-0000C5090000}"/>
    <cellStyle name="Comma 4 3 5 8" xfId="2783" xr:uid="{00000000-0005-0000-0000-0000C6090000}"/>
    <cellStyle name="Comma 4 3 5 8 2" xfId="7006" xr:uid="{00000000-0005-0000-0000-0000C7090000}"/>
    <cellStyle name="Comma 4 3 5 8 2 2" xfId="16332" xr:uid="{D7D4672D-E9F4-4729-8B88-796F1199322B}"/>
    <cellStyle name="Comma 4 3 5 8 2 3" xfId="25631" xr:uid="{0BA49F1B-2EAA-42CC-8F91-EE0D48CF2FC5}"/>
    <cellStyle name="Comma 4 3 5 8 3" xfId="12115" xr:uid="{4B3B49A4-168B-4E6B-86F5-F143A2BE43FE}"/>
    <cellStyle name="Comma 4 3 5 8 4" xfId="21414" xr:uid="{BCB0D769-FDE5-4B0B-A208-2A172B9D8828}"/>
    <cellStyle name="Comma 4 3 5 9" xfId="4623" xr:uid="{00000000-0005-0000-0000-0000C8090000}"/>
    <cellStyle name="Comma 4 3 5 9 2" xfId="13949" xr:uid="{B0D75760-FA7E-4B27-BD88-E9E3D4F1543A}"/>
    <cellStyle name="Comma 4 3 5 9 3" xfId="23248" xr:uid="{10511307-69F0-43CE-8753-3C995CAA9413}"/>
    <cellStyle name="Comma 4 3 6" xfId="9582" xr:uid="{F1B74700-6F25-44D3-B4B6-1EFC63A6078B}"/>
    <cellStyle name="Comma 4 3 7" xfId="8778" xr:uid="{01CB0168-3495-42C5-9A13-F25D4D0EF35E}"/>
    <cellStyle name="Comma 4 3 7 2" xfId="18102" xr:uid="{0F963462-D3C7-44E3-AE2C-04475D9CED76}"/>
    <cellStyle name="Comma 4 3 7 3" xfId="27400" xr:uid="{7526A462-3257-4100-8BAC-5CFEA4054881}"/>
    <cellStyle name="Comma 4 4" xfId="153" xr:uid="{00000000-0005-0000-0000-0000C9090000}"/>
    <cellStyle name="Comma 4 4 10" xfId="2784" xr:uid="{00000000-0005-0000-0000-0000CA090000}"/>
    <cellStyle name="Comma 4 4 10 2" xfId="7007" xr:uid="{00000000-0005-0000-0000-0000CB090000}"/>
    <cellStyle name="Comma 4 4 10 2 2" xfId="16333" xr:uid="{26C1AD1E-6CBC-4448-BE6A-8CCD9DFCE545}"/>
    <cellStyle name="Comma 4 4 10 2 3" xfId="25632" xr:uid="{D00688F4-7A2F-48EC-9823-3BDC080B9C0A}"/>
    <cellStyle name="Comma 4 4 10 3" xfId="12116" xr:uid="{62B4D08F-6211-467D-8CDF-A20104103E64}"/>
    <cellStyle name="Comma 4 4 10 4" xfId="21415" xr:uid="{AFE8A6A7-6A82-48D1-BE2E-63A0AA2665E0}"/>
    <cellStyle name="Comma 4 4 11" xfId="4624" xr:uid="{00000000-0005-0000-0000-0000CC090000}"/>
    <cellStyle name="Comma 4 4 11 2" xfId="13950" xr:uid="{31C1884F-27FA-4513-9E5F-7A5B4CA40C8A}"/>
    <cellStyle name="Comma 4 4 11 3" xfId="23249" xr:uid="{B8B5B2BA-24B3-42A5-963D-BD429F4A9BAB}"/>
    <cellStyle name="Comma 4 4 12" xfId="8804" xr:uid="{A2BB6322-7771-45CD-845C-77E2FE03AC7A}"/>
    <cellStyle name="Comma 4 4 12 2" xfId="18128" xr:uid="{D4A85CF9-84D2-40B0-AF6C-6EC39BE98D63}"/>
    <cellStyle name="Comma 4 4 12 3" xfId="27426" xr:uid="{FB98637B-CACA-4D8F-9B2B-EB6F5616B55C}"/>
    <cellStyle name="Comma 4 4 13" xfId="9733" xr:uid="{EA51BDFD-EEDB-47B4-AD39-AE6FEA41AAD0}"/>
    <cellStyle name="Comma 4 4 14" xfId="19032" xr:uid="{B17E1AD0-EBC3-432D-9902-D087C2881DCF}"/>
    <cellStyle name="Comma 4 4 2" xfId="154" xr:uid="{00000000-0005-0000-0000-0000CD090000}"/>
    <cellStyle name="Comma 4 4 2 10" xfId="4625" xr:uid="{00000000-0005-0000-0000-0000CE090000}"/>
    <cellStyle name="Comma 4 4 2 10 2" xfId="13951" xr:uid="{8AFC05C3-3983-436F-98DC-576459A38ED0}"/>
    <cellStyle name="Comma 4 4 2 10 3" xfId="23250" xr:uid="{E772F87A-7407-401A-A884-5EA7519DF657}"/>
    <cellStyle name="Comma 4 4 2 11" xfId="8907" xr:uid="{F9F87618-3BA1-4211-A686-62CF5BBA5770}"/>
    <cellStyle name="Comma 4 4 2 11 2" xfId="18231" xr:uid="{4161FF2B-5804-4D13-8899-A603F7189EC2}"/>
    <cellStyle name="Comma 4 4 2 11 3" xfId="27529" xr:uid="{DCBFB4E1-F5E1-4A43-A80F-A48EC6B57283}"/>
    <cellStyle name="Comma 4 4 2 12" xfId="9734" xr:uid="{81567BEA-753B-4CBD-AEF2-DC3A3169BF7D}"/>
    <cellStyle name="Comma 4 4 2 13" xfId="19033" xr:uid="{BA8976B3-A126-4D70-A934-3A211D2A6ADA}"/>
    <cellStyle name="Comma 4 4 2 2" xfId="155" xr:uid="{00000000-0005-0000-0000-0000CF090000}"/>
    <cellStyle name="Comma 4 4 2 2 10" xfId="9114" xr:uid="{871FAC03-A44E-4C24-806C-3CC0605FD124}"/>
    <cellStyle name="Comma 4 4 2 2 10 2" xfId="18438" xr:uid="{B74CC789-5DBF-4E3E-AAAF-A8E05D6E82CE}"/>
    <cellStyle name="Comma 4 4 2 2 10 3" xfId="27736" xr:uid="{F11B14C3-AB86-4184-BA74-B6AC6DBAA69C}"/>
    <cellStyle name="Comma 4 4 2 2 11" xfId="9735" xr:uid="{10E786C7-8277-47E0-B84D-A919605FD3DD}"/>
    <cellStyle name="Comma 4 4 2 2 12" xfId="19034" xr:uid="{166CF1DA-A8E5-4E3A-BB0F-FC6D51C83AA0}"/>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32DDC49F-260F-4E14-BC0C-9CD83D6B9E2B}"/>
    <cellStyle name="Comma 4 4 2 2 2 2 2 3" xfId="25810" xr:uid="{0C8594C8-6C85-4D4F-A727-AAC5A1C2A5ED}"/>
    <cellStyle name="Comma 4 4 2 2 2 2 3" xfId="12294" xr:uid="{07DCA496-9DCF-44DC-90A3-56DC1AA2738D}"/>
    <cellStyle name="Comma 4 4 2 2 2 2 4" xfId="21593" xr:uid="{3CAE414E-C25D-4F11-8FFB-F4A1AE1A6380}"/>
    <cellStyle name="Comma 4 4 2 2 2 3" xfId="5040" xr:uid="{00000000-0005-0000-0000-0000D3090000}"/>
    <cellStyle name="Comma 4 4 2 2 2 3 2" xfId="14366" xr:uid="{6DD75521-CD97-48EF-855F-91E184E82348}"/>
    <cellStyle name="Comma 4 4 2 2 2 3 3" xfId="23665" xr:uid="{D034A1D0-8EA6-4E96-B33E-42AB034B5962}"/>
    <cellStyle name="Comma 4 4 2 2 2 4" xfId="9539" xr:uid="{6209A471-8158-46C6-9ADA-C828BB6621B2}"/>
    <cellStyle name="Comma 4 4 2 2 2 4 2" xfId="18854" xr:uid="{BD93798F-3A89-4D28-850D-C4726C690DA1}"/>
    <cellStyle name="Comma 4 4 2 2 2 4 3" xfId="28151" xr:uid="{CE8F40A0-EE9D-42DF-B511-18ACD65D4F70}"/>
    <cellStyle name="Comma 4 4 2 2 2 5" xfId="10149" xr:uid="{1CB5E1D3-9EA4-4052-9B2B-1A430EA34881}"/>
    <cellStyle name="Comma 4 4 2 2 2 6" xfId="19448" xr:uid="{3BF482F1-38C7-432E-B16F-106C137431D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0F55B13B-5645-4AD7-AEF4-11CACBC5D8A6}"/>
    <cellStyle name="Comma 4 4 2 2 3 2 2 3" xfId="26223" xr:uid="{AB6A851B-B75D-4F78-974D-798BD78EE1CB}"/>
    <cellStyle name="Comma 4 4 2 2 3 2 3" xfId="12707" xr:uid="{B11506D0-7A81-478A-AA88-C42489999C5C}"/>
    <cellStyle name="Comma 4 4 2 2 3 2 4" xfId="22006" xr:uid="{ABB92B7D-D23C-4EA8-8D01-844E70733430}"/>
    <cellStyle name="Comma 4 4 2 2 3 3" xfId="5453" xr:uid="{00000000-0005-0000-0000-0000D7090000}"/>
    <cellStyle name="Comma 4 4 2 2 3 3 2" xfId="14779" xr:uid="{5BECFBEC-AE95-4C27-A959-E0B6B301D15D}"/>
    <cellStyle name="Comma 4 4 2 2 3 3 3" xfId="24078" xr:uid="{9CEFEE8E-CDDA-408A-8FA0-3FEC884F1E21}"/>
    <cellStyle name="Comma 4 4 2 2 3 4" xfId="10562" xr:uid="{71CA797C-1C08-4EEB-8D81-4E6907A43573}"/>
    <cellStyle name="Comma 4 4 2 2 3 5" xfId="19861" xr:uid="{51A328A7-EF14-4DC3-81E2-C1C72CBBA3E4}"/>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1E95A4EC-6245-4BC5-9526-C3F73DBA3325}"/>
    <cellStyle name="Comma 4 4 2 2 4 2 2 3" xfId="26636" xr:uid="{2B21AF46-2BFA-46CF-8DA5-EFF86159CD16}"/>
    <cellStyle name="Comma 4 4 2 2 4 2 3" xfId="13120" xr:uid="{69029860-47D4-408E-BF29-877DFB1A84B5}"/>
    <cellStyle name="Comma 4 4 2 2 4 2 4" xfId="22419" xr:uid="{466F0AAA-DBF3-4529-B8A2-4D22753CB84E}"/>
    <cellStyle name="Comma 4 4 2 2 4 3" xfId="5866" xr:uid="{00000000-0005-0000-0000-0000DB090000}"/>
    <cellStyle name="Comma 4 4 2 2 4 3 2" xfId="15192" xr:uid="{4A83F76A-0023-4A3C-8CFA-68967CE09985}"/>
    <cellStyle name="Comma 4 4 2 2 4 3 3" xfId="24491" xr:uid="{B2A3A5A6-3184-4A54-B66A-6A5F7FE0D4F4}"/>
    <cellStyle name="Comma 4 4 2 2 4 4" xfId="10975" xr:uid="{DAEF43EF-C41F-4413-A271-2262268518D6}"/>
    <cellStyle name="Comma 4 4 2 2 4 5" xfId="20274" xr:uid="{D30D1B3F-1CC5-43E2-B6E0-AD0165A93D39}"/>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D6057C41-536F-42F3-B2D4-D39D1AF151B0}"/>
    <cellStyle name="Comma 4 4 2 2 5 2 2 3" xfId="27049" xr:uid="{3DD7A41F-A6C7-4270-9CDD-B4146982B718}"/>
    <cellStyle name="Comma 4 4 2 2 5 2 3" xfId="13533" xr:uid="{0F78D54A-DF95-4BAE-946A-DD03878D1BEA}"/>
    <cellStyle name="Comma 4 4 2 2 5 2 4" xfId="22832" xr:uid="{0CBDC97C-5086-47BF-A50B-0301D4BEDB51}"/>
    <cellStyle name="Comma 4 4 2 2 5 3" xfId="6279" xr:uid="{00000000-0005-0000-0000-0000DF090000}"/>
    <cellStyle name="Comma 4 4 2 2 5 3 2" xfId="15605" xr:uid="{A37451A7-21D2-4EDA-AF87-C9739FED1DC7}"/>
    <cellStyle name="Comma 4 4 2 2 5 3 3" xfId="24904" xr:uid="{5F7A715D-FFE5-4B70-BCBE-C08E9F9ACC26}"/>
    <cellStyle name="Comma 4 4 2 2 5 4" xfId="11388" xr:uid="{420D52F5-8DA8-4DDF-A7B5-F199E1CF8489}"/>
    <cellStyle name="Comma 4 4 2 2 5 5" xfId="20687" xr:uid="{10C677BD-1C7F-421C-87A9-549519910008}"/>
    <cellStyle name="Comma 4 4 2 2 6" xfId="2408" xr:uid="{00000000-0005-0000-0000-0000E0090000}"/>
    <cellStyle name="Comma 4 4 2 2 6 2" xfId="6692" xr:uid="{00000000-0005-0000-0000-0000E1090000}"/>
    <cellStyle name="Comma 4 4 2 2 6 2 2" xfId="16018" xr:uid="{4D02F30C-E205-44A2-B62A-7537D35646E5}"/>
    <cellStyle name="Comma 4 4 2 2 6 2 3" xfId="25317" xr:uid="{1E012971-5C5A-421F-83F7-2F0B65FA6B85}"/>
    <cellStyle name="Comma 4 4 2 2 6 3" xfId="11801" xr:uid="{278F30D1-07B7-4E6A-BCB0-251D908803DA}"/>
    <cellStyle name="Comma 4 4 2 2 6 4" xfId="21100" xr:uid="{508A97B0-D2C7-4D65-9466-913B685321FD}"/>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CBA8B850-756B-46B8-A7E7-85380A9379BF}"/>
    <cellStyle name="Comma 4 4 2 2 8 2 3" xfId="25634" xr:uid="{30D20050-398C-4238-A8C7-32253D18A127}"/>
    <cellStyle name="Comma 4 4 2 2 8 3" xfId="12118" xr:uid="{4A965160-16FA-42A5-BA44-83418C52BDDA}"/>
    <cellStyle name="Comma 4 4 2 2 8 4" xfId="21417" xr:uid="{DC211F0F-A6BA-4763-B8F8-FC0E87213862}"/>
    <cellStyle name="Comma 4 4 2 2 9" xfId="4626" xr:uid="{00000000-0005-0000-0000-0000E5090000}"/>
    <cellStyle name="Comma 4 4 2 2 9 2" xfId="13952" xr:uid="{11CD2173-A997-4A76-8E1B-CD46466D67F4}"/>
    <cellStyle name="Comma 4 4 2 2 9 3" xfId="23251" xr:uid="{8A61D076-46CB-4F40-9E81-8DBA0F2B3548}"/>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6014BC9D-8BFF-4275-9652-D64C64C3B20B}"/>
    <cellStyle name="Comma 4 4 2 3 2 2 3" xfId="25809" xr:uid="{E3D83931-1267-40FD-A523-688F593BC06B}"/>
    <cellStyle name="Comma 4 4 2 3 2 3" xfId="12293" xr:uid="{0F7F6777-CA47-4976-87AF-DD9E56982218}"/>
    <cellStyle name="Comma 4 4 2 3 2 4" xfId="21592" xr:uid="{6295C994-9460-4126-9DFC-CF843E16B9BA}"/>
    <cellStyle name="Comma 4 4 2 3 3" xfId="5039" xr:uid="{00000000-0005-0000-0000-0000E9090000}"/>
    <cellStyle name="Comma 4 4 2 3 3 2" xfId="14365" xr:uid="{E0F33C67-0A37-49CD-A4AA-88E0B210BB62}"/>
    <cellStyle name="Comma 4 4 2 3 3 3" xfId="23664" xr:uid="{EA24275F-4529-41E1-93FF-35F9BFA8C19F}"/>
    <cellStyle name="Comma 4 4 2 3 4" xfId="9332" xr:uid="{00F59ECD-64D7-476B-90FD-CD86F054AE4D}"/>
    <cellStyle name="Comma 4 4 2 3 4 2" xfId="18647" xr:uid="{6EFE633F-133B-4461-B2F4-2F4317033652}"/>
    <cellStyle name="Comma 4 4 2 3 4 3" xfId="27944" xr:uid="{B0B9D13F-E3A2-407D-92DB-939B7B329D67}"/>
    <cellStyle name="Comma 4 4 2 3 5" xfId="10148" xr:uid="{80B91A47-1A64-45CE-9352-650CC72B18E3}"/>
    <cellStyle name="Comma 4 4 2 3 6" xfId="19447" xr:uid="{F7AA0F6D-BC37-4EE5-9131-E3219B44B719}"/>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4B2E41E7-FEE8-442A-AC21-DFCA8D57CC02}"/>
    <cellStyle name="Comma 4 4 2 4 2 2 3" xfId="26222" xr:uid="{410F178F-BF3B-4758-90B4-49C80FA778CB}"/>
    <cellStyle name="Comma 4 4 2 4 2 3" xfId="12706" xr:uid="{335C665A-B7A0-46A1-8978-ADFF0D7C98CD}"/>
    <cellStyle name="Comma 4 4 2 4 2 4" xfId="22005" xr:uid="{B4419D30-5746-4963-8DED-6143EC289D14}"/>
    <cellStyle name="Comma 4 4 2 4 3" xfId="5452" xr:uid="{00000000-0005-0000-0000-0000ED090000}"/>
    <cellStyle name="Comma 4 4 2 4 3 2" xfId="14778" xr:uid="{3EEE868B-CE40-4EF5-B696-5635D2DE4199}"/>
    <cellStyle name="Comma 4 4 2 4 3 3" xfId="24077" xr:uid="{1419FF81-3D46-41C2-A53B-4E4C1CB80C9F}"/>
    <cellStyle name="Comma 4 4 2 4 4" xfId="10561" xr:uid="{5A920ABE-2B3D-40B0-BDD9-B86C90CD233E}"/>
    <cellStyle name="Comma 4 4 2 4 5" xfId="19860" xr:uid="{85901813-8CE9-4B81-B1A6-C09581A16B51}"/>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467C1380-4DDA-4949-9C0E-D8F4E18C6615}"/>
    <cellStyle name="Comma 4 4 2 5 2 2 3" xfId="26635" xr:uid="{A1B24539-A015-441E-AB3E-EF28EB0119D0}"/>
    <cellStyle name="Comma 4 4 2 5 2 3" xfId="13119" xr:uid="{469D1E6A-F3D4-4369-8B82-90B416068D9F}"/>
    <cellStyle name="Comma 4 4 2 5 2 4" xfId="22418" xr:uid="{421B112B-54AB-418F-8BA5-E69C7C60D2B1}"/>
    <cellStyle name="Comma 4 4 2 5 3" xfId="5865" xr:uid="{00000000-0005-0000-0000-0000F1090000}"/>
    <cellStyle name="Comma 4 4 2 5 3 2" xfId="15191" xr:uid="{B52E4D72-BAB7-47EA-AAD6-415AAB71EAF0}"/>
    <cellStyle name="Comma 4 4 2 5 3 3" xfId="24490" xr:uid="{D6DF0439-8E24-4522-A54E-6C43F94D034F}"/>
    <cellStyle name="Comma 4 4 2 5 4" xfId="10974" xr:uid="{3E9130A7-2BC7-41BB-AC56-D91E91DF071A}"/>
    <cellStyle name="Comma 4 4 2 5 5" xfId="20273" xr:uid="{4263D875-051B-43AF-86C1-0B4F5C27CD68}"/>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269E36EA-CBE6-431C-B8F5-74532CBA7D8A}"/>
    <cellStyle name="Comma 4 4 2 6 2 2 3" xfId="27048" xr:uid="{ABAFBB88-4872-4418-8D07-5145DE8A7DE5}"/>
    <cellStyle name="Comma 4 4 2 6 2 3" xfId="13532" xr:uid="{68653B16-EEA3-4D26-9FF7-9616EC4A278C}"/>
    <cellStyle name="Comma 4 4 2 6 2 4" xfId="22831" xr:uid="{54EE6BC2-F8D7-422B-A0A8-C6CE7DB2C357}"/>
    <cellStyle name="Comma 4 4 2 6 3" xfId="6278" xr:uid="{00000000-0005-0000-0000-0000F5090000}"/>
    <cellStyle name="Comma 4 4 2 6 3 2" xfId="15604" xr:uid="{EB908293-2284-4F1E-8B65-3C32F9F39DD6}"/>
    <cellStyle name="Comma 4 4 2 6 3 3" xfId="24903" xr:uid="{98F22362-18C7-4E94-905B-5E2EA23A4D39}"/>
    <cellStyle name="Comma 4 4 2 6 4" xfId="11387" xr:uid="{FADBDC14-E56A-487A-A4EC-AB12B91A4FD2}"/>
    <cellStyle name="Comma 4 4 2 6 5" xfId="20686" xr:uid="{5CB727CE-2B40-4E76-BBC3-84B719A35B4B}"/>
    <cellStyle name="Comma 4 4 2 7" xfId="2407" xr:uid="{00000000-0005-0000-0000-0000F6090000}"/>
    <cellStyle name="Comma 4 4 2 7 2" xfId="6691" xr:uid="{00000000-0005-0000-0000-0000F7090000}"/>
    <cellStyle name="Comma 4 4 2 7 2 2" xfId="16017" xr:uid="{8243EBEE-649B-4F13-85DC-26558156B4EE}"/>
    <cellStyle name="Comma 4 4 2 7 2 3" xfId="25316" xr:uid="{95D72486-4F75-4ABE-9DAF-BD8F5E31E135}"/>
    <cellStyle name="Comma 4 4 2 7 3" xfId="11800" xr:uid="{2AC8F0F5-6DB6-4ECF-B919-9F24BBBCD16B}"/>
    <cellStyle name="Comma 4 4 2 7 4" xfId="21099" xr:uid="{72F2DB12-75FA-4CAC-89B6-552F26527D1E}"/>
    <cellStyle name="Comma 4 4 2 8" xfId="2703" xr:uid="{00000000-0005-0000-0000-0000F8090000}"/>
    <cellStyle name="Comma 4 4 2 9" xfId="2785" xr:uid="{00000000-0005-0000-0000-0000F9090000}"/>
    <cellStyle name="Comma 4 4 2 9 2" xfId="7008" xr:uid="{00000000-0005-0000-0000-0000FA090000}"/>
    <cellStyle name="Comma 4 4 2 9 2 2" xfId="16334" xr:uid="{21DA873E-DC06-426A-A9D0-9DA37B61A7F1}"/>
    <cellStyle name="Comma 4 4 2 9 2 3" xfId="25633" xr:uid="{AFAEE010-0EFA-41B2-951E-4D8D117DAACE}"/>
    <cellStyle name="Comma 4 4 2 9 3" xfId="12117" xr:uid="{30D53F4D-18FC-4BB6-B8BA-FED2EC44BBDA}"/>
    <cellStyle name="Comma 4 4 2 9 4" xfId="21416" xr:uid="{613C7A89-714B-4546-8C4B-008EEE2FA93B}"/>
    <cellStyle name="Comma 4 4 3" xfId="156" xr:uid="{00000000-0005-0000-0000-0000FB090000}"/>
    <cellStyle name="Comma 4 4 3 10" xfId="9011" xr:uid="{31ED03AD-AB12-49AF-9AD4-B783F0BF7322}"/>
    <cellStyle name="Comma 4 4 3 10 2" xfId="18335" xr:uid="{6A937540-C933-4FF9-8CF9-FC9CF6D1015D}"/>
    <cellStyle name="Comma 4 4 3 10 3" xfId="27633" xr:uid="{FA502125-5714-42F0-9A7C-0CC4F293DE71}"/>
    <cellStyle name="Comma 4 4 3 11" xfId="9736" xr:uid="{82998DE1-90D7-480A-84B4-5F72CD687215}"/>
    <cellStyle name="Comma 4 4 3 12" xfId="19035" xr:uid="{7FA06407-4096-45B2-8BF4-949F055D7C56}"/>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FAF0F84A-81AE-48DA-8A36-E9E3BD1E6A02}"/>
    <cellStyle name="Comma 4 4 3 2 2 2 3" xfId="25811" xr:uid="{CB02060C-5549-4A7B-8399-8723EAE702BC}"/>
    <cellStyle name="Comma 4 4 3 2 2 3" xfId="12295" xr:uid="{747DB1DD-B3B3-4C00-B151-1269C276845A}"/>
    <cellStyle name="Comma 4 4 3 2 2 4" xfId="21594" xr:uid="{CB60F0DB-05B9-4504-829F-1D3855C49FBA}"/>
    <cellStyle name="Comma 4 4 3 2 3" xfId="5041" xr:uid="{00000000-0005-0000-0000-0000FF090000}"/>
    <cellStyle name="Comma 4 4 3 2 3 2" xfId="14367" xr:uid="{20D1062D-13DA-46E4-9EB5-710448176DC5}"/>
    <cellStyle name="Comma 4 4 3 2 3 3" xfId="23666" xr:uid="{CB0F4E49-9C08-4A87-86A4-C9A47A09E97D}"/>
    <cellStyle name="Comma 4 4 3 2 4" xfId="9436" xr:uid="{5B7DDC25-9095-4E8E-BD31-668F46BBD33F}"/>
    <cellStyle name="Comma 4 4 3 2 4 2" xfId="18751" xr:uid="{444BC7CF-0664-4C40-9C27-DEE7AA22EC7C}"/>
    <cellStyle name="Comma 4 4 3 2 4 3" xfId="28048" xr:uid="{E8AB1254-F658-4426-ABD0-E30A6796FB7C}"/>
    <cellStyle name="Comma 4 4 3 2 5" xfId="10150" xr:uid="{A81C56E3-C307-4D34-A634-F377586D3804}"/>
    <cellStyle name="Comma 4 4 3 2 6" xfId="19449" xr:uid="{3B6D346C-93D2-4480-9F26-0AF8FE1A22DA}"/>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FF01A2EB-79A3-43C1-BFCA-8DB76777F83F}"/>
    <cellStyle name="Comma 4 4 3 3 2 2 3" xfId="26224" xr:uid="{E0CA376A-115B-4D32-A389-60C3FC8AF158}"/>
    <cellStyle name="Comma 4 4 3 3 2 3" xfId="12708" xr:uid="{0A38BC08-BEFD-4F74-BD38-8A68D0C33982}"/>
    <cellStyle name="Comma 4 4 3 3 2 4" xfId="22007" xr:uid="{DFEBC6E4-195B-4807-9FD9-A0C450A42691}"/>
    <cellStyle name="Comma 4 4 3 3 3" xfId="5454" xr:uid="{00000000-0005-0000-0000-0000030A0000}"/>
    <cellStyle name="Comma 4 4 3 3 3 2" xfId="14780" xr:uid="{E7C161C3-E36E-44F1-A4BC-C8397C000FA3}"/>
    <cellStyle name="Comma 4 4 3 3 3 3" xfId="24079" xr:uid="{9BE0094B-4026-4752-8EDA-3C3FBF96CABB}"/>
    <cellStyle name="Comma 4 4 3 3 4" xfId="10563" xr:uid="{2DA2FA07-1C21-4758-B881-D6A7F99449B8}"/>
    <cellStyle name="Comma 4 4 3 3 5" xfId="19862" xr:uid="{008AF7DC-39DE-41D8-B392-EF30401EF7A3}"/>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4DC1340C-16F3-4C37-B9D2-C1BB530FC947}"/>
    <cellStyle name="Comma 4 4 3 4 2 2 3" xfId="26637" xr:uid="{E3803C10-95F7-4196-A494-A3D798FE721C}"/>
    <cellStyle name="Comma 4 4 3 4 2 3" xfId="13121" xr:uid="{F51305E1-1916-44E6-84FD-FC96A545DEA8}"/>
    <cellStyle name="Comma 4 4 3 4 2 4" xfId="22420" xr:uid="{16AD73B8-B6FA-4C01-BEF3-4EEA8F0F3C48}"/>
    <cellStyle name="Comma 4 4 3 4 3" xfId="5867" xr:uid="{00000000-0005-0000-0000-0000070A0000}"/>
    <cellStyle name="Comma 4 4 3 4 3 2" xfId="15193" xr:uid="{4F92468D-7B5C-49F3-9A9D-01390D1138AB}"/>
    <cellStyle name="Comma 4 4 3 4 3 3" xfId="24492" xr:uid="{C10A8C3F-33F2-45DC-94C1-010FED5E5A62}"/>
    <cellStyle name="Comma 4 4 3 4 4" xfId="10976" xr:uid="{ECCBC89A-1D8A-4F21-92F3-C4A0C86C8761}"/>
    <cellStyle name="Comma 4 4 3 4 5" xfId="20275" xr:uid="{307A12A8-164C-45F5-8398-70FC067D20EB}"/>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07C10AC3-3DC9-4060-8FE1-5384D70462F1}"/>
    <cellStyle name="Comma 4 4 3 5 2 2 3" xfId="27050" xr:uid="{DF3F113C-96B1-49F2-B977-064FC84A4F47}"/>
    <cellStyle name="Comma 4 4 3 5 2 3" xfId="13534" xr:uid="{0483592D-8CCB-4885-9BA1-2334D260FCAE}"/>
    <cellStyle name="Comma 4 4 3 5 2 4" xfId="22833" xr:uid="{8943A23D-65CD-416A-9310-F590DF583B10}"/>
    <cellStyle name="Comma 4 4 3 5 3" xfId="6280" xr:uid="{00000000-0005-0000-0000-00000B0A0000}"/>
    <cellStyle name="Comma 4 4 3 5 3 2" xfId="15606" xr:uid="{87A5BC28-978E-43EF-96B3-9C8B8CD4AC42}"/>
    <cellStyle name="Comma 4 4 3 5 3 3" xfId="24905" xr:uid="{85B9ADE5-A905-4A82-B85D-812226D315C8}"/>
    <cellStyle name="Comma 4 4 3 5 4" xfId="11389" xr:uid="{BD4AB4E7-A070-4A1B-ACEC-F468F26357E2}"/>
    <cellStyle name="Comma 4 4 3 5 5" xfId="20688" xr:uid="{290DB588-EC32-487A-B1F6-1EE8B2D94FA1}"/>
    <cellStyle name="Comma 4 4 3 6" xfId="2409" xr:uid="{00000000-0005-0000-0000-00000C0A0000}"/>
    <cellStyle name="Comma 4 4 3 6 2" xfId="6693" xr:uid="{00000000-0005-0000-0000-00000D0A0000}"/>
    <cellStyle name="Comma 4 4 3 6 2 2" xfId="16019" xr:uid="{30F6934F-7B1D-4E8C-B360-F6F3899B6DA6}"/>
    <cellStyle name="Comma 4 4 3 6 2 3" xfId="25318" xr:uid="{5AE2B4B6-73DD-4991-997E-3F21BA58E7B6}"/>
    <cellStyle name="Comma 4 4 3 6 3" xfId="11802" xr:uid="{0B8EBB88-6B81-48E7-9E2D-F6B1E51624CD}"/>
    <cellStyle name="Comma 4 4 3 6 4" xfId="21101" xr:uid="{7B772F46-19D7-4703-B316-105FDBF7A172}"/>
    <cellStyle name="Comma 4 4 3 7" xfId="2705" xr:uid="{00000000-0005-0000-0000-00000E0A0000}"/>
    <cellStyle name="Comma 4 4 3 8" xfId="2787" xr:uid="{00000000-0005-0000-0000-00000F0A0000}"/>
    <cellStyle name="Comma 4 4 3 8 2" xfId="7010" xr:uid="{00000000-0005-0000-0000-0000100A0000}"/>
    <cellStyle name="Comma 4 4 3 8 2 2" xfId="16336" xr:uid="{C124E81F-80C0-485E-B7C7-09AD3FFFF753}"/>
    <cellStyle name="Comma 4 4 3 8 2 3" xfId="25635" xr:uid="{F3AF32A4-091A-40AE-ABA9-3D92A8C11B5E}"/>
    <cellStyle name="Comma 4 4 3 8 3" xfId="12119" xr:uid="{AAB5F895-E4C2-4712-87AF-4016C13910CB}"/>
    <cellStyle name="Comma 4 4 3 8 4" xfId="21418" xr:uid="{6F20F3D2-4B4E-447B-949D-7022E431C86D}"/>
    <cellStyle name="Comma 4 4 3 9" xfId="4627" xr:uid="{00000000-0005-0000-0000-0000110A0000}"/>
    <cellStyle name="Comma 4 4 3 9 2" xfId="13953" xr:uid="{FB4FEFEF-F0F8-42F3-B7C0-33324C4B4F17}"/>
    <cellStyle name="Comma 4 4 3 9 3" xfId="23252" xr:uid="{1FC7EFBC-13C2-4A17-B37D-6F037FE69401}"/>
    <cellStyle name="Comma 4 4 4" xfId="690" xr:uid="{00000000-0005-0000-0000-0000120A0000}"/>
    <cellStyle name="Comma 4 4 4 2" xfId="2961" xr:uid="{00000000-0005-0000-0000-0000130A0000}"/>
    <cellStyle name="Comma 4 4 4 2 2" xfId="7183" xr:uid="{00000000-0005-0000-0000-0000140A0000}"/>
    <cellStyle name="Comma 4 4 4 2 2 2" xfId="16509" xr:uid="{EDE38B19-E7F9-439A-A1B2-F591EF75CB0F}"/>
    <cellStyle name="Comma 4 4 4 2 2 3" xfId="25808" xr:uid="{4136663A-7705-456C-9D58-2C1BF26C0A02}"/>
    <cellStyle name="Comma 4 4 4 2 3" xfId="12292" xr:uid="{9FA3724A-3B47-4362-84EA-E4990D94ECAB}"/>
    <cellStyle name="Comma 4 4 4 2 4" xfId="21591" xr:uid="{CE59608F-85D0-4059-8F94-30EDA541DF07}"/>
    <cellStyle name="Comma 4 4 4 3" xfId="5038" xr:uid="{00000000-0005-0000-0000-0000150A0000}"/>
    <cellStyle name="Comma 4 4 4 3 2" xfId="14364" xr:uid="{AC1C4197-7DDF-4CCE-8B3E-37659E09DFDA}"/>
    <cellStyle name="Comma 4 4 4 3 3" xfId="23663" xr:uid="{B19CD0B4-AD2B-4B20-9393-570FC8079FA2}"/>
    <cellStyle name="Comma 4 4 4 4" xfId="9229" xr:uid="{5D655A80-2199-4116-9BF2-7327D5827395}"/>
    <cellStyle name="Comma 4 4 4 4 2" xfId="18544" xr:uid="{D1FF8499-E861-4C52-A4E4-102CFAADF3E8}"/>
    <cellStyle name="Comma 4 4 4 4 3" xfId="27841" xr:uid="{E92BF1F8-8FA7-4010-A766-55D79F7098E2}"/>
    <cellStyle name="Comma 4 4 4 5" xfId="10147" xr:uid="{E5445D7F-EB33-47AB-84B6-AEB3A8BCD8AA}"/>
    <cellStyle name="Comma 4 4 4 6" xfId="19446" xr:uid="{4B1C6C8E-8C58-465C-ABB0-215AC2A72926}"/>
    <cellStyle name="Comma 4 4 5" xfId="1143" xr:uid="{00000000-0005-0000-0000-0000160A0000}"/>
    <cellStyle name="Comma 4 4 5 2" xfId="3374" xr:uid="{00000000-0005-0000-0000-0000170A0000}"/>
    <cellStyle name="Comma 4 4 5 2 2" xfId="7596" xr:uid="{00000000-0005-0000-0000-0000180A0000}"/>
    <cellStyle name="Comma 4 4 5 2 2 2" xfId="16922" xr:uid="{6E9B5BB3-36CD-4892-84F0-0E0623BFFEDE}"/>
    <cellStyle name="Comma 4 4 5 2 2 3" xfId="26221" xr:uid="{142E4757-851B-406B-AC9E-1CD80E2B8BC0}"/>
    <cellStyle name="Comma 4 4 5 2 3" xfId="12705" xr:uid="{1A5C8044-4FA2-4ADA-828B-C0C1BDA40EF5}"/>
    <cellStyle name="Comma 4 4 5 2 4" xfId="22004" xr:uid="{0CB40538-B632-47E4-A1AE-4B01821F61B4}"/>
    <cellStyle name="Comma 4 4 5 3" xfId="5451" xr:uid="{00000000-0005-0000-0000-0000190A0000}"/>
    <cellStyle name="Comma 4 4 5 3 2" xfId="14777" xr:uid="{DB58DEF5-F1D8-48BA-B644-5EC4484F1F96}"/>
    <cellStyle name="Comma 4 4 5 3 3" xfId="24076" xr:uid="{87669F30-AF4F-4347-B6C8-47B141B09E2E}"/>
    <cellStyle name="Comma 4 4 5 4" xfId="10560" xr:uid="{E6ACD49E-FCBF-4BD2-B71A-E424F83253E8}"/>
    <cellStyle name="Comma 4 4 5 5" xfId="19859" xr:uid="{299FCEC2-EB90-422B-B776-195A916EE74E}"/>
    <cellStyle name="Comma 4 4 6" xfId="1557" xr:uid="{00000000-0005-0000-0000-00001A0A0000}"/>
    <cellStyle name="Comma 4 4 6 2" xfId="3787" xr:uid="{00000000-0005-0000-0000-00001B0A0000}"/>
    <cellStyle name="Comma 4 4 6 2 2" xfId="8009" xr:uid="{00000000-0005-0000-0000-00001C0A0000}"/>
    <cellStyle name="Comma 4 4 6 2 2 2" xfId="17335" xr:uid="{A164A326-7E9A-4700-BCF9-DBC78C652B42}"/>
    <cellStyle name="Comma 4 4 6 2 2 3" xfId="26634" xr:uid="{4D1A6750-4073-48E4-A15C-C00824C3D7EA}"/>
    <cellStyle name="Comma 4 4 6 2 3" xfId="13118" xr:uid="{5B41501E-DB71-4067-A34B-2A246CF9876C}"/>
    <cellStyle name="Comma 4 4 6 2 4" xfId="22417" xr:uid="{E24A3786-6C55-4F4D-A1AB-5978BC3B3008}"/>
    <cellStyle name="Comma 4 4 6 3" xfId="5864" xr:uid="{00000000-0005-0000-0000-00001D0A0000}"/>
    <cellStyle name="Comma 4 4 6 3 2" xfId="15190" xr:uid="{33CF07D5-D790-43D1-A43F-3151947C0BD5}"/>
    <cellStyle name="Comma 4 4 6 3 3" xfId="24489" xr:uid="{09D37F47-A290-4DBE-86F0-BAC5813A27DA}"/>
    <cellStyle name="Comma 4 4 6 4" xfId="10973" xr:uid="{12CDC328-B5E1-440D-806C-0AD44DA5B714}"/>
    <cellStyle name="Comma 4 4 6 5" xfId="20272" xr:uid="{9971F538-7FE7-42E5-98C7-029898B479B6}"/>
    <cellStyle name="Comma 4 4 7" xfId="1971" xr:uid="{00000000-0005-0000-0000-00001E0A0000}"/>
    <cellStyle name="Comma 4 4 7 2" xfId="4200" xr:uid="{00000000-0005-0000-0000-00001F0A0000}"/>
    <cellStyle name="Comma 4 4 7 2 2" xfId="8422" xr:uid="{00000000-0005-0000-0000-0000200A0000}"/>
    <cellStyle name="Comma 4 4 7 2 2 2" xfId="17748" xr:uid="{43706F62-6DB7-4ACB-826F-166EB7950095}"/>
    <cellStyle name="Comma 4 4 7 2 2 3" xfId="27047" xr:uid="{915B2481-89AA-452C-923B-F81C403F7E0B}"/>
    <cellStyle name="Comma 4 4 7 2 3" xfId="13531" xr:uid="{DF2BED16-38FD-4197-B096-23F042D0833C}"/>
    <cellStyle name="Comma 4 4 7 2 4" xfId="22830" xr:uid="{C7C275F9-52BA-4E75-A793-F736833D828C}"/>
    <cellStyle name="Comma 4 4 7 3" xfId="6277" xr:uid="{00000000-0005-0000-0000-0000210A0000}"/>
    <cellStyle name="Comma 4 4 7 3 2" xfId="15603" xr:uid="{DF362AE8-3C51-45DB-BCAE-C3075D14D1F5}"/>
    <cellStyle name="Comma 4 4 7 3 3" xfId="24902" xr:uid="{8EF16BF1-D156-4FEC-A113-5128E22976DF}"/>
    <cellStyle name="Comma 4 4 7 4" xfId="11386" xr:uid="{E577F21D-0ED4-45A1-BC78-585321178ECF}"/>
    <cellStyle name="Comma 4 4 7 5" xfId="20685" xr:uid="{7170A9F6-B2AE-49A4-AFF2-6F4D0EAD1A2E}"/>
    <cellStyle name="Comma 4 4 8" xfId="2406" xr:uid="{00000000-0005-0000-0000-0000220A0000}"/>
    <cellStyle name="Comma 4 4 8 2" xfId="6690" xr:uid="{00000000-0005-0000-0000-0000230A0000}"/>
    <cellStyle name="Comma 4 4 8 2 2" xfId="16016" xr:uid="{D927C0D4-BB53-43AF-A3CA-E79FC804C917}"/>
    <cellStyle name="Comma 4 4 8 2 3" xfId="25315" xr:uid="{4A745146-1723-4C3B-A612-68505660E3B7}"/>
    <cellStyle name="Comma 4 4 8 3" xfId="11799" xr:uid="{65A25643-85CB-4E4B-B5AC-BFFAD11A454F}"/>
    <cellStyle name="Comma 4 4 8 4" xfId="21098" xr:uid="{05B2F61D-E332-44C0-BFD9-8295706754C3}"/>
    <cellStyle name="Comma 4 4 9" xfId="2702" xr:uid="{00000000-0005-0000-0000-0000240A0000}"/>
    <cellStyle name="Comma 4 5" xfId="157" xr:uid="{00000000-0005-0000-0000-0000250A0000}"/>
    <cellStyle name="Comma 4 5 10" xfId="4628" xr:uid="{00000000-0005-0000-0000-0000260A0000}"/>
    <cellStyle name="Comma 4 5 10 2" xfId="13954" xr:uid="{658A003E-050B-4740-9004-1237D650BB13}"/>
    <cellStyle name="Comma 4 5 10 3" xfId="23253" xr:uid="{855AF2B4-8834-4674-B44F-57B9716D2602}"/>
    <cellStyle name="Comma 4 5 11" xfId="8849" xr:uid="{344CCE08-63E3-41E8-B38A-00347480820F}"/>
    <cellStyle name="Comma 4 5 11 2" xfId="18173" xr:uid="{2B7EF7DB-12D2-479F-AF2F-6C4907BA9C11}"/>
    <cellStyle name="Comma 4 5 11 3" xfId="27471" xr:uid="{735BFCBF-BFA5-48E1-A326-093DBFF8572B}"/>
    <cellStyle name="Comma 4 5 12" xfId="9737" xr:uid="{B21E9529-0933-4EF9-9186-4BF9ADB5CE41}"/>
    <cellStyle name="Comma 4 5 13" xfId="19036" xr:uid="{B0826516-203C-427B-9969-A625A8127B9B}"/>
    <cellStyle name="Comma 4 5 2" xfId="158" xr:uid="{00000000-0005-0000-0000-0000270A0000}"/>
    <cellStyle name="Comma 4 5 2 10" xfId="9056" xr:uid="{C7C2153B-7EAA-4A13-9C28-1151ACD100A8}"/>
    <cellStyle name="Comma 4 5 2 10 2" xfId="18380" xr:uid="{2706D551-DEA0-4942-8E55-6DE0A6F5F98F}"/>
    <cellStyle name="Comma 4 5 2 10 3" xfId="27678" xr:uid="{FA567645-7833-4292-81A9-02EBDD3AF4B2}"/>
    <cellStyle name="Comma 4 5 2 11" xfId="9738" xr:uid="{23C92A2F-0124-43CC-B090-927DFA39B3DB}"/>
    <cellStyle name="Comma 4 5 2 12" xfId="19037" xr:uid="{72C334D4-90D2-4222-9D2D-E90201F26D03}"/>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03648565-6B9B-4F84-A836-E99A98AE34F2}"/>
    <cellStyle name="Comma 4 5 2 2 2 2 3" xfId="25813" xr:uid="{FC69C21E-3D15-43F6-A954-FEAA12666ED7}"/>
    <cellStyle name="Comma 4 5 2 2 2 3" xfId="12297" xr:uid="{B242E0D3-7BDC-460A-B490-4EF3D4AF4204}"/>
    <cellStyle name="Comma 4 5 2 2 2 4" xfId="21596" xr:uid="{B65AB041-C8E9-4886-AA53-1C307D090CD5}"/>
    <cellStyle name="Comma 4 5 2 2 3" xfId="5043" xr:uid="{00000000-0005-0000-0000-00002B0A0000}"/>
    <cellStyle name="Comma 4 5 2 2 3 2" xfId="14369" xr:uid="{38D62AC7-22FD-41EC-9700-264EBAEA79E6}"/>
    <cellStyle name="Comma 4 5 2 2 3 3" xfId="23668" xr:uid="{67AF7926-B169-4D78-ABE7-ADE8E4D24981}"/>
    <cellStyle name="Comma 4 5 2 2 4" xfId="9481" xr:uid="{47C88F6D-21B1-4457-908C-FFAB8FF83BD1}"/>
    <cellStyle name="Comma 4 5 2 2 4 2" xfId="18796" xr:uid="{87E78F3B-A07E-4C02-8E53-DF3A912B91C6}"/>
    <cellStyle name="Comma 4 5 2 2 4 3" xfId="28093" xr:uid="{21012D16-03C2-4074-9D7B-B6834D99DE17}"/>
    <cellStyle name="Comma 4 5 2 2 5" xfId="10152" xr:uid="{91CD9023-3241-49E7-9B20-FFB5871FD314}"/>
    <cellStyle name="Comma 4 5 2 2 6" xfId="19451" xr:uid="{D25C0A69-B539-4E92-B605-48319AC5EB63}"/>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C284014B-E618-4429-A703-AE076999F6DF}"/>
    <cellStyle name="Comma 4 5 2 3 2 2 3" xfId="26226" xr:uid="{223902B6-7315-4665-BA70-A0DD106E3097}"/>
    <cellStyle name="Comma 4 5 2 3 2 3" xfId="12710" xr:uid="{AA89632F-EDD5-4A3B-A37A-9CE43CAD0791}"/>
    <cellStyle name="Comma 4 5 2 3 2 4" xfId="22009" xr:uid="{C8BBF8FF-F6E2-4700-937D-E07BC85F09BF}"/>
    <cellStyle name="Comma 4 5 2 3 3" xfId="5456" xr:uid="{00000000-0005-0000-0000-00002F0A0000}"/>
    <cellStyle name="Comma 4 5 2 3 3 2" xfId="14782" xr:uid="{7DA20AE0-3FBF-414F-9E2D-042739E0D6D1}"/>
    <cellStyle name="Comma 4 5 2 3 3 3" xfId="24081" xr:uid="{1EC09F75-031B-416D-9FB9-F9F522F97DBF}"/>
    <cellStyle name="Comma 4 5 2 3 4" xfId="10565" xr:uid="{3D2FD229-3C7C-489A-AA08-181C795BB6EA}"/>
    <cellStyle name="Comma 4 5 2 3 5" xfId="19864" xr:uid="{F706411A-FC2F-4172-8697-91B9F8A4F18A}"/>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2EDC2B3F-2552-45AE-BA99-15C1E5AA84D7}"/>
    <cellStyle name="Comma 4 5 2 4 2 2 3" xfId="26639" xr:uid="{86DFB106-EB00-41C2-95B0-C9128F63D261}"/>
    <cellStyle name="Comma 4 5 2 4 2 3" xfId="13123" xr:uid="{7CE875B0-F6DE-44CA-B088-DE31B6557515}"/>
    <cellStyle name="Comma 4 5 2 4 2 4" xfId="22422" xr:uid="{6220D276-5C8C-4408-9705-A67B81A54737}"/>
    <cellStyle name="Comma 4 5 2 4 3" xfId="5869" xr:uid="{00000000-0005-0000-0000-0000330A0000}"/>
    <cellStyle name="Comma 4 5 2 4 3 2" xfId="15195" xr:uid="{5AD83F84-B027-4BB1-BC6A-1D8B569CD029}"/>
    <cellStyle name="Comma 4 5 2 4 3 3" xfId="24494" xr:uid="{87C9C9A3-4674-45C9-8950-818CC8B94581}"/>
    <cellStyle name="Comma 4 5 2 4 4" xfId="10978" xr:uid="{3D648F75-3BDD-44F1-8D8F-ADBBF6BBBED6}"/>
    <cellStyle name="Comma 4 5 2 4 5" xfId="20277" xr:uid="{4A80A9AB-899E-4FE8-A21A-5BE1F418D247}"/>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935940C3-F191-4312-BC9C-C9807D22274C}"/>
    <cellStyle name="Comma 4 5 2 5 2 2 3" xfId="27052" xr:uid="{5410A28F-67EE-462E-9849-8ECA628CD5AF}"/>
    <cellStyle name="Comma 4 5 2 5 2 3" xfId="13536" xr:uid="{44F3AE5D-2BCD-4F63-952E-710927613B78}"/>
    <cellStyle name="Comma 4 5 2 5 2 4" xfId="22835" xr:uid="{E1A836D8-09B3-4E2E-91A7-6B13FC2C33B8}"/>
    <cellStyle name="Comma 4 5 2 5 3" xfId="6282" xr:uid="{00000000-0005-0000-0000-0000370A0000}"/>
    <cellStyle name="Comma 4 5 2 5 3 2" xfId="15608" xr:uid="{4FE4726F-E710-43ED-91E6-5BD6CCA71743}"/>
    <cellStyle name="Comma 4 5 2 5 3 3" xfId="24907" xr:uid="{0000B6CC-4623-4CE2-9E2A-B178241CA3B8}"/>
    <cellStyle name="Comma 4 5 2 5 4" xfId="11391" xr:uid="{07147323-1027-4CB3-B7C3-82444B528647}"/>
    <cellStyle name="Comma 4 5 2 5 5" xfId="20690" xr:uid="{1522501A-8E5E-4CD1-B950-846042AC8771}"/>
    <cellStyle name="Comma 4 5 2 6" xfId="2411" xr:uid="{00000000-0005-0000-0000-0000380A0000}"/>
    <cellStyle name="Comma 4 5 2 6 2" xfId="6695" xr:uid="{00000000-0005-0000-0000-0000390A0000}"/>
    <cellStyle name="Comma 4 5 2 6 2 2" xfId="16021" xr:uid="{985E4952-62E7-4524-A374-CC14D52EA5E7}"/>
    <cellStyle name="Comma 4 5 2 6 2 3" xfId="25320" xr:uid="{9FB751EE-1EFA-49E1-876A-F53F7D028CE2}"/>
    <cellStyle name="Comma 4 5 2 6 3" xfId="11804" xr:uid="{2A7FE736-DA4C-4CC7-B210-BACDE758BAE0}"/>
    <cellStyle name="Comma 4 5 2 6 4" xfId="21103" xr:uid="{48579558-DCE6-4BEB-84A0-720E87975799}"/>
    <cellStyle name="Comma 4 5 2 7" xfId="2707" xr:uid="{00000000-0005-0000-0000-00003A0A0000}"/>
    <cellStyle name="Comma 4 5 2 8" xfId="2789" xr:uid="{00000000-0005-0000-0000-00003B0A0000}"/>
    <cellStyle name="Comma 4 5 2 8 2" xfId="7012" xr:uid="{00000000-0005-0000-0000-00003C0A0000}"/>
    <cellStyle name="Comma 4 5 2 8 2 2" xfId="16338" xr:uid="{DCCD1904-0245-4806-8ECB-122229148220}"/>
    <cellStyle name="Comma 4 5 2 8 2 3" xfId="25637" xr:uid="{2CFDCD0D-E7FD-46CA-B539-DDF654234849}"/>
    <cellStyle name="Comma 4 5 2 8 3" xfId="12121" xr:uid="{46C9CBC0-11E1-4E66-A39D-B9768B547394}"/>
    <cellStyle name="Comma 4 5 2 8 4" xfId="21420" xr:uid="{F91B8292-2A00-46B3-9C20-60D2CFA36912}"/>
    <cellStyle name="Comma 4 5 2 9" xfId="4629" xr:uid="{00000000-0005-0000-0000-00003D0A0000}"/>
    <cellStyle name="Comma 4 5 2 9 2" xfId="13955" xr:uid="{D35E5636-EEFB-41FF-9828-A5C3507C7C20}"/>
    <cellStyle name="Comma 4 5 2 9 3" xfId="23254" xr:uid="{740239B2-4CB8-4602-AFC6-3F8F76561ED1}"/>
    <cellStyle name="Comma 4 5 3" xfId="694" xr:uid="{00000000-0005-0000-0000-00003E0A0000}"/>
    <cellStyle name="Comma 4 5 3 2" xfId="2965" xr:uid="{00000000-0005-0000-0000-00003F0A0000}"/>
    <cellStyle name="Comma 4 5 3 2 2" xfId="7187" xr:uid="{00000000-0005-0000-0000-0000400A0000}"/>
    <cellStyle name="Comma 4 5 3 2 2 2" xfId="16513" xr:uid="{A3E9E31A-B725-4011-BBF0-B993533D163C}"/>
    <cellStyle name="Comma 4 5 3 2 2 3" xfId="25812" xr:uid="{30D4BE01-0EC1-4DD4-8C86-141FEDE7E174}"/>
    <cellStyle name="Comma 4 5 3 2 3" xfId="12296" xr:uid="{85B05747-2883-45D2-A019-FA4155D2DCF7}"/>
    <cellStyle name="Comma 4 5 3 2 4" xfId="21595" xr:uid="{210A88E3-1F51-4D7E-AA33-4C3334E93CE2}"/>
    <cellStyle name="Comma 4 5 3 3" xfId="5042" xr:uid="{00000000-0005-0000-0000-0000410A0000}"/>
    <cellStyle name="Comma 4 5 3 3 2" xfId="14368" xr:uid="{ECDD2C7E-402A-432A-97B5-3778B25E6072}"/>
    <cellStyle name="Comma 4 5 3 3 3" xfId="23667" xr:uid="{325A578A-CF41-4B22-B547-7990CFF3257D}"/>
    <cellStyle name="Comma 4 5 3 4" xfId="9274" xr:uid="{04AC3EF2-4A78-4DC5-BAB4-87936023C7E5}"/>
    <cellStyle name="Comma 4 5 3 4 2" xfId="18589" xr:uid="{47B1F04B-CFE6-482C-8D9C-ECF6F1C85F40}"/>
    <cellStyle name="Comma 4 5 3 4 3" xfId="27886" xr:uid="{8154B171-36F3-40B2-B396-6B4068168070}"/>
    <cellStyle name="Comma 4 5 3 5" xfId="10151" xr:uid="{6FD75209-AEED-4EB5-A6D3-B7B77594CD2E}"/>
    <cellStyle name="Comma 4 5 3 6" xfId="19450" xr:uid="{BC23E1AD-AFA5-4A60-AFF4-ABB7BCCA40B4}"/>
    <cellStyle name="Comma 4 5 4" xfId="1147" xr:uid="{00000000-0005-0000-0000-0000420A0000}"/>
    <cellStyle name="Comma 4 5 4 2" xfId="3378" xr:uid="{00000000-0005-0000-0000-0000430A0000}"/>
    <cellStyle name="Comma 4 5 4 2 2" xfId="7600" xr:uid="{00000000-0005-0000-0000-0000440A0000}"/>
    <cellStyle name="Comma 4 5 4 2 2 2" xfId="16926" xr:uid="{E89D7383-80F6-4D76-B864-22FE4A991B21}"/>
    <cellStyle name="Comma 4 5 4 2 2 3" xfId="26225" xr:uid="{B0AC948D-CE27-4CBA-9481-006125654D97}"/>
    <cellStyle name="Comma 4 5 4 2 3" xfId="12709" xr:uid="{F4DD17F5-8960-45B1-92FF-82D72269CC83}"/>
    <cellStyle name="Comma 4 5 4 2 4" xfId="22008" xr:uid="{94BEE1DD-908A-47F4-A3B6-54E65222235D}"/>
    <cellStyle name="Comma 4 5 4 3" xfId="5455" xr:uid="{00000000-0005-0000-0000-0000450A0000}"/>
    <cellStyle name="Comma 4 5 4 3 2" xfId="14781" xr:uid="{FDB8EAAE-77C9-4C08-AEF7-94A6B89A43A8}"/>
    <cellStyle name="Comma 4 5 4 3 3" xfId="24080" xr:uid="{6D83C8CE-0D3A-4F90-A277-FEB4A2AB6A3B}"/>
    <cellStyle name="Comma 4 5 4 4" xfId="10564" xr:uid="{7003D618-DD4F-4975-922F-CA5F0B6A7FAC}"/>
    <cellStyle name="Comma 4 5 4 5" xfId="19863" xr:uid="{DE56A6AE-D45E-4674-8982-1D16A40BF3E4}"/>
    <cellStyle name="Comma 4 5 5" xfId="1561" xr:uid="{00000000-0005-0000-0000-0000460A0000}"/>
    <cellStyle name="Comma 4 5 5 2" xfId="3791" xr:uid="{00000000-0005-0000-0000-0000470A0000}"/>
    <cellStyle name="Comma 4 5 5 2 2" xfId="8013" xr:uid="{00000000-0005-0000-0000-0000480A0000}"/>
    <cellStyle name="Comma 4 5 5 2 2 2" xfId="17339" xr:uid="{EC2B0072-B233-40DF-9AB4-45F1093A5FAF}"/>
    <cellStyle name="Comma 4 5 5 2 2 3" xfId="26638" xr:uid="{B093750A-E236-4767-9532-739BCB421DBE}"/>
    <cellStyle name="Comma 4 5 5 2 3" xfId="13122" xr:uid="{6EA4EF30-A38D-456D-A8D5-A36AEE1F1FE0}"/>
    <cellStyle name="Comma 4 5 5 2 4" xfId="22421" xr:uid="{FCD14189-E16C-485E-92ED-AD8DCB5D0D85}"/>
    <cellStyle name="Comma 4 5 5 3" xfId="5868" xr:uid="{00000000-0005-0000-0000-0000490A0000}"/>
    <cellStyle name="Comma 4 5 5 3 2" xfId="15194" xr:uid="{84C2B300-6D4B-4EF0-97E4-5F6DD4C0A4C2}"/>
    <cellStyle name="Comma 4 5 5 3 3" xfId="24493" xr:uid="{C23C7AF1-FB6C-404D-8D1C-4198F0A70314}"/>
    <cellStyle name="Comma 4 5 5 4" xfId="10977" xr:uid="{7166659C-3AA5-4BCB-A7F0-F9C9CBBBA7B2}"/>
    <cellStyle name="Comma 4 5 5 5" xfId="20276" xr:uid="{91F405AF-76BD-4EA8-A2E6-53F185A8F95C}"/>
    <cellStyle name="Comma 4 5 6" xfId="1975" xr:uid="{00000000-0005-0000-0000-00004A0A0000}"/>
    <cellStyle name="Comma 4 5 6 2" xfId="4204" xr:uid="{00000000-0005-0000-0000-00004B0A0000}"/>
    <cellStyle name="Comma 4 5 6 2 2" xfId="8426" xr:uid="{00000000-0005-0000-0000-00004C0A0000}"/>
    <cellStyle name="Comma 4 5 6 2 2 2" xfId="17752" xr:uid="{AB248E8B-BB1C-474C-8FAE-D9EC5A02A9CA}"/>
    <cellStyle name="Comma 4 5 6 2 2 3" xfId="27051" xr:uid="{EDAA9B35-3AE6-41A0-86A6-CBD31505BC54}"/>
    <cellStyle name="Comma 4 5 6 2 3" xfId="13535" xr:uid="{7F1D3CE3-2A4B-46EC-9C84-5298AC48047C}"/>
    <cellStyle name="Comma 4 5 6 2 4" xfId="22834" xr:uid="{76A4002E-B7DA-485A-A190-DDEB5542F6FA}"/>
    <cellStyle name="Comma 4 5 6 3" xfId="6281" xr:uid="{00000000-0005-0000-0000-00004D0A0000}"/>
    <cellStyle name="Comma 4 5 6 3 2" xfId="15607" xr:uid="{7BD84A57-436E-444E-AC0B-531BF2F7E8DE}"/>
    <cellStyle name="Comma 4 5 6 3 3" xfId="24906" xr:uid="{22E13CF8-E575-4504-8BFF-45A4F83D3D68}"/>
    <cellStyle name="Comma 4 5 6 4" xfId="11390" xr:uid="{28801515-D9DA-498A-8330-740B19787F05}"/>
    <cellStyle name="Comma 4 5 6 5" xfId="20689" xr:uid="{7739A1B2-D0D3-46C0-A85F-2F77E63A3B1A}"/>
    <cellStyle name="Comma 4 5 7" xfId="2410" xr:uid="{00000000-0005-0000-0000-00004E0A0000}"/>
    <cellStyle name="Comma 4 5 7 2" xfId="6694" xr:uid="{00000000-0005-0000-0000-00004F0A0000}"/>
    <cellStyle name="Comma 4 5 7 2 2" xfId="16020" xr:uid="{740A9882-A324-4CB9-89EF-33569AF88371}"/>
    <cellStyle name="Comma 4 5 7 2 3" xfId="25319" xr:uid="{D590230E-9303-4318-A9F9-A5ED0338AEFF}"/>
    <cellStyle name="Comma 4 5 7 3" xfId="11803" xr:uid="{BEEF4221-246C-4D49-A8EA-6A2FEA3889A0}"/>
    <cellStyle name="Comma 4 5 7 4" xfId="21102" xr:uid="{A808C7D6-13B3-45C5-98E8-1E97AD8E6181}"/>
    <cellStyle name="Comma 4 5 8" xfId="2706" xr:uid="{00000000-0005-0000-0000-0000500A0000}"/>
    <cellStyle name="Comma 4 5 9" xfId="2788" xr:uid="{00000000-0005-0000-0000-0000510A0000}"/>
    <cellStyle name="Comma 4 5 9 2" xfId="7011" xr:uid="{00000000-0005-0000-0000-0000520A0000}"/>
    <cellStyle name="Comma 4 5 9 2 2" xfId="16337" xr:uid="{C602081C-B989-4DE6-9D7C-A1120DD21CF7}"/>
    <cellStyle name="Comma 4 5 9 2 3" xfId="25636" xr:uid="{952ABA40-6955-4559-B307-40138CD31D23}"/>
    <cellStyle name="Comma 4 5 9 3" xfId="12120" xr:uid="{30A35BA8-BFFD-4746-82BE-D5A51880E557}"/>
    <cellStyle name="Comma 4 5 9 4" xfId="21419" xr:uid="{7F0C980A-7D92-4AB5-93DC-4179279F3944}"/>
    <cellStyle name="Comma 4 6" xfId="159" xr:uid="{00000000-0005-0000-0000-0000530A0000}"/>
    <cellStyle name="Comma 4 6 10" xfId="8965" xr:uid="{FDA33E7D-96B8-46F2-87D8-5CB6C30A4CC6}"/>
    <cellStyle name="Comma 4 6 10 2" xfId="18289" xr:uid="{283F39D3-9777-43BB-968D-F46F834AFD26}"/>
    <cellStyle name="Comma 4 6 10 3" xfId="27587" xr:uid="{5AF06FA9-6708-4EF9-9C34-2D9A2A8092F0}"/>
    <cellStyle name="Comma 4 6 11" xfId="9739" xr:uid="{DBB78402-35F8-42B1-900F-45A9B13FAA3A}"/>
    <cellStyle name="Comma 4 6 12" xfId="19038" xr:uid="{1DED8678-4250-4785-8D81-8F227AF450A4}"/>
    <cellStyle name="Comma 4 6 2" xfId="696" xr:uid="{00000000-0005-0000-0000-0000540A0000}"/>
    <cellStyle name="Comma 4 6 2 2" xfId="2967" xr:uid="{00000000-0005-0000-0000-0000550A0000}"/>
    <cellStyle name="Comma 4 6 2 2 2" xfId="7189" xr:uid="{00000000-0005-0000-0000-0000560A0000}"/>
    <cellStyle name="Comma 4 6 2 2 2 2" xfId="16515" xr:uid="{27661E44-4D54-4DB8-B501-43D04D631B2E}"/>
    <cellStyle name="Comma 4 6 2 2 2 3" xfId="25814" xr:uid="{9FD4DDEF-4015-4C88-B360-AB92038A4F6A}"/>
    <cellStyle name="Comma 4 6 2 2 3" xfId="12298" xr:uid="{00DCC8ED-C000-4C9E-A61B-97105D2E1A24}"/>
    <cellStyle name="Comma 4 6 2 2 4" xfId="21597" xr:uid="{0481899A-81F0-42DE-8C58-A91FE5E1EDC4}"/>
    <cellStyle name="Comma 4 6 2 3" xfId="5044" xr:uid="{00000000-0005-0000-0000-0000570A0000}"/>
    <cellStyle name="Comma 4 6 2 3 2" xfId="14370" xr:uid="{6D7F38A3-CD98-4B9D-BA4C-9B045C3C56EA}"/>
    <cellStyle name="Comma 4 6 2 3 3" xfId="23669" xr:uid="{1F3E9D26-8246-4696-832C-3CFB856B8EE1}"/>
    <cellStyle name="Comma 4 6 2 4" xfId="9390" xr:uid="{F8012948-A58F-476A-B4CF-A63C8F36D5B6}"/>
    <cellStyle name="Comma 4 6 2 4 2" xfId="18705" xr:uid="{462B56E9-64AB-4EF7-97FF-76AB8E84D30C}"/>
    <cellStyle name="Comma 4 6 2 4 3" xfId="28002" xr:uid="{C6A89FD0-C447-4198-AFF8-5640A1FACAAA}"/>
    <cellStyle name="Comma 4 6 2 5" xfId="10153" xr:uid="{5C9E9994-0737-4989-84CD-9E8D5D0DCE07}"/>
    <cellStyle name="Comma 4 6 2 6" xfId="19452" xr:uid="{1708C22F-C597-490A-8935-AA2560C50D83}"/>
    <cellStyle name="Comma 4 6 3" xfId="1149" xr:uid="{00000000-0005-0000-0000-0000580A0000}"/>
    <cellStyle name="Comma 4 6 3 2" xfId="3380" xr:uid="{00000000-0005-0000-0000-0000590A0000}"/>
    <cellStyle name="Comma 4 6 3 2 2" xfId="7602" xr:uid="{00000000-0005-0000-0000-00005A0A0000}"/>
    <cellStyle name="Comma 4 6 3 2 2 2" xfId="16928" xr:uid="{0C7FDAAD-C395-497A-A5E7-148B8424F61A}"/>
    <cellStyle name="Comma 4 6 3 2 2 3" xfId="26227" xr:uid="{EA3842D6-0AFF-43BD-B72B-3CD594FFCA1E}"/>
    <cellStyle name="Comma 4 6 3 2 3" xfId="12711" xr:uid="{A0C882F1-7F98-447C-80E1-861749F4A3DE}"/>
    <cellStyle name="Comma 4 6 3 2 4" xfId="22010" xr:uid="{AF06A66F-E161-487C-80FE-BC6E6A1DA573}"/>
    <cellStyle name="Comma 4 6 3 3" xfId="5457" xr:uid="{00000000-0005-0000-0000-00005B0A0000}"/>
    <cellStyle name="Comma 4 6 3 3 2" xfId="14783" xr:uid="{C624BBF2-A0C1-4BA1-A2A5-4FB21B076887}"/>
    <cellStyle name="Comma 4 6 3 3 3" xfId="24082" xr:uid="{0F6B63F3-AE43-4A5E-BD1D-AB24A47AFF65}"/>
    <cellStyle name="Comma 4 6 3 4" xfId="10566" xr:uid="{1D4FE6C6-07EE-4BDA-8E2C-5B20C5066BEE}"/>
    <cellStyle name="Comma 4 6 3 5" xfId="19865" xr:uid="{671F4E09-965B-4A94-B000-7558C3F7048E}"/>
    <cellStyle name="Comma 4 6 4" xfId="1563" xr:uid="{00000000-0005-0000-0000-00005C0A0000}"/>
    <cellStyle name="Comma 4 6 4 2" xfId="3793" xr:uid="{00000000-0005-0000-0000-00005D0A0000}"/>
    <cellStyle name="Comma 4 6 4 2 2" xfId="8015" xr:uid="{00000000-0005-0000-0000-00005E0A0000}"/>
    <cellStyle name="Comma 4 6 4 2 2 2" xfId="17341" xr:uid="{6BEB8AC1-4428-4325-A1BD-88EFA166CF9D}"/>
    <cellStyle name="Comma 4 6 4 2 2 3" xfId="26640" xr:uid="{14906093-4C1C-4A10-BF8F-CF72440C48D7}"/>
    <cellStyle name="Comma 4 6 4 2 3" xfId="13124" xr:uid="{754652D5-6E50-4643-838B-1F5942DDBC6A}"/>
    <cellStyle name="Comma 4 6 4 2 4" xfId="22423" xr:uid="{6A3B524C-6086-4124-89DA-CD5705ABA415}"/>
    <cellStyle name="Comma 4 6 4 3" xfId="5870" xr:uid="{00000000-0005-0000-0000-00005F0A0000}"/>
    <cellStyle name="Comma 4 6 4 3 2" xfId="15196" xr:uid="{04B64251-841E-4E31-9A77-AD01A6455FD3}"/>
    <cellStyle name="Comma 4 6 4 3 3" xfId="24495" xr:uid="{C7492CFB-17AA-4739-BF10-D64D33F31239}"/>
    <cellStyle name="Comma 4 6 4 4" xfId="10979" xr:uid="{74524892-389C-4D31-AA54-11DE0210C91D}"/>
    <cellStyle name="Comma 4 6 4 5" xfId="20278" xr:uid="{CD6ECB86-0A6D-4212-8914-7609D61AA07E}"/>
    <cellStyle name="Comma 4 6 5" xfId="1977" xr:uid="{00000000-0005-0000-0000-0000600A0000}"/>
    <cellStyle name="Comma 4 6 5 2" xfId="4206" xr:uid="{00000000-0005-0000-0000-0000610A0000}"/>
    <cellStyle name="Comma 4 6 5 2 2" xfId="8428" xr:uid="{00000000-0005-0000-0000-0000620A0000}"/>
    <cellStyle name="Comma 4 6 5 2 2 2" xfId="17754" xr:uid="{32383AA9-2404-4C19-8FD9-3F9B25530A61}"/>
    <cellStyle name="Comma 4 6 5 2 2 3" xfId="27053" xr:uid="{7113B3C7-C1B6-45AA-A003-942693F258BA}"/>
    <cellStyle name="Comma 4 6 5 2 3" xfId="13537" xr:uid="{1DBC69D9-7615-43E6-991D-2583F2EE69DC}"/>
    <cellStyle name="Comma 4 6 5 2 4" xfId="22836" xr:uid="{8557E146-C2DD-41F2-9E1B-D58EC132B7BF}"/>
    <cellStyle name="Comma 4 6 5 3" xfId="6283" xr:uid="{00000000-0005-0000-0000-0000630A0000}"/>
    <cellStyle name="Comma 4 6 5 3 2" xfId="15609" xr:uid="{555CB243-9D77-41D4-8606-38817B774FBB}"/>
    <cellStyle name="Comma 4 6 5 3 3" xfId="24908" xr:uid="{B6E4C9A9-74A7-48CF-86EC-A2D85A0CE1D5}"/>
    <cellStyle name="Comma 4 6 5 4" xfId="11392" xr:uid="{B78251A3-99B7-4440-902D-DBCB9D889C85}"/>
    <cellStyle name="Comma 4 6 5 5" xfId="20691" xr:uid="{FAFF0B4E-6679-443B-9802-978B27654FB2}"/>
    <cellStyle name="Comma 4 6 6" xfId="2412" xr:uid="{00000000-0005-0000-0000-0000640A0000}"/>
    <cellStyle name="Comma 4 6 6 2" xfId="6696" xr:uid="{00000000-0005-0000-0000-0000650A0000}"/>
    <cellStyle name="Comma 4 6 6 2 2" xfId="16022" xr:uid="{BF8516EC-A76E-4D95-A83D-CA1892F65A7E}"/>
    <cellStyle name="Comma 4 6 6 2 3" xfId="25321" xr:uid="{90FF6100-89E6-4CFD-B597-DD06364B58F1}"/>
    <cellStyle name="Comma 4 6 6 3" xfId="11805" xr:uid="{FAE5D0C2-9D8C-4A00-84C3-602490365FB4}"/>
    <cellStyle name="Comma 4 6 6 4" xfId="21104" xr:uid="{5B8821D0-6D79-4D89-9A6D-A995043C6152}"/>
    <cellStyle name="Comma 4 6 7" xfId="2708" xr:uid="{00000000-0005-0000-0000-0000660A0000}"/>
    <cellStyle name="Comma 4 6 8" xfId="2790" xr:uid="{00000000-0005-0000-0000-0000670A0000}"/>
    <cellStyle name="Comma 4 6 8 2" xfId="7013" xr:uid="{00000000-0005-0000-0000-0000680A0000}"/>
    <cellStyle name="Comma 4 6 8 2 2" xfId="16339" xr:uid="{A89D360F-50C1-466D-9BC8-ACFA450D30AA}"/>
    <cellStyle name="Comma 4 6 8 2 3" xfId="25638" xr:uid="{D03038F9-6168-471C-8D2A-29E0E0F8AB1E}"/>
    <cellStyle name="Comma 4 6 8 3" xfId="12122" xr:uid="{09887E5A-4375-4F0E-AD45-ED6B196D00ED}"/>
    <cellStyle name="Comma 4 6 8 4" xfId="21421" xr:uid="{CA993C60-258D-4937-9770-6A90985CD4AA}"/>
    <cellStyle name="Comma 4 6 9" xfId="4630" xr:uid="{00000000-0005-0000-0000-0000690A0000}"/>
    <cellStyle name="Comma 4 6 9 2" xfId="13956" xr:uid="{44DA1859-C847-4298-B602-6393DC75B1F6}"/>
    <cellStyle name="Comma 4 6 9 3" xfId="23255" xr:uid="{583A2B86-5FBB-47AF-9D4A-812EAB209745}"/>
    <cellStyle name="Comma 4 7" xfId="160" xr:uid="{00000000-0005-0000-0000-00006A0A0000}"/>
    <cellStyle name="Comma 4 7 10" xfId="9168" xr:uid="{C5EF0C72-87BD-43A9-8A23-92F9D9423F50}"/>
    <cellStyle name="Comma 4 7 10 2" xfId="18486" xr:uid="{7D6C7E32-DA20-43B3-8F90-507409FCE8ED}"/>
    <cellStyle name="Comma 4 7 10 3" xfId="27783" xr:uid="{673C3577-BD50-4BF5-8E3E-3A7FDA971CE9}"/>
    <cellStyle name="Comma 4 7 11" xfId="9740" xr:uid="{925FFC25-B16B-4108-955A-D54F98A1FF9F}"/>
    <cellStyle name="Comma 4 7 12" xfId="19039" xr:uid="{D4708656-FFE7-45F6-AD45-BEF26FEDB8FE}"/>
    <cellStyle name="Comma 4 7 2" xfId="697" xr:uid="{00000000-0005-0000-0000-00006B0A0000}"/>
    <cellStyle name="Comma 4 7 2 2" xfId="2968" xr:uid="{00000000-0005-0000-0000-00006C0A0000}"/>
    <cellStyle name="Comma 4 7 2 2 2" xfId="7190" xr:uid="{00000000-0005-0000-0000-00006D0A0000}"/>
    <cellStyle name="Comma 4 7 2 2 2 2" xfId="16516" xr:uid="{10F37D53-AB69-4F75-AB15-0E3E993F9AB9}"/>
    <cellStyle name="Comma 4 7 2 2 2 3" xfId="25815" xr:uid="{0DF4535F-A749-4A09-BCDD-89FDB11B5993}"/>
    <cellStyle name="Comma 4 7 2 2 3" xfId="12299" xr:uid="{BC20177B-B84F-4728-B04B-76EEB37D27F9}"/>
    <cellStyle name="Comma 4 7 2 2 4" xfId="21598" xr:uid="{205442F3-871F-46E4-AAD3-B327D0E096C4}"/>
    <cellStyle name="Comma 4 7 2 3" xfId="5045" xr:uid="{00000000-0005-0000-0000-00006E0A0000}"/>
    <cellStyle name="Comma 4 7 2 3 2" xfId="14371" xr:uid="{C81A2EAC-C508-4A1A-9023-EF48B79217AB}"/>
    <cellStyle name="Comma 4 7 2 3 3" xfId="23670" xr:uid="{4783DB86-A7EA-45C1-8495-EA8C7D566042}"/>
    <cellStyle name="Comma 4 7 2 4" xfId="9596" xr:uid="{F4A1C070-02C1-4F2A-89F2-15465D9BEBB2}"/>
    <cellStyle name="Comma 4 7 2 4 2" xfId="18900" xr:uid="{C0AE6384-283C-47A0-8FD4-B23F6A9F53C5}"/>
    <cellStyle name="Comma 4 7 2 4 3" xfId="28197" xr:uid="{D02E3FC6-58C3-469A-B1CF-6459E1C73545}"/>
    <cellStyle name="Comma 4 7 2 5" xfId="10154" xr:uid="{2F162C5A-F567-472A-BE4F-6ED13BBEC6E4}"/>
    <cellStyle name="Comma 4 7 2 6" xfId="19453" xr:uid="{8821C935-4A3C-4AC2-836F-750361249A60}"/>
    <cellStyle name="Comma 4 7 3" xfId="1150" xr:uid="{00000000-0005-0000-0000-00006F0A0000}"/>
    <cellStyle name="Comma 4 7 3 2" xfId="3381" xr:uid="{00000000-0005-0000-0000-0000700A0000}"/>
    <cellStyle name="Comma 4 7 3 2 2" xfId="7603" xr:uid="{00000000-0005-0000-0000-0000710A0000}"/>
    <cellStyle name="Comma 4 7 3 2 2 2" xfId="16929" xr:uid="{ABA8819B-CAA1-40D4-B95A-A6D7836EBD9C}"/>
    <cellStyle name="Comma 4 7 3 2 2 3" xfId="26228" xr:uid="{B540EA64-08B4-438F-A830-72376C672B46}"/>
    <cellStyle name="Comma 4 7 3 2 3" xfId="12712" xr:uid="{13EA3622-DB48-4A29-8853-ADCA34E1EE40}"/>
    <cellStyle name="Comma 4 7 3 2 4" xfId="22011" xr:uid="{DD3704A0-49FC-421A-A9EC-8FC8A541E145}"/>
    <cellStyle name="Comma 4 7 3 3" xfId="5458" xr:uid="{00000000-0005-0000-0000-0000720A0000}"/>
    <cellStyle name="Comma 4 7 3 3 2" xfId="14784" xr:uid="{102B253C-26C2-4FFD-AF70-950072B0ECE9}"/>
    <cellStyle name="Comma 4 7 3 3 3" xfId="24083" xr:uid="{84617E8D-2E1A-4E13-ABB1-7A040DB93EBE}"/>
    <cellStyle name="Comma 4 7 3 4" xfId="10567" xr:uid="{2315517B-F63D-4A5B-97AE-EDB3B15EA451}"/>
    <cellStyle name="Comma 4 7 3 5" xfId="19866" xr:uid="{157BFDE1-92C7-4D57-BD7E-B844C75F2862}"/>
    <cellStyle name="Comma 4 7 4" xfId="1564" xr:uid="{00000000-0005-0000-0000-0000730A0000}"/>
    <cellStyle name="Comma 4 7 4 2" xfId="3794" xr:uid="{00000000-0005-0000-0000-0000740A0000}"/>
    <cellStyle name="Comma 4 7 4 2 2" xfId="8016" xr:uid="{00000000-0005-0000-0000-0000750A0000}"/>
    <cellStyle name="Comma 4 7 4 2 2 2" xfId="17342" xr:uid="{0F3CEE68-AF20-4348-A4FF-A81C1D58EE26}"/>
    <cellStyle name="Comma 4 7 4 2 2 3" xfId="26641" xr:uid="{E3D90F42-B0F0-4C7E-B8FA-3FF5790F304E}"/>
    <cellStyle name="Comma 4 7 4 2 3" xfId="13125" xr:uid="{0233B85A-826F-4E48-A4E3-3FE2ACAE170D}"/>
    <cellStyle name="Comma 4 7 4 2 4" xfId="22424" xr:uid="{DD0C57CA-DA8A-4AF7-B162-16C824479FFE}"/>
    <cellStyle name="Comma 4 7 4 3" xfId="5871" xr:uid="{00000000-0005-0000-0000-0000760A0000}"/>
    <cellStyle name="Comma 4 7 4 3 2" xfId="15197" xr:uid="{1348BE20-3371-428E-925B-F8C67957CE8B}"/>
    <cellStyle name="Comma 4 7 4 3 3" xfId="24496" xr:uid="{9DFCE7B6-5FE8-4301-B463-2FE1C5CD3039}"/>
    <cellStyle name="Comma 4 7 4 4" xfId="10980" xr:uid="{7686A23E-61C9-41AC-A817-2C4707569724}"/>
    <cellStyle name="Comma 4 7 4 5" xfId="20279" xr:uid="{DB1B1CDC-C7FD-4611-A754-782088F6F5B7}"/>
    <cellStyle name="Comma 4 7 5" xfId="1978" xr:uid="{00000000-0005-0000-0000-0000770A0000}"/>
    <cellStyle name="Comma 4 7 5 2" xfId="4207" xr:uid="{00000000-0005-0000-0000-0000780A0000}"/>
    <cellStyle name="Comma 4 7 5 2 2" xfId="8429" xr:uid="{00000000-0005-0000-0000-0000790A0000}"/>
    <cellStyle name="Comma 4 7 5 2 2 2" xfId="17755" xr:uid="{6F7F70FA-4845-493B-8D95-09FBFE41826B}"/>
    <cellStyle name="Comma 4 7 5 2 2 3" xfId="27054" xr:uid="{5359194A-AEF8-42CE-9D35-E907279E4DA6}"/>
    <cellStyle name="Comma 4 7 5 2 3" xfId="13538" xr:uid="{2CEA1637-61D0-418D-BCFA-E3905DB85F35}"/>
    <cellStyle name="Comma 4 7 5 2 4" xfId="22837" xr:uid="{C7ACC5CE-80D2-4E9B-98B0-A417E73F32EE}"/>
    <cellStyle name="Comma 4 7 5 3" xfId="6284" xr:uid="{00000000-0005-0000-0000-00007A0A0000}"/>
    <cellStyle name="Comma 4 7 5 3 2" xfId="15610" xr:uid="{6BEFA4B0-D860-4C76-9D87-AAD59D481BC4}"/>
    <cellStyle name="Comma 4 7 5 3 3" xfId="24909" xr:uid="{D5EBE0BD-169C-4EFE-8160-BF07BA1B1CC6}"/>
    <cellStyle name="Comma 4 7 5 4" xfId="11393" xr:uid="{CB6B6B74-A05B-485E-B5F1-4041E5E99EE8}"/>
    <cellStyle name="Comma 4 7 5 5" xfId="20692" xr:uid="{0EEBE059-C577-4C88-A51C-48069AEAE13A}"/>
    <cellStyle name="Comma 4 7 6" xfId="2413" xr:uid="{00000000-0005-0000-0000-00007B0A0000}"/>
    <cellStyle name="Comma 4 7 6 2" xfId="6697" xr:uid="{00000000-0005-0000-0000-00007C0A0000}"/>
    <cellStyle name="Comma 4 7 6 2 2" xfId="16023" xr:uid="{E0BACB9D-641E-4F01-B682-489428C5C60C}"/>
    <cellStyle name="Comma 4 7 6 2 3" xfId="25322" xr:uid="{067B9A8A-F097-45EB-AF57-48EE6875B7F2}"/>
    <cellStyle name="Comma 4 7 6 3" xfId="11806" xr:uid="{672EB1EC-3D75-4AD5-966E-1A434F6A0B94}"/>
    <cellStyle name="Comma 4 7 6 4" xfId="21105" xr:uid="{FDF2BB89-862B-4E65-A86A-0F673E077E55}"/>
    <cellStyle name="Comma 4 7 7" xfId="2709" xr:uid="{00000000-0005-0000-0000-00007D0A0000}"/>
    <cellStyle name="Comma 4 7 8" xfId="2791" xr:uid="{00000000-0005-0000-0000-00007E0A0000}"/>
    <cellStyle name="Comma 4 7 8 2" xfId="7014" xr:uid="{00000000-0005-0000-0000-00007F0A0000}"/>
    <cellStyle name="Comma 4 7 8 2 2" xfId="16340" xr:uid="{4F0D8044-38F8-495B-9055-B02BECE62539}"/>
    <cellStyle name="Comma 4 7 8 2 3" xfId="25639" xr:uid="{F186CBCB-07F4-44EF-91ED-D27BCAE92F9E}"/>
    <cellStyle name="Comma 4 7 8 3" xfId="12123" xr:uid="{8B13E8D6-8D44-4DAF-9AFC-7975FB13A6D3}"/>
    <cellStyle name="Comma 4 7 8 4" xfId="21422" xr:uid="{50E16A5D-D4FA-4503-93FC-60EADC9CC1E8}"/>
    <cellStyle name="Comma 4 7 9" xfId="4631" xr:uid="{00000000-0005-0000-0000-0000800A0000}"/>
    <cellStyle name="Comma 4 7 9 2" xfId="13957" xr:uid="{3724728C-A8F6-4512-AA6B-4DBA9EE4F221}"/>
    <cellStyle name="Comma 4 7 9 3" xfId="23256" xr:uid="{3DD1011A-28B0-406F-9319-669FB26D2BEC}"/>
    <cellStyle name="Comma 4 8" xfId="9193" xr:uid="{D2F7B7D5-1187-4B94-96D8-1D61B28E4E34}"/>
    <cellStyle name="Comma 4 9" xfId="8746" xr:uid="{EB6F8E1D-15EE-4A1C-A7FF-36C2A43F5A26}"/>
    <cellStyle name="Comma 4 9 2" xfId="18070" xr:uid="{1996E2A5-6E0D-43AC-A86B-0F0F8029F961}"/>
    <cellStyle name="Comma 4 9 3" xfId="27368" xr:uid="{4EBF6BBA-1EC1-429D-B046-1C3B06BCAC0E}"/>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F9AFDB0C-B6D1-491C-A4A0-364153E6D25B}"/>
    <cellStyle name="Comma 7 2 3" xfId="28192" xr:uid="{78415CDD-470B-4511-8E9A-75DFCC56D90E}"/>
    <cellStyle name="Comma 7 3" xfId="9589" xr:uid="{E5FB568C-33F4-49EE-BE6E-4022B43BCBB9}"/>
    <cellStyle name="Comma 7 4" xfId="13825" xr:uid="{542C47E9-D0B9-4E49-AD20-9CE342DD6690}"/>
    <cellStyle name="Comma 7 5" xfId="23124" xr:uid="{F6D58549-A05A-43C1-B300-955F94313A4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1078C8F3-96F1-43BD-831F-8E0A6FE16E63}"/>
    <cellStyle name="Currency 14 2 3" xfId="27341" xr:uid="{1BFB5412-5781-4ACA-A4AA-9F93EA0721E8}"/>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04104366-78A5-4627-BA38-C9774F150D43}"/>
    <cellStyle name="Currency 14 3 2 2 2 2 2 3" xfId="27360" xr:uid="{159A39F8-848C-4A04-A83A-27A8467B7B66}"/>
    <cellStyle name="Currency 14 3 2 2 2 2 3" xfId="18058" xr:uid="{DEFE66A9-413F-4F10-AEF0-21D40FC5B5F6}"/>
    <cellStyle name="Currency 14 3 2 2 2 2 4" xfId="27357" xr:uid="{9B29BCCF-FF9C-4F86-8C10-DF5101CE0728}"/>
    <cellStyle name="Currency 14 3 2 2 2 3" xfId="18055" xr:uid="{8A4B6A0B-5470-4A8F-83E4-E6AFBF514983}"/>
    <cellStyle name="Currency 14 3 2 2 2 4" xfId="27354" xr:uid="{73D8AE19-C595-480D-8903-72347D16ED76}"/>
    <cellStyle name="Currency 14 3 2 2 3" xfId="18051" xr:uid="{855D5306-5206-4CAE-98E5-7697281409BB}"/>
    <cellStyle name="Currency 14 3 2 2 4" xfId="27350" xr:uid="{6A251A75-98B7-4970-A16B-3B1CF66466E2}"/>
    <cellStyle name="Currency 14 3 2 3" xfId="18048" xr:uid="{6A1C2666-FA66-460B-8618-6E53ED51C98D}"/>
    <cellStyle name="Currency 14 3 2 4" xfId="27347" xr:uid="{CF3006AD-0221-41A8-9F72-BAD9AAC02195}"/>
    <cellStyle name="Currency 14 3 3" xfId="18045" xr:uid="{518929BE-7C6D-4C1A-B128-219A19D18E5D}"/>
    <cellStyle name="Currency 14 3 4" xfId="27344" xr:uid="{D7DF00AE-786E-4B39-8C56-39394FE125DB}"/>
    <cellStyle name="Currency 14 4" xfId="13828" xr:uid="{4373D130-162A-426E-8047-2DC4999D0572}"/>
    <cellStyle name="Currency 14 5" xfId="23127" xr:uid="{30B2C3B9-B2ED-4AC5-90F9-A95BFCCA286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4F729968-43B0-4755-8E46-2BDD63B962E0}"/>
    <cellStyle name="Currency 3 2 2 10 2 3" xfId="25640" xr:uid="{714E54C7-6AAC-440D-B8B2-0A4FFDE22DB3}"/>
    <cellStyle name="Currency 3 2 2 10 3" xfId="12124" xr:uid="{EAF304A7-31B3-4CDC-8362-30F678218E45}"/>
    <cellStyle name="Currency 3 2 2 10 4" xfId="21423" xr:uid="{98AEE29C-C6FB-4F7F-8B78-25DA1FDDDDCE}"/>
    <cellStyle name="Currency 3 2 2 11" xfId="4632" xr:uid="{00000000-0005-0000-0000-0000A50A0000}"/>
    <cellStyle name="Currency 3 2 2 11 2" xfId="13958" xr:uid="{CF1BBE81-4602-4F41-B52E-3128D9F5896B}"/>
    <cellStyle name="Currency 3 2 2 11 3" xfId="23257" xr:uid="{D626F52E-683E-4C36-949B-6B724EDAB70E}"/>
    <cellStyle name="Currency 3 2 2 12" xfId="8808" xr:uid="{5CD24693-181E-456A-9199-DC057509AC96}"/>
    <cellStyle name="Currency 3 2 2 12 2" xfId="18132" xr:uid="{03582A4D-34D7-4EB5-9BA3-A2A785D798CC}"/>
    <cellStyle name="Currency 3 2 2 12 3" xfId="27430" xr:uid="{6F3B998A-4E29-4BB7-AFC6-78047CA708E9}"/>
    <cellStyle name="Currency 3 2 2 13" xfId="9741" xr:uid="{934C7B2A-C0EE-46C4-A219-A13BBF6634B8}"/>
    <cellStyle name="Currency 3 2 2 14" xfId="19040" xr:uid="{ABCBA4D9-E080-46DD-96A7-DC6D3370BF5D}"/>
    <cellStyle name="Currency 3 2 2 2" xfId="179" xr:uid="{00000000-0005-0000-0000-0000A60A0000}"/>
    <cellStyle name="Currency 3 2 2 2 10" xfId="4633" xr:uid="{00000000-0005-0000-0000-0000A70A0000}"/>
    <cellStyle name="Currency 3 2 2 2 10 2" xfId="13959" xr:uid="{A51F9249-9C23-4305-B91F-476CEEECF0EC}"/>
    <cellStyle name="Currency 3 2 2 2 10 3" xfId="23258" xr:uid="{AB5E48B3-8EA2-4C87-B7DE-12D9E4D05882}"/>
    <cellStyle name="Currency 3 2 2 2 11" xfId="8911" xr:uid="{177A45F7-B130-49DA-829A-AA3BF41B848C}"/>
    <cellStyle name="Currency 3 2 2 2 11 2" xfId="18235" xr:uid="{33D0EE48-0614-4F1A-ABA7-7945351797F9}"/>
    <cellStyle name="Currency 3 2 2 2 11 3" xfId="27533" xr:uid="{8BC50BD2-1547-4C07-96F3-51F1A37ED23B}"/>
    <cellStyle name="Currency 3 2 2 2 12" xfId="9742" xr:uid="{BAADD1EA-3ACE-401F-ABD3-DC3E17B5E131}"/>
    <cellStyle name="Currency 3 2 2 2 13" xfId="19041" xr:uid="{5AB04CA4-19F5-4FED-BF35-A67A0E6340AE}"/>
    <cellStyle name="Currency 3 2 2 2 2" xfId="180" xr:uid="{00000000-0005-0000-0000-0000A80A0000}"/>
    <cellStyle name="Currency 3 2 2 2 2 10" xfId="9118" xr:uid="{4DDBDF88-B997-49F5-AF34-322CC93508E5}"/>
    <cellStyle name="Currency 3 2 2 2 2 10 2" xfId="18442" xr:uid="{5D2B264B-608C-4205-8D8B-0A9C1B43F870}"/>
    <cellStyle name="Currency 3 2 2 2 2 10 3" xfId="27740" xr:uid="{4F78073B-9914-4755-B174-C97E01815368}"/>
    <cellStyle name="Currency 3 2 2 2 2 11" xfId="9743" xr:uid="{6758BC87-C9E3-41CA-B0EF-53DA6F1F7166}"/>
    <cellStyle name="Currency 3 2 2 2 2 12" xfId="19042" xr:uid="{C808C890-F5BF-47C2-811E-E4A24422BA32}"/>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BD4154CE-483F-4E56-9927-6DF49DC1106D}"/>
    <cellStyle name="Currency 3 2 2 2 2 2 2 2 3" xfId="25818" xr:uid="{FCB5D5BA-683F-4B59-86DF-4BC095610B8C}"/>
    <cellStyle name="Currency 3 2 2 2 2 2 2 3" xfId="12302" xr:uid="{206DD34C-6FEB-48B0-A6CC-6F727365C365}"/>
    <cellStyle name="Currency 3 2 2 2 2 2 2 4" xfId="21601" xr:uid="{59C35A51-7F84-4E7D-926F-38CF27D1BA19}"/>
    <cellStyle name="Currency 3 2 2 2 2 2 3" xfId="5048" xr:uid="{00000000-0005-0000-0000-0000AC0A0000}"/>
    <cellStyle name="Currency 3 2 2 2 2 2 3 2" xfId="14374" xr:uid="{D7C5961E-0F35-4E3E-A9F5-E721BA761005}"/>
    <cellStyle name="Currency 3 2 2 2 2 2 3 3" xfId="23673" xr:uid="{A2BE9883-25B2-4DB4-94A1-510E5D9EB010}"/>
    <cellStyle name="Currency 3 2 2 2 2 2 4" xfId="9543" xr:uid="{08990697-BAC1-4B06-A86B-C554A35267E6}"/>
    <cellStyle name="Currency 3 2 2 2 2 2 4 2" xfId="18858" xr:uid="{6227AC51-E2B8-4494-A260-87BF689E269D}"/>
    <cellStyle name="Currency 3 2 2 2 2 2 4 3" xfId="28155" xr:uid="{21D29DEA-8859-414D-83C1-2FB23694CB9E}"/>
    <cellStyle name="Currency 3 2 2 2 2 2 5" xfId="10157" xr:uid="{E5FEBEB8-7474-4723-A625-8965F45A63B1}"/>
    <cellStyle name="Currency 3 2 2 2 2 2 6" xfId="19456" xr:uid="{CCE50187-1B3E-4347-B5CA-08C1857626A3}"/>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E8BE4143-5E5C-48D3-B746-4922AD260755}"/>
    <cellStyle name="Currency 3 2 2 2 2 3 2 2 3" xfId="26231" xr:uid="{04CEE776-989E-41CC-83C4-B4DAE7E652FD}"/>
    <cellStyle name="Currency 3 2 2 2 2 3 2 3" xfId="12715" xr:uid="{2A40CBE3-072C-42BD-BFBB-6B610FE07FC7}"/>
    <cellStyle name="Currency 3 2 2 2 2 3 2 4" xfId="22014" xr:uid="{51B3A202-064E-4D05-A294-D24C1F63EF7B}"/>
    <cellStyle name="Currency 3 2 2 2 2 3 3" xfId="5461" xr:uid="{00000000-0005-0000-0000-0000B00A0000}"/>
    <cellStyle name="Currency 3 2 2 2 2 3 3 2" xfId="14787" xr:uid="{991ED4C8-6136-4986-B4AA-1B8E12E8AA7E}"/>
    <cellStyle name="Currency 3 2 2 2 2 3 3 3" xfId="24086" xr:uid="{828FA135-493E-48FC-A946-A57E7D43E7A6}"/>
    <cellStyle name="Currency 3 2 2 2 2 3 4" xfId="10570" xr:uid="{E3C435C9-B3A3-47E3-BADB-CBAEE79912F3}"/>
    <cellStyle name="Currency 3 2 2 2 2 3 5" xfId="19869" xr:uid="{80074CEF-934C-404B-9ED8-7E21A012A8A6}"/>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B4B63EC5-2C92-4E00-8FA3-DB5E9AD74100}"/>
    <cellStyle name="Currency 3 2 2 2 2 4 2 2 3" xfId="26644" xr:uid="{7D7245D8-81B0-4021-8E97-6989078716E8}"/>
    <cellStyle name="Currency 3 2 2 2 2 4 2 3" xfId="13128" xr:uid="{91FDB022-D5D5-4652-93EF-4C1E888B5AB8}"/>
    <cellStyle name="Currency 3 2 2 2 2 4 2 4" xfId="22427" xr:uid="{7E0D1723-057A-40B6-97C5-FEC7F0CECD59}"/>
    <cellStyle name="Currency 3 2 2 2 2 4 3" xfId="5874" xr:uid="{00000000-0005-0000-0000-0000B40A0000}"/>
    <cellStyle name="Currency 3 2 2 2 2 4 3 2" xfId="15200" xr:uid="{E453834D-B37B-4E98-AF4E-D4A75C050CB7}"/>
    <cellStyle name="Currency 3 2 2 2 2 4 3 3" xfId="24499" xr:uid="{8344AC4E-ABB7-40CC-881E-93B8AD055BCE}"/>
    <cellStyle name="Currency 3 2 2 2 2 4 4" xfId="10983" xr:uid="{ECA37E71-948F-4DBE-8697-C963B750EA25}"/>
    <cellStyle name="Currency 3 2 2 2 2 4 5" xfId="20282" xr:uid="{CD8B9A59-9B48-46C9-83D1-B79FC57D1083}"/>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24837E22-1B34-4D93-A56B-5CB7A3F32A8C}"/>
    <cellStyle name="Currency 3 2 2 2 2 5 2 2 3" xfId="27057" xr:uid="{E35F87CC-F0BB-4D4F-B0C9-FBC0DC38EB97}"/>
    <cellStyle name="Currency 3 2 2 2 2 5 2 3" xfId="13541" xr:uid="{C73F3276-D5ED-45C2-A140-D23F1E34D898}"/>
    <cellStyle name="Currency 3 2 2 2 2 5 2 4" xfId="22840" xr:uid="{6FD27AFF-1FE2-46F3-B96E-7F3D588B6FC7}"/>
    <cellStyle name="Currency 3 2 2 2 2 5 3" xfId="6287" xr:uid="{00000000-0005-0000-0000-0000B80A0000}"/>
    <cellStyle name="Currency 3 2 2 2 2 5 3 2" xfId="15613" xr:uid="{8FC4BC30-410B-455B-8AD1-92F3FB98F5C1}"/>
    <cellStyle name="Currency 3 2 2 2 2 5 3 3" xfId="24912" xr:uid="{BAF1221E-A532-43DC-980C-E64F8549F9F7}"/>
    <cellStyle name="Currency 3 2 2 2 2 5 4" xfId="11396" xr:uid="{115826C6-FA68-4901-B5E1-E90CB032E058}"/>
    <cellStyle name="Currency 3 2 2 2 2 5 5" xfId="20695" xr:uid="{FF7D897B-6266-4C09-8B7A-0B51CFBD52F0}"/>
    <cellStyle name="Currency 3 2 2 2 2 6" xfId="2416" xr:uid="{00000000-0005-0000-0000-0000B90A0000}"/>
    <cellStyle name="Currency 3 2 2 2 2 6 2" xfId="6700" xr:uid="{00000000-0005-0000-0000-0000BA0A0000}"/>
    <cellStyle name="Currency 3 2 2 2 2 6 2 2" xfId="16026" xr:uid="{61ECD97B-2F98-48D7-8E37-AC92B236FD05}"/>
    <cellStyle name="Currency 3 2 2 2 2 6 2 3" xfId="25325" xr:uid="{F58C5D3C-444B-498B-AF68-2068FACC98DA}"/>
    <cellStyle name="Currency 3 2 2 2 2 6 3" xfId="11809" xr:uid="{E5014555-91E3-40BB-8C61-0D547E7235DD}"/>
    <cellStyle name="Currency 3 2 2 2 2 6 4" xfId="21108" xr:uid="{B03BB176-3456-46ED-A83C-81B108DBA8FE}"/>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42C6B555-A432-4926-B1A9-4A1ABF1EDC69}"/>
    <cellStyle name="Currency 3 2 2 2 2 8 2 3" xfId="25642" xr:uid="{74681E9A-FF37-431E-B014-F6377893CF2E}"/>
    <cellStyle name="Currency 3 2 2 2 2 8 3" xfId="12126" xr:uid="{8458BF42-D8AD-4884-9042-496BD2E2B335}"/>
    <cellStyle name="Currency 3 2 2 2 2 8 4" xfId="21425" xr:uid="{40496844-8BA6-4D04-90B2-3AD0DB246A9B}"/>
    <cellStyle name="Currency 3 2 2 2 2 9" xfId="4634" xr:uid="{00000000-0005-0000-0000-0000BE0A0000}"/>
    <cellStyle name="Currency 3 2 2 2 2 9 2" xfId="13960" xr:uid="{690815A5-9D6C-4ADA-A422-AC748C350688}"/>
    <cellStyle name="Currency 3 2 2 2 2 9 3" xfId="23259" xr:uid="{724CB67F-30FE-4F43-9C2D-78CCF182678F}"/>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EA1876C4-BCFD-41D8-A410-B9DE1940FB56}"/>
    <cellStyle name="Currency 3 2 2 2 3 2 2 3" xfId="25817" xr:uid="{103517F5-81F3-4E1E-B2AC-5C939260AA6D}"/>
    <cellStyle name="Currency 3 2 2 2 3 2 3" xfId="12301" xr:uid="{5DB71AB0-5220-4CF7-BB3B-21705A81B9B6}"/>
    <cellStyle name="Currency 3 2 2 2 3 2 4" xfId="21600" xr:uid="{371406FA-CBAD-4C58-8945-91F32BE6EE4F}"/>
    <cellStyle name="Currency 3 2 2 2 3 3" xfId="5047" xr:uid="{00000000-0005-0000-0000-0000C20A0000}"/>
    <cellStyle name="Currency 3 2 2 2 3 3 2" xfId="14373" xr:uid="{1247A6E2-14C4-4A21-BFAF-372BDE29DCFD}"/>
    <cellStyle name="Currency 3 2 2 2 3 3 3" xfId="23672" xr:uid="{E6A8917D-FF44-4AE0-8B84-2918E249A3A4}"/>
    <cellStyle name="Currency 3 2 2 2 3 4" xfId="9336" xr:uid="{F86D5454-A503-484B-B8F3-81FF219E49D0}"/>
    <cellStyle name="Currency 3 2 2 2 3 4 2" xfId="18651" xr:uid="{9C9A00F4-990F-4362-9AF5-56DE4653E3EB}"/>
    <cellStyle name="Currency 3 2 2 2 3 4 3" xfId="27948" xr:uid="{D45F4724-18B0-4C81-B61E-9B359D5982AE}"/>
    <cellStyle name="Currency 3 2 2 2 3 5" xfId="10156" xr:uid="{CA84E9D0-4431-4F68-A9B0-832F50B6C9D3}"/>
    <cellStyle name="Currency 3 2 2 2 3 6" xfId="19455" xr:uid="{75C800F1-4F68-4F92-A104-9BD0AA88EF3E}"/>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E19B284F-CBE5-4EF1-8999-07CBFC32050D}"/>
    <cellStyle name="Currency 3 2 2 2 4 2 2 3" xfId="26230" xr:uid="{A487B425-E683-4598-86C4-A7B8ECE2B222}"/>
    <cellStyle name="Currency 3 2 2 2 4 2 3" xfId="12714" xr:uid="{109DA023-D18B-4EAF-87CB-DDE914651439}"/>
    <cellStyle name="Currency 3 2 2 2 4 2 4" xfId="22013" xr:uid="{E334C6E7-11F2-41C0-BDFE-6AB36DF5A708}"/>
    <cellStyle name="Currency 3 2 2 2 4 3" xfId="5460" xr:uid="{00000000-0005-0000-0000-0000C60A0000}"/>
    <cellStyle name="Currency 3 2 2 2 4 3 2" xfId="14786" xr:uid="{133BD191-EA38-4765-BC65-84BF5B83D21E}"/>
    <cellStyle name="Currency 3 2 2 2 4 3 3" xfId="24085" xr:uid="{4067A2BC-D112-47BA-8765-62ECB21C7CBB}"/>
    <cellStyle name="Currency 3 2 2 2 4 4" xfId="10569" xr:uid="{CD642111-114E-4EC1-94C3-13B6EBD4D3A8}"/>
    <cellStyle name="Currency 3 2 2 2 4 5" xfId="19868" xr:uid="{1A8FF7E6-561E-4B7E-82AC-07541900A426}"/>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9AE720E9-441B-40A5-8096-0B6370A1DDA8}"/>
    <cellStyle name="Currency 3 2 2 2 5 2 2 3" xfId="26643" xr:uid="{1F4EC1E5-C643-47FA-9B27-5CC2365016AE}"/>
    <cellStyle name="Currency 3 2 2 2 5 2 3" xfId="13127" xr:uid="{0C69FCCF-20A4-4C87-81A0-CBE098A432AB}"/>
    <cellStyle name="Currency 3 2 2 2 5 2 4" xfId="22426" xr:uid="{2A2ECD97-66E5-42AF-9CBF-7857869D9F0E}"/>
    <cellStyle name="Currency 3 2 2 2 5 3" xfId="5873" xr:uid="{00000000-0005-0000-0000-0000CA0A0000}"/>
    <cellStyle name="Currency 3 2 2 2 5 3 2" xfId="15199" xr:uid="{10B6833D-F6FB-4481-A9D7-38F4915E3B86}"/>
    <cellStyle name="Currency 3 2 2 2 5 3 3" xfId="24498" xr:uid="{5E7DAC85-214B-488A-AB37-67A3CAE868E3}"/>
    <cellStyle name="Currency 3 2 2 2 5 4" xfId="10982" xr:uid="{4FE2C3DB-00CF-4E82-80E6-8A8ACB90C3E0}"/>
    <cellStyle name="Currency 3 2 2 2 5 5" xfId="20281" xr:uid="{3E405026-37C9-4FD8-BAFF-9C661781A662}"/>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83D32215-F7DE-40E6-B3B5-B8D4AFF4DC15}"/>
    <cellStyle name="Currency 3 2 2 2 6 2 2 3" xfId="27056" xr:uid="{035F17DE-897B-4344-9BE6-06FE5211E470}"/>
    <cellStyle name="Currency 3 2 2 2 6 2 3" xfId="13540" xr:uid="{EFA23190-95B9-429F-BF3D-D51E3B515383}"/>
    <cellStyle name="Currency 3 2 2 2 6 2 4" xfId="22839" xr:uid="{11A35900-52DD-4846-82F1-1E7EAA5DEB72}"/>
    <cellStyle name="Currency 3 2 2 2 6 3" xfId="6286" xr:uid="{00000000-0005-0000-0000-0000CE0A0000}"/>
    <cellStyle name="Currency 3 2 2 2 6 3 2" xfId="15612" xr:uid="{4EAF19B6-C29C-424E-8F1E-C631BE0EE4BA}"/>
    <cellStyle name="Currency 3 2 2 2 6 3 3" xfId="24911" xr:uid="{1F314638-F9B2-44BA-96A3-D0457F7E7F5E}"/>
    <cellStyle name="Currency 3 2 2 2 6 4" xfId="11395" xr:uid="{799D8BA7-3C63-4AED-8A91-027206C1D3F7}"/>
    <cellStyle name="Currency 3 2 2 2 6 5" xfId="20694" xr:uid="{1035F5A8-8808-4333-8E30-FC4C5366E2F5}"/>
    <cellStyle name="Currency 3 2 2 2 7" xfId="2415" xr:uid="{00000000-0005-0000-0000-0000CF0A0000}"/>
    <cellStyle name="Currency 3 2 2 2 7 2" xfId="6699" xr:uid="{00000000-0005-0000-0000-0000D00A0000}"/>
    <cellStyle name="Currency 3 2 2 2 7 2 2" xfId="16025" xr:uid="{8919DC3B-ED8F-4A61-BE32-2A4AA3D2E812}"/>
    <cellStyle name="Currency 3 2 2 2 7 2 3" xfId="25324" xr:uid="{5C7D2BB4-75DA-4E45-800B-D0CA6A8F0828}"/>
    <cellStyle name="Currency 3 2 2 2 7 3" xfId="11808" xr:uid="{3413CAC2-3931-4005-9809-05213DDC5F81}"/>
    <cellStyle name="Currency 3 2 2 2 7 4" xfId="21107" xr:uid="{56B09CE3-0983-4C83-B7E2-0ABC2C869776}"/>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16DAD36D-40FB-4A49-82C5-A926D26ACDF2}"/>
    <cellStyle name="Currency 3 2 2 2 9 2 3" xfId="25641" xr:uid="{EA93911D-BBBE-4EDE-BF53-12D178643430}"/>
    <cellStyle name="Currency 3 2 2 2 9 3" xfId="12125" xr:uid="{308FEDC5-6118-45D4-8BBD-B62475989D1F}"/>
    <cellStyle name="Currency 3 2 2 2 9 4" xfId="21424" xr:uid="{0E320EA5-9ABE-43E3-A051-CF6FC6465B27}"/>
    <cellStyle name="Currency 3 2 2 3" xfId="181" xr:uid="{00000000-0005-0000-0000-0000D40A0000}"/>
    <cellStyle name="Currency 3 2 2 3 10" xfId="9015" xr:uid="{A1C3FAFC-6FB9-45C5-A279-C90E61794A63}"/>
    <cellStyle name="Currency 3 2 2 3 10 2" xfId="18339" xr:uid="{F4D7383D-2F5D-45C3-BF2D-934E22582F9B}"/>
    <cellStyle name="Currency 3 2 2 3 10 3" xfId="27637" xr:uid="{7491E9F2-C6FF-43D5-AD2B-9B04A5573CFD}"/>
    <cellStyle name="Currency 3 2 2 3 11" xfId="9744" xr:uid="{6DECEFB6-294B-4DAA-A160-FC0ACF11917F}"/>
    <cellStyle name="Currency 3 2 2 3 12" xfId="19043" xr:uid="{59E0F41C-FDF9-4906-9CC0-30FE632CD2A7}"/>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B3371BD4-FE53-4AF0-81AA-BD3802C18FF3}"/>
    <cellStyle name="Currency 3 2 2 3 2 2 2 3" xfId="25819" xr:uid="{6990534F-5A9A-4202-86FD-1540C82973B2}"/>
    <cellStyle name="Currency 3 2 2 3 2 2 3" xfId="12303" xr:uid="{62FD5E14-A741-488B-90D0-8DF1A2528B66}"/>
    <cellStyle name="Currency 3 2 2 3 2 2 4" xfId="21602" xr:uid="{4BDE333D-49BF-4956-A0BE-66C9A724870B}"/>
    <cellStyle name="Currency 3 2 2 3 2 3" xfId="5049" xr:uid="{00000000-0005-0000-0000-0000D80A0000}"/>
    <cellStyle name="Currency 3 2 2 3 2 3 2" xfId="14375" xr:uid="{CB2B18A4-D854-4EB1-9403-5CBE6F43E95A}"/>
    <cellStyle name="Currency 3 2 2 3 2 3 3" xfId="23674" xr:uid="{00C8A893-5C48-4BED-A5D1-37983E60E6D8}"/>
    <cellStyle name="Currency 3 2 2 3 2 4" xfId="9440" xr:uid="{774D5512-BCA5-4224-A909-3336A63369C8}"/>
    <cellStyle name="Currency 3 2 2 3 2 4 2" xfId="18755" xr:uid="{F1A6C3CD-5DDB-475A-B636-E33068BB248A}"/>
    <cellStyle name="Currency 3 2 2 3 2 4 3" xfId="28052" xr:uid="{E6092674-7EE4-4052-9EB9-E6D52CB95A49}"/>
    <cellStyle name="Currency 3 2 2 3 2 5" xfId="10158" xr:uid="{8897A773-6730-452C-956F-6EDF037E4580}"/>
    <cellStyle name="Currency 3 2 2 3 2 6" xfId="19457" xr:uid="{2E89081D-3C41-4758-80D7-8C1573FBAAE6}"/>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AB94FB3D-C82B-4B85-A5B9-81682234D371}"/>
    <cellStyle name="Currency 3 2 2 3 3 2 2 3" xfId="26232" xr:uid="{C03FE8D9-1BC0-4DF7-B6DF-B918AA90D1B0}"/>
    <cellStyle name="Currency 3 2 2 3 3 2 3" xfId="12716" xr:uid="{D0EA0B73-7F5B-4A50-B597-5B710DB71D10}"/>
    <cellStyle name="Currency 3 2 2 3 3 2 4" xfId="22015" xr:uid="{DF00610B-285C-4D50-BD27-19F823F1DA32}"/>
    <cellStyle name="Currency 3 2 2 3 3 3" xfId="5462" xr:uid="{00000000-0005-0000-0000-0000DC0A0000}"/>
    <cellStyle name="Currency 3 2 2 3 3 3 2" xfId="14788" xr:uid="{E4AF7842-87BF-4D14-8C71-421C066E1D3F}"/>
    <cellStyle name="Currency 3 2 2 3 3 3 3" xfId="24087" xr:uid="{EDFB1344-7826-4C82-928E-F5C1A5FBB43C}"/>
    <cellStyle name="Currency 3 2 2 3 3 4" xfId="10571" xr:uid="{ECF28296-56C8-47F4-AC4A-9B4CB27F5FD8}"/>
    <cellStyle name="Currency 3 2 2 3 3 5" xfId="19870" xr:uid="{01E125D5-C23B-4648-91FC-0433951F418C}"/>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B7EC6572-C7AF-4045-B620-FC0BA5E4920F}"/>
    <cellStyle name="Currency 3 2 2 3 4 2 2 3" xfId="26645" xr:uid="{7A81359E-0F03-4056-81A4-75575F333CFF}"/>
    <cellStyle name="Currency 3 2 2 3 4 2 3" xfId="13129" xr:uid="{49A26E46-1C3A-4BE4-AF48-5042B41BC041}"/>
    <cellStyle name="Currency 3 2 2 3 4 2 4" xfId="22428" xr:uid="{6D1B59D5-C644-4FA0-8062-7C284251E8E8}"/>
    <cellStyle name="Currency 3 2 2 3 4 3" xfId="5875" xr:uid="{00000000-0005-0000-0000-0000E00A0000}"/>
    <cellStyle name="Currency 3 2 2 3 4 3 2" xfId="15201" xr:uid="{A04F0C4D-BA4F-418C-91AE-57268292C0E0}"/>
    <cellStyle name="Currency 3 2 2 3 4 3 3" xfId="24500" xr:uid="{63C3AAD7-A22A-4DC1-A5D4-82CA264936C3}"/>
    <cellStyle name="Currency 3 2 2 3 4 4" xfId="10984" xr:uid="{AFF03E85-0A10-426D-BF8D-D605BBF05CE6}"/>
    <cellStyle name="Currency 3 2 2 3 4 5" xfId="20283" xr:uid="{2B58AA21-EAF9-4459-86DF-E42737741C5B}"/>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BCB3DF8B-FB8D-4F19-960D-BB98568BA1CF}"/>
    <cellStyle name="Currency 3 2 2 3 5 2 2 3" xfId="27058" xr:uid="{8427D6AD-AF10-4A3D-84C4-2A1512AF8B91}"/>
    <cellStyle name="Currency 3 2 2 3 5 2 3" xfId="13542" xr:uid="{D2F7F430-10BE-4CEC-A5B3-1B4468296872}"/>
    <cellStyle name="Currency 3 2 2 3 5 2 4" xfId="22841" xr:uid="{7F8FA40E-5EDE-4A81-9C7D-2CDD534DC7D4}"/>
    <cellStyle name="Currency 3 2 2 3 5 3" xfId="6288" xr:uid="{00000000-0005-0000-0000-0000E40A0000}"/>
    <cellStyle name="Currency 3 2 2 3 5 3 2" xfId="15614" xr:uid="{66397368-B9C1-49D5-A0DF-1184C285FF03}"/>
    <cellStyle name="Currency 3 2 2 3 5 3 3" xfId="24913" xr:uid="{D7EF4D44-B10C-4C60-80FE-93D708A9C63A}"/>
    <cellStyle name="Currency 3 2 2 3 5 4" xfId="11397" xr:uid="{5D481CB8-9515-4FC6-9BA5-9B9839983E73}"/>
    <cellStyle name="Currency 3 2 2 3 5 5" xfId="20696" xr:uid="{8414848F-784F-408E-A1D9-59C992364955}"/>
    <cellStyle name="Currency 3 2 2 3 6" xfId="2417" xr:uid="{00000000-0005-0000-0000-0000E50A0000}"/>
    <cellStyle name="Currency 3 2 2 3 6 2" xfId="6701" xr:uid="{00000000-0005-0000-0000-0000E60A0000}"/>
    <cellStyle name="Currency 3 2 2 3 6 2 2" xfId="16027" xr:uid="{B2E12FDE-8F8E-46B5-91C8-F29F140D4192}"/>
    <cellStyle name="Currency 3 2 2 3 6 2 3" xfId="25326" xr:uid="{BD79FDA6-4C23-4BAD-A0AD-579862B118A7}"/>
    <cellStyle name="Currency 3 2 2 3 6 3" xfId="11810" xr:uid="{E3B45CE0-536E-4DF5-B588-03DB4A86822E}"/>
    <cellStyle name="Currency 3 2 2 3 6 4" xfId="21109" xr:uid="{1A067CD7-B35B-40B5-B404-01E19A01E1D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8F7C1F3D-1158-4E0D-B140-6D3D7B1DB34E}"/>
    <cellStyle name="Currency 3 2 2 3 8 2 3" xfId="25643" xr:uid="{CADC0476-072E-467E-8D05-918FF77493CD}"/>
    <cellStyle name="Currency 3 2 2 3 8 3" xfId="12127" xr:uid="{F1021CBB-0A41-4BC1-8268-8A9B530E8078}"/>
    <cellStyle name="Currency 3 2 2 3 8 4" xfId="21426" xr:uid="{4BF64160-3E2F-4C5A-9CF8-CE3D2BB16A23}"/>
    <cellStyle name="Currency 3 2 2 3 9" xfId="4635" xr:uid="{00000000-0005-0000-0000-0000EA0A0000}"/>
    <cellStyle name="Currency 3 2 2 3 9 2" xfId="13961" xr:uid="{25B697B0-81AA-48F0-9055-389401B77584}"/>
    <cellStyle name="Currency 3 2 2 3 9 3" xfId="23260" xr:uid="{83CF3F9F-A5F3-4BC9-B4F7-BCD8786AD768}"/>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9898F9D5-DCD8-462F-B3EF-8D606525957F}"/>
    <cellStyle name="Currency 3 2 2 4 2 2 3" xfId="25816" xr:uid="{90B073B6-80CA-4846-BD47-462FAFBFC259}"/>
    <cellStyle name="Currency 3 2 2 4 2 3" xfId="12300" xr:uid="{01BAA547-56CE-4E51-97A0-8E617450E784}"/>
    <cellStyle name="Currency 3 2 2 4 2 4" xfId="21599" xr:uid="{F43B751C-8F17-4044-B48A-0B6A8B4A2E8A}"/>
    <cellStyle name="Currency 3 2 2 4 3" xfId="5046" xr:uid="{00000000-0005-0000-0000-0000EE0A0000}"/>
    <cellStyle name="Currency 3 2 2 4 3 2" xfId="14372" xr:uid="{63D24269-DDBB-4D18-A04B-413038F1E799}"/>
    <cellStyle name="Currency 3 2 2 4 3 3" xfId="23671" xr:uid="{D2656879-7796-486B-8F34-15FFEEAAEA5C}"/>
    <cellStyle name="Currency 3 2 2 4 4" xfId="9233" xr:uid="{A90843BF-65B1-48E5-9C93-A2651D7B4B13}"/>
    <cellStyle name="Currency 3 2 2 4 4 2" xfId="18548" xr:uid="{FE8E359E-69BF-4177-8A22-72BFE5E60DAE}"/>
    <cellStyle name="Currency 3 2 2 4 4 3" xfId="27845" xr:uid="{F1BF4A65-89B9-4E08-AC8D-00AA35323702}"/>
    <cellStyle name="Currency 3 2 2 4 5" xfId="10155" xr:uid="{62CA7FD4-D427-4F1D-9767-A776829A8C54}"/>
    <cellStyle name="Currency 3 2 2 4 6" xfId="19454" xr:uid="{EFC44BA3-3367-48AC-BDFC-A669BAC52616}"/>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300E01E6-86A4-4887-A1AE-5F8116F6658D}"/>
    <cellStyle name="Currency 3 2 2 5 2 2 3" xfId="26229" xr:uid="{AA928926-6F26-4743-9E65-99E5DD5FBC96}"/>
    <cellStyle name="Currency 3 2 2 5 2 3" xfId="12713" xr:uid="{D81B4AE3-7078-4066-9FD2-25B94446953A}"/>
    <cellStyle name="Currency 3 2 2 5 2 4" xfId="22012" xr:uid="{B960AD38-53BF-484A-8284-B078CAC1FFEE}"/>
    <cellStyle name="Currency 3 2 2 5 3" xfId="5459" xr:uid="{00000000-0005-0000-0000-0000F20A0000}"/>
    <cellStyle name="Currency 3 2 2 5 3 2" xfId="14785" xr:uid="{1361C5D6-7158-49C9-A643-71B5A12BE90A}"/>
    <cellStyle name="Currency 3 2 2 5 3 3" xfId="24084" xr:uid="{8228A0C3-6B30-4BF1-8B63-B8E95E1A4C78}"/>
    <cellStyle name="Currency 3 2 2 5 4" xfId="10568" xr:uid="{875D4FC2-08C9-495A-99CB-49A5C8E27893}"/>
    <cellStyle name="Currency 3 2 2 5 5" xfId="19867" xr:uid="{CFB28F51-F7AF-4E0F-840D-AE7BF696326E}"/>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D98FB013-165C-4408-9250-56D23D981401}"/>
    <cellStyle name="Currency 3 2 2 6 2 2 3" xfId="26642" xr:uid="{8B4994EA-5BA3-45A2-A3DC-6456A1B1F827}"/>
    <cellStyle name="Currency 3 2 2 6 2 3" xfId="13126" xr:uid="{22DB8880-C816-46D7-80FA-9B6A932C5FA5}"/>
    <cellStyle name="Currency 3 2 2 6 2 4" xfId="22425" xr:uid="{BDE8C53B-D684-41C7-9A5D-85BA882A8017}"/>
    <cellStyle name="Currency 3 2 2 6 3" xfId="5872" xr:uid="{00000000-0005-0000-0000-0000F60A0000}"/>
    <cellStyle name="Currency 3 2 2 6 3 2" xfId="15198" xr:uid="{5823B207-493E-4967-A367-89AAA8F08732}"/>
    <cellStyle name="Currency 3 2 2 6 3 3" xfId="24497" xr:uid="{45680690-E8DC-4734-AE40-32AC4E533022}"/>
    <cellStyle name="Currency 3 2 2 6 4" xfId="10981" xr:uid="{1F4AB826-8035-40E3-8B0E-576B143C83BB}"/>
    <cellStyle name="Currency 3 2 2 6 5" xfId="20280" xr:uid="{2609BCF3-B50B-4912-8033-EAF444311C7A}"/>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E16C8E07-20C3-4BD9-824A-508B0313F262}"/>
    <cellStyle name="Currency 3 2 2 7 2 2 3" xfId="27055" xr:uid="{476FBE58-279A-4B55-BF8F-D4157973988C}"/>
    <cellStyle name="Currency 3 2 2 7 2 3" xfId="13539" xr:uid="{5BF74EB2-191D-454F-BDE4-0D6D1BE4E29B}"/>
    <cellStyle name="Currency 3 2 2 7 2 4" xfId="22838" xr:uid="{9E246945-5733-415E-B77D-3A6BF4B66AA0}"/>
    <cellStyle name="Currency 3 2 2 7 3" xfId="6285" xr:uid="{00000000-0005-0000-0000-0000FA0A0000}"/>
    <cellStyle name="Currency 3 2 2 7 3 2" xfId="15611" xr:uid="{BF8C94CD-12CA-47FE-A128-6BA9ED510F94}"/>
    <cellStyle name="Currency 3 2 2 7 3 3" xfId="24910" xr:uid="{D760A735-5507-48F0-B50F-707DB42B02DF}"/>
    <cellStyle name="Currency 3 2 2 7 4" xfId="11394" xr:uid="{325B2C14-847F-4058-A159-E5C9B03DE62D}"/>
    <cellStyle name="Currency 3 2 2 7 5" xfId="20693" xr:uid="{F908785F-267A-4201-ABF0-F3A16AFC915D}"/>
    <cellStyle name="Currency 3 2 2 8" xfId="2414" xr:uid="{00000000-0005-0000-0000-0000FB0A0000}"/>
    <cellStyle name="Currency 3 2 2 8 2" xfId="6698" xr:uid="{00000000-0005-0000-0000-0000FC0A0000}"/>
    <cellStyle name="Currency 3 2 2 8 2 2" xfId="16024" xr:uid="{1FE4E252-4E32-4F94-8E62-44C6B993B1F3}"/>
    <cellStyle name="Currency 3 2 2 8 2 3" xfId="25323" xr:uid="{EB7E61CD-3F76-466B-B653-88ADFC8F53F7}"/>
    <cellStyle name="Currency 3 2 2 8 3" xfId="11807" xr:uid="{E1F87786-BDB5-44F6-BF70-4643D03FDACF}"/>
    <cellStyle name="Currency 3 2 2 8 4" xfId="21106" xr:uid="{23B98F88-C91B-4C51-886F-AF75268D0365}"/>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40EA0097-952A-4753-8F54-CC43227BDB39}"/>
    <cellStyle name="Currency 3 2 3 10 3" xfId="23261" xr:uid="{EEA1778A-0C27-4018-B8F5-E841B4B6B635}"/>
    <cellStyle name="Currency 3 2 3 11" xfId="8893" xr:uid="{8CE28714-D587-402C-9A17-1A08799662D4}"/>
    <cellStyle name="Currency 3 2 3 11 2" xfId="18217" xr:uid="{B5C2F20C-DF40-45BE-9754-33B7B959C93B}"/>
    <cellStyle name="Currency 3 2 3 11 3" xfId="27515" xr:uid="{EEB21268-2560-4E42-8B7C-588E9D36C0D2}"/>
    <cellStyle name="Currency 3 2 3 12" xfId="9745" xr:uid="{9772FFE2-E358-481E-9249-9F4F256C2CAF}"/>
    <cellStyle name="Currency 3 2 3 13" xfId="19044" xr:uid="{AD00C4B0-399A-4837-8923-9934E838AC23}"/>
    <cellStyle name="Currency 3 2 3 2" xfId="183" xr:uid="{00000000-0005-0000-0000-0000000B0000}"/>
    <cellStyle name="Currency 3 2 3 2 10" xfId="9100" xr:uid="{CEBE1F40-0923-46C6-AB84-DD4DAB20CD81}"/>
    <cellStyle name="Currency 3 2 3 2 10 2" xfId="18424" xr:uid="{827D7E67-5689-45B4-A1D8-DABBC6D1306E}"/>
    <cellStyle name="Currency 3 2 3 2 10 3" xfId="27722" xr:uid="{81DD2A9F-D174-4903-8865-D0674F0F92B3}"/>
    <cellStyle name="Currency 3 2 3 2 11" xfId="9746" xr:uid="{C5C5B6F6-7F9E-4C3D-9ED8-49865C07B998}"/>
    <cellStyle name="Currency 3 2 3 2 12" xfId="19045" xr:uid="{A26A07A3-F427-4A73-9701-75846AB7082A}"/>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C82D83A2-132B-4D0A-A0D7-FAB7B0FC613E}"/>
    <cellStyle name="Currency 3 2 3 2 2 2 2 3" xfId="25821" xr:uid="{EAFBB5F1-1CDD-4D85-B16F-941F68B2D4B1}"/>
    <cellStyle name="Currency 3 2 3 2 2 2 3" xfId="12305" xr:uid="{B4496010-6097-4A66-B806-969D58AE4F67}"/>
    <cellStyle name="Currency 3 2 3 2 2 2 4" xfId="21604" xr:uid="{E513BFF9-EC8B-4D55-BD00-9DA880586B06}"/>
    <cellStyle name="Currency 3 2 3 2 2 3" xfId="5051" xr:uid="{00000000-0005-0000-0000-0000040B0000}"/>
    <cellStyle name="Currency 3 2 3 2 2 3 2" xfId="14377" xr:uid="{8F2B5BE9-88A2-435A-92D6-8125E24927A1}"/>
    <cellStyle name="Currency 3 2 3 2 2 3 3" xfId="23676" xr:uid="{E8E0D66F-36D6-4113-A3F3-901571899CF1}"/>
    <cellStyle name="Currency 3 2 3 2 2 4" xfId="9525" xr:uid="{759374BA-DDD8-4F33-9655-B300986F8700}"/>
    <cellStyle name="Currency 3 2 3 2 2 4 2" xfId="18840" xr:uid="{3BDA6E9C-2337-47BE-BEFF-532F0285FC22}"/>
    <cellStyle name="Currency 3 2 3 2 2 4 3" xfId="28137" xr:uid="{5BE9EEF8-0470-4232-A51F-4C847D43CCC5}"/>
    <cellStyle name="Currency 3 2 3 2 2 5" xfId="10160" xr:uid="{AC640679-3B1B-4ABF-97ED-68A1C9C2DAF4}"/>
    <cellStyle name="Currency 3 2 3 2 2 6" xfId="19459" xr:uid="{27AD0DE4-02A2-477D-9CAE-2EA8C7429EFC}"/>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4E0339D3-CDEF-4C00-9DD7-CD3E094333E3}"/>
    <cellStyle name="Currency 3 2 3 2 3 2 2 3" xfId="26234" xr:uid="{A6BB7DBF-070D-4A48-A51B-7A7E0F5E9FF8}"/>
    <cellStyle name="Currency 3 2 3 2 3 2 3" xfId="12718" xr:uid="{318D2C94-DF9B-4978-8A00-F030C4474CBA}"/>
    <cellStyle name="Currency 3 2 3 2 3 2 4" xfId="22017" xr:uid="{668D5931-512D-43DC-AAC1-74BCAA125839}"/>
    <cellStyle name="Currency 3 2 3 2 3 3" xfId="5464" xr:uid="{00000000-0005-0000-0000-0000080B0000}"/>
    <cellStyle name="Currency 3 2 3 2 3 3 2" xfId="14790" xr:uid="{A87D1DA9-FE2F-466D-BB3F-7B233D32E3A0}"/>
    <cellStyle name="Currency 3 2 3 2 3 3 3" xfId="24089" xr:uid="{112D5C8D-E367-4FB4-892F-F531BFCAA920}"/>
    <cellStyle name="Currency 3 2 3 2 3 4" xfId="10573" xr:uid="{2D277468-9B65-4A61-9E09-0C93E82F870D}"/>
    <cellStyle name="Currency 3 2 3 2 3 5" xfId="19872" xr:uid="{25D89BE3-0AC0-4B7F-BBFF-E1221B408A83}"/>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43E474CB-100E-4C60-A6A4-E5CD5ABB94FB}"/>
    <cellStyle name="Currency 3 2 3 2 4 2 2 3" xfId="26647" xr:uid="{F5C91A0E-368C-438E-8C2A-313010DAE829}"/>
    <cellStyle name="Currency 3 2 3 2 4 2 3" xfId="13131" xr:uid="{21409764-5438-4DBF-9E31-58338BC74745}"/>
    <cellStyle name="Currency 3 2 3 2 4 2 4" xfId="22430" xr:uid="{44079DCD-65E3-4784-8DBE-8B710AAB34A0}"/>
    <cellStyle name="Currency 3 2 3 2 4 3" xfId="5877" xr:uid="{00000000-0005-0000-0000-00000C0B0000}"/>
    <cellStyle name="Currency 3 2 3 2 4 3 2" xfId="15203" xr:uid="{00D02CD1-DBFB-46E1-A0AE-9E958D80BCAF}"/>
    <cellStyle name="Currency 3 2 3 2 4 3 3" xfId="24502" xr:uid="{F7B491EB-3B69-4BD4-A5FB-25C02BAE8665}"/>
    <cellStyle name="Currency 3 2 3 2 4 4" xfId="10986" xr:uid="{815F0508-D332-43EA-9ED6-FF7CDA0B3A2E}"/>
    <cellStyle name="Currency 3 2 3 2 4 5" xfId="20285" xr:uid="{06D9386B-6B6A-4DB2-AE97-84AA1E6A6C8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F7C1B124-C4A8-42D1-BC9D-D9A0B7E19EDA}"/>
    <cellStyle name="Currency 3 2 3 2 5 2 2 3" xfId="27060" xr:uid="{F0B63CCE-BB84-4E45-9E85-1B35F0BC769C}"/>
    <cellStyle name="Currency 3 2 3 2 5 2 3" xfId="13544" xr:uid="{9FBCD232-04D9-421A-A649-07DB921380A2}"/>
    <cellStyle name="Currency 3 2 3 2 5 2 4" xfId="22843" xr:uid="{C0BA3A27-D735-44C6-B922-5B48FA9022D0}"/>
    <cellStyle name="Currency 3 2 3 2 5 3" xfId="6290" xr:uid="{00000000-0005-0000-0000-0000100B0000}"/>
    <cellStyle name="Currency 3 2 3 2 5 3 2" xfId="15616" xr:uid="{FC23FE48-1E8F-4DC7-B22B-FF7908446198}"/>
    <cellStyle name="Currency 3 2 3 2 5 3 3" xfId="24915" xr:uid="{91DDECCE-C960-4DED-B696-E1E3EDCA1EC8}"/>
    <cellStyle name="Currency 3 2 3 2 5 4" xfId="11399" xr:uid="{00C83A52-3AEE-4951-9408-DC7E43CB2D32}"/>
    <cellStyle name="Currency 3 2 3 2 5 5" xfId="20698" xr:uid="{50CB77BA-B015-4729-8DC4-DB370B52D3C3}"/>
    <cellStyle name="Currency 3 2 3 2 6" xfId="2419" xr:uid="{00000000-0005-0000-0000-0000110B0000}"/>
    <cellStyle name="Currency 3 2 3 2 6 2" xfId="6703" xr:uid="{00000000-0005-0000-0000-0000120B0000}"/>
    <cellStyle name="Currency 3 2 3 2 6 2 2" xfId="16029" xr:uid="{20DD4204-89B4-4B3A-805E-5EAA3BD22532}"/>
    <cellStyle name="Currency 3 2 3 2 6 2 3" xfId="25328" xr:uid="{57003C52-67E3-42D2-A88E-5528CF647E17}"/>
    <cellStyle name="Currency 3 2 3 2 6 3" xfId="11812" xr:uid="{B0BC0B5F-564A-40B0-B26F-82ABE23A2FC4}"/>
    <cellStyle name="Currency 3 2 3 2 6 4" xfId="21111" xr:uid="{FECDC0BF-E295-4653-838F-ADFE27606DBA}"/>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2C7EF4B6-74A2-4418-82C8-9EC870A8F38E}"/>
    <cellStyle name="Currency 3 2 3 2 8 2 3" xfId="25645" xr:uid="{B8ACBEB7-C7E6-4B74-B9D8-3A8F2F630F07}"/>
    <cellStyle name="Currency 3 2 3 2 8 3" xfId="12129" xr:uid="{E0A686F4-4B40-4944-AC78-9FE09B39607B}"/>
    <cellStyle name="Currency 3 2 3 2 8 4" xfId="21428" xr:uid="{BDDCEEFC-53DC-48E2-B6E7-3B053CADFE9C}"/>
    <cellStyle name="Currency 3 2 3 2 9" xfId="4637" xr:uid="{00000000-0005-0000-0000-0000160B0000}"/>
    <cellStyle name="Currency 3 2 3 2 9 2" xfId="13963" xr:uid="{5F8C5980-6163-4DBC-85C7-A57D654FF45A}"/>
    <cellStyle name="Currency 3 2 3 2 9 3" xfId="23262" xr:uid="{1F1483C4-5C6F-421F-B875-D48397DEF7E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44A72E9D-D054-4BE5-BFAE-64FBD3C90A8D}"/>
    <cellStyle name="Currency 3 2 3 3 2 2 3" xfId="25820" xr:uid="{942E6B75-970A-47DE-8617-05D1A3B7687C}"/>
    <cellStyle name="Currency 3 2 3 3 2 3" xfId="12304" xr:uid="{74E2ED92-18DF-4000-900B-1B53538373A4}"/>
    <cellStyle name="Currency 3 2 3 3 2 4" xfId="21603" xr:uid="{B72AA8C7-8419-4CCB-8C2A-99E8D3E30D11}"/>
    <cellStyle name="Currency 3 2 3 3 3" xfId="5050" xr:uid="{00000000-0005-0000-0000-00001A0B0000}"/>
    <cellStyle name="Currency 3 2 3 3 3 2" xfId="14376" xr:uid="{6FE0F4CC-69F2-467F-ADD6-C2A11F7FF5E8}"/>
    <cellStyle name="Currency 3 2 3 3 3 3" xfId="23675" xr:uid="{16274F05-3EDB-4673-9B76-09222361C621}"/>
    <cellStyle name="Currency 3 2 3 3 4" xfId="9318" xr:uid="{AA73873E-8E72-4FDE-A22E-F5D80E2A87B1}"/>
    <cellStyle name="Currency 3 2 3 3 4 2" xfId="18633" xr:uid="{4F5E3B0D-502E-4CDB-A2EB-311367445C8B}"/>
    <cellStyle name="Currency 3 2 3 3 4 3" xfId="27930" xr:uid="{75840B9B-5ACD-47E0-BFD4-44BA6D8A1674}"/>
    <cellStyle name="Currency 3 2 3 3 5" xfId="10159" xr:uid="{EED4F1B2-BC04-4BCB-8F39-FF7C8AEB902F}"/>
    <cellStyle name="Currency 3 2 3 3 6" xfId="19458" xr:uid="{AB9A6010-4619-4CF7-8E8E-3E36D7CC62E7}"/>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A63D0D6A-68AE-4ACC-85FD-61123F9AD68E}"/>
    <cellStyle name="Currency 3 2 3 4 2 2 3" xfId="26233" xr:uid="{BE764A86-FAA9-49C0-99BE-7682E7BED474}"/>
    <cellStyle name="Currency 3 2 3 4 2 3" xfId="12717" xr:uid="{ACF4FADE-7F9E-4FBB-B51B-E0AD02D86C0E}"/>
    <cellStyle name="Currency 3 2 3 4 2 4" xfId="22016" xr:uid="{58FC2D89-85B1-4F6A-9E79-7E0D862DE932}"/>
    <cellStyle name="Currency 3 2 3 4 3" xfId="5463" xr:uid="{00000000-0005-0000-0000-00001E0B0000}"/>
    <cellStyle name="Currency 3 2 3 4 3 2" xfId="14789" xr:uid="{E458D630-8F79-474E-A53F-09CD00F4B00B}"/>
    <cellStyle name="Currency 3 2 3 4 3 3" xfId="24088" xr:uid="{A1A7ABF6-F269-4684-98A1-0B283769874C}"/>
    <cellStyle name="Currency 3 2 3 4 4" xfId="10572" xr:uid="{1AD09E5E-CB60-45A7-8EE6-56EF1554D453}"/>
    <cellStyle name="Currency 3 2 3 4 5" xfId="19871" xr:uid="{96F58B61-8DF2-4809-86C6-9B7093635CD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0D7701B5-D234-4DE0-9F76-466D8DF5F4F9}"/>
    <cellStyle name="Currency 3 2 3 5 2 2 3" xfId="26646" xr:uid="{9E1C18A3-0FCB-4941-AE50-823E3BC59501}"/>
    <cellStyle name="Currency 3 2 3 5 2 3" xfId="13130" xr:uid="{5B5DAF93-634F-4DC7-A79F-881D547026F5}"/>
    <cellStyle name="Currency 3 2 3 5 2 4" xfId="22429" xr:uid="{1EF5EC39-D790-4911-92B1-2E8C6BBFD782}"/>
    <cellStyle name="Currency 3 2 3 5 3" xfId="5876" xr:uid="{00000000-0005-0000-0000-0000220B0000}"/>
    <cellStyle name="Currency 3 2 3 5 3 2" xfId="15202" xr:uid="{7FC0CA80-2C2F-4806-8005-7B3B234BE43F}"/>
    <cellStyle name="Currency 3 2 3 5 3 3" xfId="24501" xr:uid="{0FB1191F-A17B-4A34-B5FD-1E005F14769F}"/>
    <cellStyle name="Currency 3 2 3 5 4" xfId="10985" xr:uid="{9FA21AA7-BC80-4CCE-85FA-8053BD6B34AC}"/>
    <cellStyle name="Currency 3 2 3 5 5" xfId="20284" xr:uid="{62F1F82C-AE8D-4403-8EC0-D380A54A75D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0B108E51-D055-422A-BDA7-DDFC8A1D55C9}"/>
    <cellStyle name="Currency 3 2 3 6 2 2 3" xfId="27059" xr:uid="{7FC6210E-9D84-4C5F-A4D7-1E2FF70CDEBE}"/>
    <cellStyle name="Currency 3 2 3 6 2 3" xfId="13543" xr:uid="{4EF501BC-04A0-477E-8FC0-6034DBE7F5F3}"/>
    <cellStyle name="Currency 3 2 3 6 2 4" xfId="22842" xr:uid="{2450BD3C-0699-4269-ADD8-F5FDB35D195A}"/>
    <cellStyle name="Currency 3 2 3 6 3" xfId="6289" xr:uid="{00000000-0005-0000-0000-0000260B0000}"/>
    <cellStyle name="Currency 3 2 3 6 3 2" xfId="15615" xr:uid="{0865A3F4-0556-46CD-8E52-579BE476F153}"/>
    <cellStyle name="Currency 3 2 3 6 3 3" xfId="24914" xr:uid="{FB883671-1CDA-4F17-82F9-821ED9B080D8}"/>
    <cellStyle name="Currency 3 2 3 6 4" xfId="11398" xr:uid="{CA2A4B1F-D375-4516-8EBA-9913780CB6F3}"/>
    <cellStyle name="Currency 3 2 3 6 5" xfId="20697" xr:uid="{554BA6B7-BB34-44A3-8DB9-E0FA7C422685}"/>
    <cellStyle name="Currency 3 2 3 7" xfId="2418" xr:uid="{00000000-0005-0000-0000-0000270B0000}"/>
    <cellStyle name="Currency 3 2 3 7 2" xfId="6702" xr:uid="{00000000-0005-0000-0000-0000280B0000}"/>
    <cellStyle name="Currency 3 2 3 7 2 2" xfId="16028" xr:uid="{CCAE2BEC-BE28-4975-8901-EFCC1BE88014}"/>
    <cellStyle name="Currency 3 2 3 7 2 3" xfId="25327" xr:uid="{5224ABD3-7318-458C-854C-0E64319C5EAE}"/>
    <cellStyle name="Currency 3 2 3 7 3" xfId="11811" xr:uid="{1CA04FCA-30AE-48A7-A30A-9B9A415D4D14}"/>
    <cellStyle name="Currency 3 2 3 7 4" xfId="21110" xr:uid="{568F8CEA-3C07-457A-B20E-A6D69DDCFE8E}"/>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27E7EEFC-FB73-421F-9791-35BE89B920AA}"/>
    <cellStyle name="Currency 3 2 3 9 2 3" xfId="25644" xr:uid="{2FC052E1-7A6A-4F34-BB93-B31A9F7CB731}"/>
    <cellStyle name="Currency 3 2 3 9 3" xfId="12128" xr:uid="{2467923E-3729-4720-B788-C9477EA56967}"/>
    <cellStyle name="Currency 3 2 3 9 4" xfId="21427" xr:uid="{56A3C3CB-84CE-495C-9924-D06461A5468F}"/>
    <cellStyle name="Currency 3 2 4" xfId="184" xr:uid="{00000000-0005-0000-0000-00002C0B0000}"/>
    <cellStyle name="Currency 3 2 4 10" xfId="8997" xr:uid="{DF9FC022-A382-4135-990F-F43A472E13BA}"/>
    <cellStyle name="Currency 3 2 4 10 2" xfId="18321" xr:uid="{00C7D62A-B6EC-40AA-837D-05A88A9ADFCB}"/>
    <cellStyle name="Currency 3 2 4 10 3" xfId="27619" xr:uid="{6F829235-9471-485B-8807-983E85B69BEF}"/>
    <cellStyle name="Currency 3 2 4 11" xfId="9747" xr:uid="{31BBF8A0-B16C-45AF-8900-51AF9A179CC0}"/>
    <cellStyle name="Currency 3 2 4 12" xfId="19046" xr:uid="{1F0C187A-6FF8-4172-A4F1-872B30DBE076}"/>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2D997AF0-7B09-46B2-926C-40F0015F5D69}"/>
    <cellStyle name="Currency 3 2 4 2 2 2 3" xfId="25822" xr:uid="{A649C9A9-91D7-4F41-9BAA-66D639191117}"/>
    <cellStyle name="Currency 3 2 4 2 2 3" xfId="12306" xr:uid="{23E0A1E4-5F3C-4283-83C7-A5601E03EA00}"/>
    <cellStyle name="Currency 3 2 4 2 2 4" xfId="21605" xr:uid="{CE85F83C-B552-46CE-B314-251BF854481F}"/>
    <cellStyle name="Currency 3 2 4 2 3" xfId="5052" xr:uid="{00000000-0005-0000-0000-0000300B0000}"/>
    <cellStyle name="Currency 3 2 4 2 3 2" xfId="14378" xr:uid="{831E3D5D-F0FE-40A8-B51E-BC094380106C}"/>
    <cellStyle name="Currency 3 2 4 2 3 3" xfId="23677" xr:uid="{C642039F-F459-45C8-A0C8-2400DFCB3901}"/>
    <cellStyle name="Currency 3 2 4 2 4" xfId="9422" xr:uid="{3049B7CE-611E-437A-AD0B-2E3AA5E2E50D}"/>
    <cellStyle name="Currency 3 2 4 2 4 2" xfId="18737" xr:uid="{1AE4BEC0-63A8-49C7-85F1-181FEE47FDBB}"/>
    <cellStyle name="Currency 3 2 4 2 4 3" xfId="28034" xr:uid="{C79B2F10-9451-4B93-890C-05B5128AC95C}"/>
    <cellStyle name="Currency 3 2 4 2 5" xfId="10161" xr:uid="{7D85C701-9D9D-4752-8286-4C5A4A38EDAB}"/>
    <cellStyle name="Currency 3 2 4 2 6" xfId="19460" xr:uid="{5812DBC7-6E83-4F64-846F-033B6FADE1D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EBE8B0D2-5A85-4853-8D81-FE77F455A1CE}"/>
    <cellStyle name="Currency 3 2 4 3 2 2 3" xfId="26235" xr:uid="{C8270595-FBB5-4002-A7F6-AC1FD230A43E}"/>
    <cellStyle name="Currency 3 2 4 3 2 3" xfId="12719" xr:uid="{E8291764-C949-42AA-B5FE-2E2E824D2052}"/>
    <cellStyle name="Currency 3 2 4 3 2 4" xfId="22018" xr:uid="{BDB9AE68-4B23-44DF-ADB9-2E4A5B5FD71B}"/>
    <cellStyle name="Currency 3 2 4 3 3" xfId="5465" xr:uid="{00000000-0005-0000-0000-0000340B0000}"/>
    <cellStyle name="Currency 3 2 4 3 3 2" xfId="14791" xr:uid="{D42F59F1-C5F8-4684-9AC8-8201E047816B}"/>
    <cellStyle name="Currency 3 2 4 3 3 3" xfId="24090" xr:uid="{E41A86EA-F8ED-48F4-81C8-8A5F4A2F3A75}"/>
    <cellStyle name="Currency 3 2 4 3 4" xfId="10574" xr:uid="{B12685C8-57F5-4056-B502-1BF13DD2DB01}"/>
    <cellStyle name="Currency 3 2 4 3 5" xfId="19873" xr:uid="{30ECA8A3-E2AD-47FF-8F26-88C05815E624}"/>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348282FB-857E-4A32-A2D0-56A0A8A80FFD}"/>
    <cellStyle name="Currency 3 2 4 4 2 2 3" xfId="26648" xr:uid="{6E2FAE4D-2748-466A-A98C-AABD2D034FD1}"/>
    <cellStyle name="Currency 3 2 4 4 2 3" xfId="13132" xr:uid="{3ECBF699-6D3C-4CE5-AB73-C0453C4C5F02}"/>
    <cellStyle name="Currency 3 2 4 4 2 4" xfId="22431" xr:uid="{C4845D8B-4E63-41BF-A800-468854CBCE9B}"/>
    <cellStyle name="Currency 3 2 4 4 3" xfId="5878" xr:uid="{00000000-0005-0000-0000-0000380B0000}"/>
    <cellStyle name="Currency 3 2 4 4 3 2" xfId="15204" xr:uid="{613B983B-A64E-4CA6-9264-EC3EF7431AAD}"/>
    <cellStyle name="Currency 3 2 4 4 3 3" xfId="24503" xr:uid="{3F32FBF9-62A1-44A5-BA65-FFCAFEE7186D}"/>
    <cellStyle name="Currency 3 2 4 4 4" xfId="10987" xr:uid="{581AD1E0-8789-4E67-B6BF-46E7D86DB605}"/>
    <cellStyle name="Currency 3 2 4 4 5" xfId="20286" xr:uid="{E1EA000E-3353-46CC-93FC-F40D754FDE39}"/>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E801AD6C-90DF-4173-BDC9-B27A91DA4BED}"/>
    <cellStyle name="Currency 3 2 4 5 2 2 3" xfId="27061" xr:uid="{B482ABB3-2447-4338-A711-FB5EB80481B9}"/>
    <cellStyle name="Currency 3 2 4 5 2 3" xfId="13545" xr:uid="{24165C6E-8922-496E-AF9A-E6B5C93438F8}"/>
    <cellStyle name="Currency 3 2 4 5 2 4" xfId="22844" xr:uid="{8077BA44-4584-49C6-BCFD-FFAC166DECAA}"/>
    <cellStyle name="Currency 3 2 4 5 3" xfId="6291" xr:uid="{00000000-0005-0000-0000-00003C0B0000}"/>
    <cellStyle name="Currency 3 2 4 5 3 2" xfId="15617" xr:uid="{E361DA08-169B-4F9D-9D45-ADC433E6339B}"/>
    <cellStyle name="Currency 3 2 4 5 3 3" xfId="24916" xr:uid="{EEE9743D-0295-49C2-BEF9-779267159658}"/>
    <cellStyle name="Currency 3 2 4 5 4" xfId="11400" xr:uid="{5462FC55-CF4A-4431-870C-636304B216A4}"/>
    <cellStyle name="Currency 3 2 4 5 5" xfId="20699" xr:uid="{9E9C1067-5D17-4C52-A2FA-2422631707FE}"/>
    <cellStyle name="Currency 3 2 4 6" xfId="2420" xr:uid="{00000000-0005-0000-0000-00003D0B0000}"/>
    <cellStyle name="Currency 3 2 4 6 2" xfId="6704" xr:uid="{00000000-0005-0000-0000-00003E0B0000}"/>
    <cellStyle name="Currency 3 2 4 6 2 2" xfId="16030" xr:uid="{2DE7818D-9576-4C9E-8286-D0EAB31ABD24}"/>
    <cellStyle name="Currency 3 2 4 6 2 3" xfId="25329" xr:uid="{2109B836-9FB7-4CE0-90D7-C81030B960FE}"/>
    <cellStyle name="Currency 3 2 4 6 3" xfId="11813" xr:uid="{5387140C-7855-44AF-9615-F1739FF70DFA}"/>
    <cellStyle name="Currency 3 2 4 6 4" xfId="21112" xr:uid="{A8E1A3A9-D296-4044-8ACF-838387BB906D}"/>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210FFE94-6F40-45BF-A006-D03817ECB228}"/>
    <cellStyle name="Currency 3 2 4 8 2 3" xfId="25646" xr:uid="{65EC22EF-D191-4CB3-A8F8-5C3D2065F7BC}"/>
    <cellStyle name="Currency 3 2 4 8 3" xfId="12130" xr:uid="{95AFE6B3-9E83-474D-B092-DF5E42C14B9B}"/>
    <cellStyle name="Currency 3 2 4 8 4" xfId="21429" xr:uid="{E35E5BDE-13B7-4A35-A2DA-FCC1E8885953}"/>
    <cellStyle name="Currency 3 2 4 9" xfId="4638" xr:uid="{00000000-0005-0000-0000-0000420B0000}"/>
    <cellStyle name="Currency 3 2 4 9 2" xfId="13964" xr:uid="{E57D408D-B874-4126-98D6-3E4907757B12}"/>
    <cellStyle name="Currency 3 2 4 9 3" xfId="23263" xr:uid="{E7035496-E6BD-4A4F-92D1-385A3A12CC6A}"/>
    <cellStyle name="Currency 3 2 5" xfId="185" xr:uid="{00000000-0005-0000-0000-0000430B0000}"/>
    <cellStyle name="Currency 3 2 5 10" xfId="9214" xr:uid="{3D0A867F-0B9D-4759-A509-3EC1084E197B}"/>
    <cellStyle name="Currency 3 2 5 10 2" xfId="18530" xr:uid="{4BD4C922-39DA-4891-BE59-5A7A7DF819B3}"/>
    <cellStyle name="Currency 3 2 5 10 3" xfId="27827" xr:uid="{A2058B81-949B-47F4-890C-09C87297171E}"/>
    <cellStyle name="Currency 3 2 5 11" xfId="9748" xr:uid="{88DBC7DE-B899-4708-A120-5E51479D9ED7}"/>
    <cellStyle name="Currency 3 2 5 12" xfId="19047" xr:uid="{97B004CF-9DB4-4F68-AEDF-CA9645434227}"/>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4AED5D7D-82AD-4AFB-8047-6C272FBF8C3A}"/>
    <cellStyle name="Currency 3 2 5 2 2 2 3" xfId="25823" xr:uid="{D4685559-5653-4EBF-B5DD-97C9F8EF0040}"/>
    <cellStyle name="Currency 3 2 5 2 2 3" xfId="12307" xr:uid="{AEDCF598-CA7A-4FC5-A57A-92510C8F6CEC}"/>
    <cellStyle name="Currency 3 2 5 2 2 4" xfId="21606" xr:uid="{FC26DE0E-B1C4-4628-A05B-05705D85D87F}"/>
    <cellStyle name="Currency 3 2 5 2 3" xfId="5053" xr:uid="{00000000-0005-0000-0000-0000470B0000}"/>
    <cellStyle name="Currency 3 2 5 2 3 2" xfId="14379" xr:uid="{BB86B8D5-083A-4EA8-B1C9-57E0CCC06F48}"/>
    <cellStyle name="Currency 3 2 5 2 3 3" xfId="23678" xr:uid="{EB0895DD-D7E4-4BFA-B41F-8E4B3BC6D1B4}"/>
    <cellStyle name="Currency 3 2 5 2 4" xfId="9597" xr:uid="{6E2F978E-96E4-4AD8-B4BD-1BE9D7E96A2F}"/>
    <cellStyle name="Currency 3 2 5 2 4 2" xfId="18901" xr:uid="{F1A4B8A0-EFB8-4E1C-8053-674F7A196352}"/>
    <cellStyle name="Currency 3 2 5 2 4 3" xfId="28198" xr:uid="{6C243D60-F9D6-4508-B6A4-5F7FCDE6F37C}"/>
    <cellStyle name="Currency 3 2 5 2 5" xfId="10162" xr:uid="{416C8032-F047-4A2A-9CAD-E380B5ED400C}"/>
    <cellStyle name="Currency 3 2 5 2 6" xfId="19461" xr:uid="{0ED8D7D4-7670-4A6F-8ACA-827E8E6A348B}"/>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C7E7ABDA-2DB3-48A0-AA82-412F11F0E366}"/>
    <cellStyle name="Currency 3 2 5 3 2 2 3" xfId="26236" xr:uid="{AA14D7C6-072C-4F0A-8EFE-4145FCDF7C8B}"/>
    <cellStyle name="Currency 3 2 5 3 2 3" xfId="12720" xr:uid="{A980DC3E-C7AF-4B0B-9B45-9849541FD2D7}"/>
    <cellStyle name="Currency 3 2 5 3 2 4" xfId="22019" xr:uid="{F96D4CC4-19B4-472E-8447-88C8DB6C127F}"/>
    <cellStyle name="Currency 3 2 5 3 3" xfId="5466" xr:uid="{00000000-0005-0000-0000-00004B0B0000}"/>
    <cellStyle name="Currency 3 2 5 3 3 2" xfId="14792" xr:uid="{E7D86E0F-9B48-416E-BB1A-605BFAC4C1D3}"/>
    <cellStyle name="Currency 3 2 5 3 3 3" xfId="24091" xr:uid="{88FBBF6E-46AD-440B-A0BA-85BAE2D80371}"/>
    <cellStyle name="Currency 3 2 5 3 4" xfId="10575" xr:uid="{4C9B8EED-ED67-4869-AD85-11758EA75B22}"/>
    <cellStyle name="Currency 3 2 5 3 5" xfId="19874" xr:uid="{55C70BD9-D7EB-43E5-A211-A6D68DD9CD6D}"/>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CCAFDDA3-1681-40F7-8681-8E2E21811AA9}"/>
    <cellStyle name="Currency 3 2 5 4 2 2 3" xfId="26649" xr:uid="{FFC1FE6A-9F80-4B55-9051-C5994E5B2B7F}"/>
    <cellStyle name="Currency 3 2 5 4 2 3" xfId="13133" xr:uid="{7087916D-2ABF-4D0E-AB94-18FCA6AD4B02}"/>
    <cellStyle name="Currency 3 2 5 4 2 4" xfId="22432" xr:uid="{B7FAF342-C8DE-4C0B-8E88-739D57E91D74}"/>
    <cellStyle name="Currency 3 2 5 4 3" xfId="5879" xr:uid="{00000000-0005-0000-0000-00004F0B0000}"/>
    <cellStyle name="Currency 3 2 5 4 3 2" xfId="15205" xr:uid="{D53F276F-0BCE-419E-BBFF-9BA6D3D90085}"/>
    <cellStyle name="Currency 3 2 5 4 3 3" xfId="24504" xr:uid="{5821B418-B4A4-4F47-A0CB-DEAE4B213732}"/>
    <cellStyle name="Currency 3 2 5 4 4" xfId="10988" xr:uid="{D8F30639-D736-4B81-989E-09B9132BA5A6}"/>
    <cellStyle name="Currency 3 2 5 4 5" xfId="20287" xr:uid="{E308F7C7-7694-4278-ABAA-025E425EBCC7}"/>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BC2C26CB-139E-4D08-8B9B-0DCF31CC861B}"/>
    <cellStyle name="Currency 3 2 5 5 2 2 3" xfId="27062" xr:uid="{7B1D767F-7E7A-4E4A-9474-A9D8744F6D5D}"/>
    <cellStyle name="Currency 3 2 5 5 2 3" xfId="13546" xr:uid="{6D10B2C3-2DD8-41F7-AF60-710C8A1AAB8F}"/>
    <cellStyle name="Currency 3 2 5 5 2 4" xfId="22845" xr:uid="{09EC0363-BBCD-4973-A871-A76770AB2CDA}"/>
    <cellStyle name="Currency 3 2 5 5 3" xfId="6292" xr:uid="{00000000-0005-0000-0000-0000530B0000}"/>
    <cellStyle name="Currency 3 2 5 5 3 2" xfId="15618" xr:uid="{33F464EC-CEDD-487A-9BFC-B6242CFB68EF}"/>
    <cellStyle name="Currency 3 2 5 5 3 3" xfId="24917" xr:uid="{209A14DA-41B9-4C3C-880F-182728294B35}"/>
    <cellStyle name="Currency 3 2 5 5 4" xfId="11401" xr:uid="{6D39834D-8D5D-461B-863A-21E959AC8A88}"/>
    <cellStyle name="Currency 3 2 5 5 5" xfId="20700" xr:uid="{F4F7866A-B660-4030-8CDC-9223E2D1BDB9}"/>
    <cellStyle name="Currency 3 2 5 6" xfId="2421" xr:uid="{00000000-0005-0000-0000-0000540B0000}"/>
    <cellStyle name="Currency 3 2 5 6 2" xfId="6705" xr:uid="{00000000-0005-0000-0000-0000550B0000}"/>
    <cellStyle name="Currency 3 2 5 6 2 2" xfId="16031" xr:uid="{FD0BC615-4452-4B36-BC29-F0A6014CD587}"/>
    <cellStyle name="Currency 3 2 5 6 2 3" xfId="25330" xr:uid="{9F1C100E-2B9F-41A6-B0A8-F72356236E90}"/>
    <cellStyle name="Currency 3 2 5 6 3" xfId="11814" xr:uid="{4C9728B1-11E1-422A-96E5-2BC17F5FEBE9}"/>
    <cellStyle name="Currency 3 2 5 6 4" xfId="21113" xr:uid="{A4807F6D-74CD-44E7-BE8F-19482BA50E49}"/>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071FB0B2-DEE3-429F-8361-A9D0742537FF}"/>
    <cellStyle name="Currency 3 2 5 8 2 3" xfId="25647" xr:uid="{63927FBC-53E5-4061-9C67-315E30990BAA}"/>
    <cellStyle name="Currency 3 2 5 8 3" xfId="12131" xr:uid="{AA3952AE-19E6-4299-9D5E-10464F7C57AC}"/>
    <cellStyle name="Currency 3 2 5 8 4" xfId="21430" xr:uid="{FEDB4F58-8EEC-4075-9E99-F1FF3E5B19D6}"/>
    <cellStyle name="Currency 3 2 5 9" xfId="4639" xr:uid="{00000000-0005-0000-0000-0000590B0000}"/>
    <cellStyle name="Currency 3 2 5 9 2" xfId="13965" xr:uid="{89DA5B13-DB38-4953-98D8-1E0710F837C9}"/>
    <cellStyle name="Currency 3 2 5 9 3" xfId="23264" xr:uid="{B8F36965-3A56-490D-9553-CF6DE2FFD775}"/>
    <cellStyle name="Currency 3 2 6" xfId="9583" xr:uid="{653EC571-6DFB-4D44-8156-8097E74D2DD4}"/>
    <cellStyle name="Currency 3 2 7" xfId="8790" xr:uid="{4F16186C-C154-4E9A-B12A-0E13D64C3701}"/>
    <cellStyle name="Currency 3 2 7 2" xfId="18114" xr:uid="{C6DE09A8-1937-492C-9319-1FA469943B11}"/>
    <cellStyle name="Currency 3 2 7 3" xfId="27412" xr:uid="{33B89139-266A-4693-9661-6ADE2C38CE2E}"/>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3AD37AF8-2F80-456B-93E5-F2CF8253F856}"/>
    <cellStyle name="Currency 5 2 2 2 10 2 3" xfId="25648" xr:uid="{FD588F13-C519-4064-9A09-B6A94ACC1D1D}"/>
    <cellStyle name="Currency 5 2 2 2 10 3" xfId="12132" xr:uid="{F1B1B1E0-C4C7-4D1A-B6AA-C73F70ACCFDB}"/>
    <cellStyle name="Currency 5 2 2 2 10 4" xfId="21431" xr:uid="{4EB1EA31-B5F5-447C-A918-DFF2DC062F74}"/>
    <cellStyle name="Currency 5 2 2 2 11" xfId="4640" xr:uid="{00000000-0005-0000-0000-00006C0B0000}"/>
    <cellStyle name="Currency 5 2 2 2 11 2" xfId="13966" xr:uid="{51CD169A-C461-40EB-A9DC-147965544143}"/>
    <cellStyle name="Currency 5 2 2 2 11 3" xfId="23265" xr:uid="{E8EB9BDC-08C4-4FB8-BAB7-69DD558D139C}"/>
    <cellStyle name="Currency 5 2 2 2 12" xfId="8809" xr:uid="{6E2B58BA-BC61-49BF-A0FE-5BC79A050654}"/>
    <cellStyle name="Currency 5 2 2 2 12 2" xfId="18133" xr:uid="{442C8AE9-6168-4C43-95F0-C46586E4A2B6}"/>
    <cellStyle name="Currency 5 2 2 2 12 3" xfId="27431" xr:uid="{A123DC4B-625F-460B-96ED-E61F543D64E4}"/>
    <cellStyle name="Currency 5 2 2 2 13" xfId="9749" xr:uid="{488470E7-C5D9-4E2B-A2FC-58D776842A13}"/>
    <cellStyle name="Currency 5 2 2 2 14" xfId="19048" xr:uid="{BFDE1C85-15CC-4E12-99D9-57E5DBFB2DD2}"/>
    <cellStyle name="Currency 5 2 2 2 2" xfId="197" xr:uid="{00000000-0005-0000-0000-00006D0B0000}"/>
    <cellStyle name="Currency 5 2 2 2 2 10" xfId="4641" xr:uid="{00000000-0005-0000-0000-00006E0B0000}"/>
    <cellStyle name="Currency 5 2 2 2 2 10 2" xfId="13967" xr:uid="{863C499A-6FD6-40C2-BD7E-DD217FF36392}"/>
    <cellStyle name="Currency 5 2 2 2 2 10 3" xfId="23266" xr:uid="{A40FAD47-98DF-4392-A6E9-035EABC70E55}"/>
    <cellStyle name="Currency 5 2 2 2 2 11" xfId="8912" xr:uid="{4079D27E-F98B-4445-AE20-FFD848158756}"/>
    <cellStyle name="Currency 5 2 2 2 2 11 2" xfId="18236" xr:uid="{A9DE346F-BEB7-4C53-BC25-E8CD6A8AD965}"/>
    <cellStyle name="Currency 5 2 2 2 2 11 3" xfId="27534" xr:uid="{D6FFB7C1-7E08-4DC9-A35A-DE213780496E}"/>
    <cellStyle name="Currency 5 2 2 2 2 12" xfId="9750" xr:uid="{AB497C90-74F4-47B7-841A-7DFFEAE96115}"/>
    <cellStyle name="Currency 5 2 2 2 2 13" xfId="19049" xr:uid="{362F6C4C-0906-454D-84FE-663C1534AE9F}"/>
    <cellStyle name="Currency 5 2 2 2 2 2" xfId="198" xr:uid="{00000000-0005-0000-0000-00006F0B0000}"/>
    <cellStyle name="Currency 5 2 2 2 2 2 10" xfId="9119" xr:uid="{2B97CFE9-E9FD-476D-A341-C695293642F3}"/>
    <cellStyle name="Currency 5 2 2 2 2 2 10 2" xfId="18443" xr:uid="{5A7878C6-3507-4090-A8C6-58F599C79767}"/>
    <cellStyle name="Currency 5 2 2 2 2 2 10 3" xfId="27741" xr:uid="{4F36049B-6DC2-4195-B44F-E298ACF947B1}"/>
    <cellStyle name="Currency 5 2 2 2 2 2 11" xfId="9751" xr:uid="{00BC1CA2-6C74-42E4-9269-126CDFF7CEE4}"/>
    <cellStyle name="Currency 5 2 2 2 2 2 12" xfId="19050" xr:uid="{12EE7AB7-7927-4A1A-9B98-6B6C9910AC26}"/>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01A73FFC-A05F-4542-899D-E05B3F682CC1}"/>
    <cellStyle name="Currency 5 2 2 2 2 2 2 2 2 3" xfId="25826" xr:uid="{58879BC0-29E9-47C7-A158-BCB630062452}"/>
    <cellStyle name="Currency 5 2 2 2 2 2 2 2 3" xfId="12310" xr:uid="{CC4EA9D1-C268-4E0A-8D1C-1D675B8A0A72}"/>
    <cellStyle name="Currency 5 2 2 2 2 2 2 2 4" xfId="21609" xr:uid="{A6EC0DCA-8482-4A6E-9AD6-D21E8D650890}"/>
    <cellStyle name="Currency 5 2 2 2 2 2 2 3" xfId="5056" xr:uid="{00000000-0005-0000-0000-0000730B0000}"/>
    <cellStyle name="Currency 5 2 2 2 2 2 2 3 2" xfId="14382" xr:uid="{593FB985-0BCC-4AE8-9E25-7ECB97AAA8D9}"/>
    <cellStyle name="Currency 5 2 2 2 2 2 2 3 3" xfId="23681" xr:uid="{43CB1775-16EE-46C7-B2A3-65CD2172308C}"/>
    <cellStyle name="Currency 5 2 2 2 2 2 2 4" xfId="9544" xr:uid="{77881B28-843C-4677-B92C-D2A5804BDB97}"/>
    <cellStyle name="Currency 5 2 2 2 2 2 2 4 2" xfId="18859" xr:uid="{E4035BA0-B123-4EE3-BA83-A6B851C70A43}"/>
    <cellStyle name="Currency 5 2 2 2 2 2 2 4 3" xfId="28156" xr:uid="{1844F544-1716-4561-86D5-5CE8BA8676C1}"/>
    <cellStyle name="Currency 5 2 2 2 2 2 2 5" xfId="10165" xr:uid="{DB53D010-DAFB-42DC-84F9-BDB352500CF5}"/>
    <cellStyle name="Currency 5 2 2 2 2 2 2 6" xfId="19464" xr:uid="{0E5349D7-2206-4F2C-B0F6-B31F3F13AB5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11F22152-D6F1-44F6-B000-AA88AC370602}"/>
    <cellStyle name="Currency 5 2 2 2 2 2 3 2 2 3" xfId="26239" xr:uid="{A1DA837B-B7B8-4501-93FA-4CB9AAF60890}"/>
    <cellStyle name="Currency 5 2 2 2 2 2 3 2 3" xfId="12723" xr:uid="{56AC1491-F318-4E10-A618-3A4284BD0ABC}"/>
    <cellStyle name="Currency 5 2 2 2 2 2 3 2 4" xfId="22022" xr:uid="{EF3A31E4-5DEE-4AA9-826B-66628686F39F}"/>
    <cellStyle name="Currency 5 2 2 2 2 2 3 3" xfId="5469" xr:uid="{00000000-0005-0000-0000-0000770B0000}"/>
    <cellStyle name="Currency 5 2 2 2 2 2 3 3 2" xfId="14795" xr:uid="{0429EAAB-C3B7-486A-A1BE-C850D3210686}"/>
    <cellStyle name="Currency 5 2 2 2 2 2 3 3 3" xfId="24094" xr:uid="{690F70AE-1D20-4C32-B8C6-FBC58D601366}"/>
    <cellStyle name="Currency 5 2 2 2 2 2 3 4" xfId="10578" xr:uid="{D92C98C6-0192-4654-A9DF-7EEB32AA1BD5}"/>
    <cellStyle name="Currency 5 2 2 2 2 2 3 5" xfId="19877" xr:uid="{7D7B96D9-28FC-442C-A637-43F5BA45754A}"/>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DFDB8A7B-4C64-4DF8-B9D5-4FEED062FAFD}"/>
    <cellStyle name="Currency 5 2 2 2 2 2 4 2 2 3" xfId="26652" xr:uid="{3484E8B8-9D6B-495C-8630-ED564CF21D1C}"/>
    <cellStyle name="Currency 5 2 2 2 2 2 4 2 3" xfId="13136" xr:uid="{6452E53F-3B4C-4120-BA98-65FED0915021}"/>
    <cellStyle name="Currency 5 2 2 2 2 2 4 2 4" xfId="22435" xr:uid="{79BEB450-6417-481F-A0F0-9C72883BE658}"/>
    <cellStyle name="Currency 5 2 2 2 2 2 4 3" xfId="5882" xr:uid="{00000000-0005-0000-0000-00007B0B0000}"/>
    <cellStyle name="Currency 5 2 2 2 2 2 4 3 2" xfId="15208" xr:uid="{ECCBB272-7BB4-4EFD-B57C-101FE9EF4484}"/>
    <cellStyle name="Currency 5 2 2 2 2 2 4 3 3" xfId="24507" xr:uid="{81485ED4-720C-4F63-9050-09903FBDA0B1}"/>
    <cellStyle name="Currency 5 2 2 2 2 2 4 4" xfId="10991" xr:uid="{C697FB6D-5C37-4453-B52C-A73A0E09D2B0}"/>
    <cellStyle name="Currency 5 2 2 2 2 2 4 5" xfId="20290" xr:uid="{64CC57BE-64B7-40BD-A099-B533F18A020C}"/>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300E21A1-672E-44B5-93B8-87E1A8BC3693}"/>
    <cellStyle name="Currency 5 2 2 2 2 2 5 2 2 3" xfId="27065" xr:uid="{B500762E-90F8-4825-A3A0-3F233840C28C}"/>
    <cellStyle name="Currency 5 2 2 2 2 2 5 2 3" xfId="13549" xr:uid="{F1446900-DC2D-43A8-AE68-8BAC8A2359E4}"/>
    <cellStyle name="Currency 5 2 2 2 2 2 5 2 4" xfId="22848" xr:uid="{0EED1E66-C8FF-4588-9F8C-0045FFE05746}"/>
    <cellStyle name="Currency 5 2 2 2 2 2 5 3" xfId="6295" xr:uid="{00000000-0005-0000-0000-00007F0B0000}"/>
    <cellStyle name="Currency 5 2 2 2 2 2 5 3 2" xfId="15621" xr:uid="{2AD1F751-6C9E-45E5-8562-208F85E0EFAC}"/>
    <cellStyle name="Currency 5 2 2 2 2 2 5 3 3" xfId="24920" xr:uid="{CC59F544-F906-4AF7-B007-DED4C06CC5D4}"/>
    <cellStyle name="Currency 5 2 2 2 2 2 5 4" xfId="11404" xr:uid="{BF881387-983B-4E50-B452-52649ED77645}"/>
    <cellStyle name="Currency 5 2 2 2 2 2 5 5" xfId="20703" xr:uid="{8BF7A772-B32E-47B2-B528-220C6211FCCC}"/>
    <cellStyle name="Currency 5 2 2 2 2 2 6" xfId="2424" xr:uid="{00000000-0005-0000-0000-0000800B0000}"/>
    <cellStyle name="Currency 5 2 2 2 2 2 6 2" xfId="6708" xr:uid="{00000000-0005-0000-0000-0000810B0000}"/>
    <cellStyle name="Currency 5 2 2 2 2 2 6 2 2" xfId="16034" xr:uid="{FCFD8703-95D4-42E6-AF66-C3E5A91FB3E3}"/>
    <cellStyle name="Currency 5 2 2 2 2 2 6 2 3" xfId="25333" xr:uid="{F45C0E1D-0490-48BB-A6C8-649E9292DDC7}"/>
    <cellStyle name="Currency 5 2 2 2 2 2 6 3" xfId="11817" xr:uid="{26BE53B9-4A4B-42BA-967B-32E16AD1BA94}"/>
    <cellStyle name="Currency 5 2 2 2 2 2 6 4" xfId="21116" xr:uid="{56B7B693-648C-4D26-9C60-AA92B96573A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CCBA958F-D50B-4170-9395-178DDC6E7916}"/>
    <cellStyle name="Currency 5 2 2 2 2 2 8 2 3" xfId="25650" xr:uid="{F98A078D-F31E-42B7-AE95-D0A171ED7BF9}"/>
    <cellStyle name="Currency 5 2 2 2 2 2 8 3" xfId="12134" xr:uid="{54C982BD-6CA1-4E96-96ED-B935AC14B3CF}"/>
    <cellStyle name="Currency 5 2 2 2 2 2 8 4" xfId="21433" xr:uid="{E96488DE-6AED-496C-B244-46BF2009D8E9}"/>
    <cellStyle name="Currency 5 2 2 2 2 2 9" xfId="4642" xr:uid="{00000000-0005-0000-0000-0000850B0000}"/>
    <cellStyle name="Currency 5 2 2 2 2 2 9 2" xfId="13968" xr:uid="{702499CB-E810-499A-9B5D-8D7EB34BF005}"/>
    <cellStyle name="Currency 5 2 2 2 2 2 9 3" xfId="23267" xr:uid="{1B8A9E5F-080E-4EDC-980D-FA889576D17F}"/>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06884E5A-8877-4E94-BD83-D0A1CF018EE6}"/>
    <cellStyle name="Currency 5 2 2 2 2 3 2 2 3" xfId="25825" xr:uid="{F5CBA87F-D56B-482E-BF94-2634344FCF02}"/>
    <cellStyle name="Currency 5 2 2 2 2 3 2 3" xfId="12309" xr:uid="{2D77587D-0412-4D90-83BF-53AA76C8EA67}"/>
    <cellStyle name="Currency 5 2 2 2 2 3 2 4" xfId="21608" xr:uid="{1994D7E6-E088-4CE1-AE14-89031B6C4E4D}"/>
    <cellStyle name="Currency 5 2 2 2 2 3 3" xfId="5055" xr:uid="{00000000-0005-0000-0000-0000890B0000}"/>
    <cellStyle name="Currency 5 2 2 2 2 3 3 2" xfId="14381" xr:uid="{42929202-F2D1-4AC3-BD2F-02833FE5C2A0}"/>
    <cellStyle name="Currency 5 2 2 2 2 3 3 3" xfId="23680" xr:uid="{A97FECE8-22A0-47D7-9FD1-8F9FCBBC220F}"/>
    <cellStyle name="Currency 5 2 2 2 2 3 4" xfId="9337" xr:uid="{A1FF44B9-A8E0-4A4E-9BE9-DA7FD7E326AE}"/>
    <cellStyle name="Currency 5 2 2 2 2 3 4 2" xfId="18652" xr:uid="{D1C3D5F9-2A2B-4D91-B73D-3C880774348A}"/>
    <cellStyle name="Currency 5 2 2 2 2 3 4 3" xfId="27949" xr:uid="{C42CF126-92E1-4835-A830-C4D07938E15E}"/>
    <cellStyle name="Currency 5 2 2 2 2 3 5" xfId="10164" xr:uid="{1E629289-7443-43B4-8D76-67AD1FF1F3B2}"/>
    <cellStyle name="Currency 5 2 2 2 2 3 6" xfId="19463" xr:uid="{5C002C11-936E-4313-954D-D19C370B0081}"/>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74557206-7897-420F-97F6-E3A28392484B}"/>
    <cellStyle name="Currency 5 2 2 2 2 4 2 2 3" xfId="26238" xr:uid="{DCF83DDD-5181-41A4-A3F1-1C32EBD11B86}"/>
    <cellStyle name="Currency 5 2 2 2 2 4 2 3" xfId="12722" xr:uid="{F79BDEC1-2B44-412D-BBC2-63167CAAB21C}"/>
    <cellStyle name="Currency 5 2 2 2 2 4 2 4" xfId="22021" xr:uid="{2F0DF5D1-B457-4059-959D-16F9D020842D}"/>
    <cellStyle name="Currency 5 2 2 2 2 4 3" xfId="5468" xr:uid="{00000000-0005-0000-0000-00008D0B0000}"/>
    <cellStyle name="Currency 5 2 2 2 2 4 3 2" xfId="14794" xr:uid="{D2EFB623-6557-41F4-A7C5-160B26B5BA05}"/>
    <cellStyle name="Currency 5 2 2 2 2 4 3 3" xfId="24093" xr:uid="{44436F02-6A7B-4708-A9FC-F99E73375D28}"/>
    <cellStyle name="Currency 5 2 2 2 2 4 4" xfId="10577" xr:uid="{58C4E0A1-77FF-4145-A726-522651DCD9F4}"/>
    <cellStyle name="Currency 5 2 2 2 2 4 5" xfId="19876" xr:uid="{89C25740-A1BF-463B-AD8A-D825F71BF70B}"/>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8107C6F7-0032-43C1-93E4-E359FBB69DA6}"/>
    <cellStyle name="Currency 5 2 2 2 2 5 2 2 3" xfId="26651" xr:uid="{489A4549-85D6-49C5-852D-AD45021A5A7A}"/>
    <cellStyle name="Currency 5 2 2 2 2 5 2 3" xfId="13135" xr:uid="{A6B531C7-5B00-43E6-B744-CA5023B70E0D}"/>
    <cellStyle name="Currency 5 2 2 2 2 5 2 4" xfId="22434" xr:uid="{D5B169DB-33CC-496D-9EE5-456757ACA6FD}"/>
    <cellStyle name="Currency 5 2 2 2 2 5 3" xfId="5881" xr:uid="{00000000-0005-0000-0000-0000910B0000}"/>
    <cellStyle name="Currency 5 2 2 2 2 5 3 2" xfId="15207" xr:uid="{F8741C1F-5534-4AA6-9A09-BEEB0C22A8A1}"/>
    <cellStyle name="Currency 5 2 2 2 2 5 3 3" xfId="24506" xr:uid="{EDCF4BBD-CE1D-464E-A06F-0FB44C1C6418}"/>
    <cellStyle name="Currency 5 2 2 2 2 5 4" xfId="10990" xr:uid="{5224A218-F1FF-4BF6-8827-6AD180587733}"/>
    <cellStyle name="Currency 5 2 2 2 2 5 5" xfId="20289" xr:uid="{9E3FD168-6889-493E-95FB-E3576D5CE0C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71A88241-156C-4B3F-9B92-ACCF6816B9C2}"/>
    <cellStyle name="Currency 5 2 2 2 2 6 2 2 3" xfId="27064" xr:uid="{537DE596-C225-4E38-92FE-1BB2E5C7EFDA}"/>
    <cellStyle name="Currency 5 2 2 2 2 6 2 3" xfId="13548" xr:uid="{234B2410-A39F-47D4-A770-A3B253A34277}"/>
    <cellStyle name="Currency 5 2 2 2 2 6 2 4" xfId="22847" xr:uid="{4FA9EF4C-C58C-4EC4-983E-A1DF5EAC3CB0}"/>
    <cellStyle name="Currency 5 2 2 2 2 6 3" xfId="6294" xr:uid="{00000000-0005-0000-0000-0000950B0000}"/>
    <cellStyle name="Currency 5 2 2 2 2 6 3 2" xfId="15620" xr:uid="{59955715-7CE0-4B0D-BE4D-9C1DA251D164}"/>
    <cellStyle name="Currency 5 2 2 2 2 6 3 3" xfId="24919" xr:uid="{7E42117F-0E8E-47C7-9BC6-4F4BC338CE69}"/>
    <cellStyle name="Currency 5 2 2 2 2 6 4" xfId="11403" xr:uid="{D9C44240-0241-4D46-ADD2-8A6BB2B5178E}"/>
    <cellStyle name="Currency 5 2 2 2 2 6 5" xfId="20702" xr:uid="{0F2D91B5-9137-460E-A4BA-872F265D9792}"/>
    <cellStyle name="Currency 5 2 2 2 2 7" xfId="2423" xr:uid="{00000000-0005-0000-0000-0000960B0000}"/>
    <cellStyle name="Currency 5 2 2 2 2 7 2" xfId="6707" xr:uid="{00000000-0005-0000-0000-0000970B0000}"/>
    <cellStyle name="Currency 5 2 2 2 2 7 2 2" xfId="16033" xr:uid="{562EEAA4-CA25-46CD-983D-39CCA060670C}"/>
    <cellStyle name="Currency 5 2 2 2 2 7 2 3" xfId="25332" xr:uid="{72E6D3D7-B34F-407B-AA97-EFE9A8B5F916}"/>
    <cellStyle name="Currency 5 2 2 2 2 7 3" xfId="11816" xr:uid="{2A760C10-F393-4069-B515-DCFF95FED2E6}"/>
    <cellStyle name="Currency 5 2 2 2 2 7 4" xfId="21115" xr:uid="{9E9E4C3A-9B68-4567-AE1C-7DBAF25FB3C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74B4AAC0-DEA8-4E11-B208-CBD64B45B04C}"/>
    <cellStyle name="Currency 5 2 2 2 2 9 2 3" xfId="25649" xr:uid="{7DF8C723-652A-48E4-BD15-7F286261BD12}"/>
    <cellStyle name="Currency 5 2 2 2 2 9 3" xfId="12133" xr:uid="{F925686C-92C5-443C-923B-51D785FEF727}"/>
    <cellStyle name="Currency 5 2 2 2 2 9 4" xfId="21432" xr:uid="{CBC397D9-C3A6-443E-B8AA-7E0DD2AF4C94}"/>
    <cellStyle name="Currency 5 2 2 2 3" xfId="199" xr:uid="{00000000-0005-0000-0000-00009B0B0000}"/>
    <cellStyle name="Currency 5 2 2 2 3 10" xfId="9016" xr:uid="{706F9706-E49D-4995-B402-A842C879DBC8}"/>
    <cellStyle name="Currency 5 2 2 2 3 10 2" xfId="18340" xr:uid="{5FAEC5DB-E046-40C9-B0CA-DE0CC7ED3C4A}"/>
    <cellStyle name="Currency 5 2 2 2 3 10 3" xfId="27638" xr:uid="{F5F2AC66-2230-457E-B7C7-727B8A23A29D}"/>
    <cellStyle name="Currency 5 2 2 2 3 11" xfId="9752" xr:uid="{8D6EEBDF-C42D-413A-AB7A-59F4BA8082CA}"/>
    <cellStyle name="Currency 5 2 2 2 3 12" xfId="19051" xr:uid="{8A0357DA-114A-4D1C-937D-B42BFA228342}"/>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0621B6E8-21D8-44CC-9831-1897B4702F4E}"/>
    <cellStyle name="Currency 5 2 2 2 3 2 2 2 3" xfId="25827" xr:uid="{BAD0BA2C-2321-4B5D-AF75-A2E01BA990C4}"/>
    <cellStyle name="Currency 5 2 2 2 3 2 2 3" xfId="12311" xr:uid="{BBDC505E-EE46-4D12-8B5B-8B49AD8EC4CE}"/>
    <cellStyle name="Currency 5 2 2 2 3 2 2 4" xfId="21610" xr:uid="{5339D0FB-AFEB-484E-B44F-DCBE9EDBE18C}"/>
    <cellStyle name="Currency 5 2 2 2 3 2 3" xfId="5057" xr:uid="{00000000-0005-0000-0000-00009F0B0000}"/>
    <cellStyle name="Currency 5 2 2 2 3 2 3 2" xfId="14383" xr:uid="{F695EB8D-BAE9-4D33-861E-DBC27DB78D5A}"/>
    <cellStyle name="Currency 5 2 2 2 3 2 3 3" xfId="23682" xr:uid="{FE2A1845-14EF-4A28-AEF0-3424E15B0A9E}"/>
    <cellStyle name="Currency 5 2 2 2 3 2 4" xfId="9441" xr:uid="{B7048274-E02F-4E6A-9C9A-FAD4299F19B1}"/>
    <cellStyle name="Currency 5 2 2 2 3 2 4 2" xfId="18756" xr:uid="{51024BC0-C7A7-46E1-B875-ED0D16B7569B}"/>
    <cellStyle name="Currency 5 2 2 2 3 2 4 3" xfId="28053" xr:uid="{44E62DF2-C393-4D2D-845B-7C29DDD82460}"/>
    <cellStyle name="Currency 5 2 2 2 3 2 5" xfId="10166" xr:uid="{33B4DB83-E7B8-476F-947A-EEA6F7538AB8}"/>
    <cellStyle name="Currency 5 2 2 2 3 2 6" xfId="19465" xr:uid="{B5A1FE09-76D0-4896-969F-0F1D50A66F72}"/>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E60B72A8-0E0F-4A27-AB3C-CECF8366BF02}"/>
    <cellStyle name="Currency 5 2 2 2 3 3 2 2 3" xfId="26240" xr:uid="{627A9B56-E824-4BAB-B264-6F37B0C72E51}"/>
    <cellStyle name="Currency 5 2 2 2 3 3 2 3" xfId="12724" xr:uid="{EED86AF0-E730-47DA-9473-7FD8439E9A20}"/>
    <cellStyle name="Currency 5 2 2 2 3 3 2 4" xfId="22023" xr:uid="{1FD556B4-A38F-4DC1-8AFB-F65BC605AA08}"/>
    <cellStyle name="Currency 5 2 2 2 3 3 3" xfId="5470" xr:uid="{00000000-0005-0000-0000-0000A30B0000}"/>
    <cellStyle name="Currency 5 2 2 2 3 3 3 2" xfId="14796" xr:uid="{5256CBE8-C40A-4DDF-BD81-03094ED39016}"/>
    <cellStyle name="Currency 5 2 2 2 3 3 3 3" xfId="24095" xr:uid="{592CE2C3-18BD-4998-A856-68CCEABB2A07}"/>
    <cellStyle name="Currency 5 2 2 2 3 3 4" xfId="10579" xr:uid="{4D8AE43A-6B54-4EB7-9A62-2C2EE9971289}"/>
    <cellStyle name="Currency 5 2 2 2 3 3 5" xfId="19878" xr:uid="{EB451B8C-9709-46FC-A11D-8C06B49DC7C7}"/>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EE8F384D-DD0E-4C21-831E-5C507FAFC2CD}"/>
    <cellStyle name="Currency 5 2 2 2 3 4 2 2 3" xfId="26653" xr:uid="{67ADEF48-C923-46AA-AEA2-F93C885E7A0E}"/>
    <cellStyle name="Currency 5 2 2 2 3 4 2 3" xfId="13137" xr:uid="{7B3EFA5E-0CC2-443A-B0CD-DDA2B4282DB0}"/>
    <cellStyle name="Currency 5 2 2 2 3 4 2 4" xfId="22436" xr:uid="{46C4B194-D891-4789-B796-1A27B02B84BE}"/>
    <cellStyle name="Currency 5 2 2 2 3 4 3" xfId="5883" xr:uid="{00000000-0005-0000-0000-0000A70B0000}"/>
    <cellStyle name="Currency 5 2 2 2 3 4 3 2" xfId="15209" xr:uid="{2A89AB91-E529-43EE-96AF-C40699525918}"/>
    <cellStyle name="Currency 5 2 2 2 3 4 3 3" xfId="24508" xr:uid="{C2C4D1D5-328A-446F-8DDC-A629BD12DEE2}"/>
    <cellStyle name="Currency 5 2 2 2 3 4 4" xfId="10992" xr:uid="{4C80A48F-A6A9-4B62-A71B-A1611D5C10BE}"/>
    <cellStyle name="Currency 5 2 2 2 3 4 5" xfId="20291" xr:uid="{859F86B1-8C81-4685-AB95-328775558BEA}"/>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F2BB1707-034D-4455-A752-DC67345316DC}"/>
    <cellStyle name="Currency 5 2 2 2 3 5 2 2 3" xfId="27066" xr:uid="{7139A41A-0327-4333-A8CD-0D11AF9A14DD}"/>
    <cellStyle name="Currency 5 2 2 2 3 5 2 3" xfId="13550" xr:uid="{EF1E7769-5A33-493C-B878-E913CE386692}"/>
    <cellStyle name="Currency 5 2 2 2 3 5 2 4" xfId="22849" xr:uid="{FC7068DA-E836-4501-AC03-475288547CE3}"/>
    <cellStyle name="Currency 5 2 2 2 3 5 3" xfId="6296" xr:uid="{00000000-0005-0000-0000-0000AB0B0000}"/>
    <cellStyle name="Currency 5 2 2 2 3 5 3 2" xfId="15622" xr:uid="{4ABA521D-97B7-472D-97E2-E5A021F16640}"/>
    <cellStyle name="Currency 5 2 2 2 3 5 3 3" xfId="24921" xr:uid="{0830EC64-8622-4DFC-9276-90E4B16F0857}"/>
    <cellStyle name="Currency 5 2 2 2 3 5 4" xfId="11405" xr:uid="{1E5D3A14-38D3-4455-AF1F-72F9A531C35D}"/>
    <cellStyle name="Currency 5 2 2 2 3 5 5" xfId="20704" xr:uid="{00928070-0FFC-4ED2-84DD-ECB674CB227F}"/>
    <cellStyle name="Currency 5 2 2 2 3 6" xfId="2425" xr:uid="{00000000-0005-0000-0000-0000AC0B0000}"/>
    <cellStyle name="Currency 5 2 2 2 3 6 2" xfId="6709" xr:uid="{00000000-0005-0000-0000-0000AD0B0000}"/>
    <cellStyle name="Currency 5 2 2 2 3 6 2 2" xfId="16035" xr:uid="{4C8C8223-015C-490C-8078-3F5F2E7FC11E}"/>
    <cellStyle name="Currency 5 2 2 2 3 6 2 3" xfId="25334" xr:uid="{736E256B-C2D5-463C-B92E-11AD2A7DC523}"/>
    <cellStyle name="Currency 5 2 2 2 3 6 3" xfId="11818" xr:uid="{82DBBF4C-2B55-46D8-97AB-0E8CE40A8D54}"/>
    <cellStyle name="Currency 5 2 2 2 3 6 4" xfId="21117" xr:uid="{28422EA8-B1EC-4F73-8BA5-FE86537C443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F833C9C1-85D4-4828-B307-CF133F45B9B0}"/>
    <cellStyle name="Currency 5 2 2 2 3 8 2 3" xfId="25651" xr:uid="{A077420E-46F9-4069-B1C4-772418B3DE75}"/>
    <cellStyle name="Currency 5 2 2 2 3 8 3" xfId="12135" xr:uid="{520F46B9-E488-461E-9734-A19D1F78D764}"/>
    <cellStyle name="Currency 5 2 2 2 3 8 4" xfId="21434" xr:uid="{2E497339-4361-4D07-9C41-FB0FE5D93630}"/>
    <cellStyle name="Currency 5 2 2 2 3 9" xfId="4643" xr:uid="{00000000-0005-0000-0000-0000B10B0000}"/>
    <cellStyle name="Currency 5 2 2 2 3 9 2" xfId="13969" xr:uid="{2E447F04-40C0-42BE-9939-25ED2275EB3E}"/>
    <cellStyle name="Currency 5 2 2 2 3 9 3" xfId="23268" xr:uid="{BB902755-67E5-4E75-B5C6-25F7714A6E84}"/>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5486DC2E-1037-4FF8-BCBA-1E438C041732}"/>
    <cellStyle name="Currency 5 2 2 2 4 2 2 3" xfId="25824" xr:uid="{79655092-5056-49E8-88D0-01D3E7A18523}"/>
    <cellStyle name="Currency 5 2 2 2 4 2 3" xfId="12308" xr:uid="{09164029-3393-4290-8B9F-0A41A42EDEB8}"/>
    <cellStyle name="Currency 5 2 2 2 4 2 4" xfId="21607" xr:uid="{10874ED6-6D6E-432D-AB71-3F6ABCEBA1A3}"/>
    <cellStyle name="Currency 5 2 2 2 4 3" xfId="5054" xr:uid="{00000000-0005-0000-0000-0000B50B0000}"/>
    <cellStyle name="Currency 5 2 2 2 4 3 2" xfId="14380" xr:uid="{4A9C5867-1475-47C2-9EF9-FD01351312B4}"/>
    <cellStyle name="Currency 5 2 2 2 4 3 3" xfId="23679" xr:uid="{299814DE-96DC-41A4-B743-EBD86BBA2F18}"/>
    <cellStyle name="Currency 5 2 2 2 4 4" xfId="9234" xr:uid="{AAF147FE-13D8-48BD-A722-062B96166D61}"/>
    <cellStyle name="Currency 5 2 2 2 4 4 2" xfId="18549" xr:uid="{054E9226-0B86-4B03-8E8A-A9FB5F523591}"/>
    <cellStyle name="Currency 5 2 2 2 4 4 3" xfId="27846" xr:uid="{9EFE5B9E-09B6-4953-A6BC-2A65FEA82245}"/>
    <cellStyle name="Currency 5 2 2 2 4 5" xfId="10163" xr:uid="{BA5B47C5-3D57-4502-BAAB-B375D4F79F78}"/>
    <cellStyle name="Currency 5 2 2 2 4 6" xfId="19462" xr:uid="{4E5E926A-58DD-4A0B-BD73-4093E2A393E3}"/>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EBB740FF-5A92-4BB7-A9BB-909FABE6038C}"/>
    <cellStyle name="Currency 5 2 2 2 5 2 2 3" xfId="26237" xr:uid="{3B20E0EB-EE69-4754-90DF-55DB61F3A803}"/>
    <cellStyle name="Currency 5 2 2 2 5 2 3" xfId="12721" xr:uid="{9227B707-6C9D-4616-84E9-177ADF9FC02A}"/>
    <cellStyle name="Currency 5 2 2 2 5 2 4" xfId="22020" xr:uid="{4D96DDE2-A649-4838-A574-0D3C4EE4A307}"/>
    <cellStyle name="Currency 5 2 2 2 5 3" xfId="5467" xr:uid="{00000000-0005-0000-0000-0000B90B0000}"/>
    <cellStyle name="Currency 5 2 2 2 5 3 2" xfId="14793" xr:uid="{DFD1FB28-B450-4D24-935C-4EDBA03463F0}"/>
    <cellStyle name="Currency 5 2 2 2 5 3 3" xfId="24092" xr:uid="{082FA6EA-5C9A-4876-AF78-BE94C32CB57D}"/>
    <cellStyle name="Currency 5 2 2 2 5 4" xfId="10576" xr:uid="{58E9D89B-F5E7-4D3A-8283-56318224523C}"/>
    <cellStyle name="Currency 5 2 2 2 5 5" xfId="19875" xr:uid="{D21602A8-82A8-4422-9C9C-68CC7A8B7FE1}"/>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AABE7A25-2955-4C1E-81A2-59D5DD6F56EE}"/>
    <cellStyle name="Currency 5 2 2 2 6 2 2 3" xfId="26650" xr:uid="{2D7A1F0D-A34E-476D-B040-A555B1B1562C}"/>
    <cellStyle name="Currency 5 2 2 2 6 2 3" xfId="13134" xr:uid="{EFBAAE6E-EB8F-4136-9A62-0B4CD7535972}"/>
    <cellStyle name="Currency 5 2 2 2 6 2 4" xfId="22433" xr:uid="{73318FE6-CA18-4CB0-8D4A-7DCA89DA0A83}"/>
    <cellStyle name="Currency 5 2 2 2 6 3" xfId="5880" xr:uid="{00000000-0005-0000-0000-0000BD0B0000}"/>
    <cellStyle name="Currency 5 2 2 2 6 3 2" xfId="15206" xr:uid="{5D9140B7-82A7-458D-A37B-B94762ADECC2}"/>
    <cellStyle name="Currency 5 2 2 2 6 3 3" xfId="24505" xr:uid="{42AFC317-3422-4EB2-8AB0-B176B3BA9942}"/>
    <cellStyle name="Currency 5 2 2 2 6 4" xfId="10989" xr:uid="{858A8685-F9A6-4F60-B58F-9A0CA64DF1FF}"/>
    <cellStyle name="Currency 5 2 2 2 6 5" xfId="20288" xr:uid="{A552BF4D-28B7-4270-8E5D-18E7B344D9B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C71E4A57-C99A-4FAE-B640-09ED33A9239B}"/>
    <cellStyle name="Currency 5 2 2 2 7 2 2 3" xfId="27063" xr:uid="{BDC91055-65FA-4195-8344-CFE903857041}"/>
    <cellStyle name="Currency 5 2 2 2 7 2 3" xfId="13547" xr:uid="{B5A05FD4-C0D7-46C8-9364-157F24E5AAFE}"/>
    <cellStyle name="Currency 5 2 2 2 7 2 4" xfId="22846" xr:uid="{2BCBAF81-7003-46E5-83B7-B07D57346416}"/>
    <cellStyle name="Currency 5 2 2 2 7 3" xfId="6293" xr:uid="{00000000-0005-0000-0000-0000C10B0000}"/>
    <cellStyle name="Currency 5 2 2 2 7 3 2" xfId="15619" xr:uid="{72A35C67-29FC-48D7-B5D4-0D1DD1EEF311}"/>
    <cellStyle name="Currency 5 2 2 2 7 3 3" xfId="24918" xr:uid="{3B663048-C3AE-4C7B-A5FB-69555DF2EBE9}"/>
    <cellStyle name="Currency 5 2 2 2 7 4" xfId="11402" xr:uid="{4179A5BD-0831-4DE8-A6D1-6724D2061752}"/>
    <cellStyle name="Currency 5 2 2 2 7 5" xfId="20701" xr:uid="{856ADD99-1D11-4F1A-9992-79482A30F429}"/>
    <cellStyle name="Currency 5 2 2 2 8" xfId="2422" xr:uid="{00000000-0005-0000-0000-0000C20B0000}"/>
    <cellStyle name="Currency 5 2 2 2 8 2" xfId="6706" xr:uid="{00000000-0005-0000-0000-0000C30B0000}"/>
    <cellStyle name="Currency 5 2 2 2 8 2 2" xfId="16032" xr:uid="{790B21BC-C931-4E9E-AB1D-58E402BD9B2F}"/>
    <cellStyle name="Currency 5 2 2 2 8 2 3" xfId="25331" xr:uid="{9BDADFDD-832E-4E20-8CF0-BC4B4AEB9A58}"/>
    <cellStyle name="Currency 5 2 2 2 8 3" xfId="11815" xr:uid="{4D1C3944-A78F-4CB5-8299-1EF569BC4B95}"/>
    <cellStyle name="Currency 5 2 2 2 8 4" xfId="21114" xr:uid="{080DB406-0131-4235-859B-B893ABE7D888}"/>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9BCC36ED-4062-4C0D-87A2-8F1E02BA6756}"/>
    <cellStyle name="Currency 5 2 2 3 10 3" xfId="23269" xr:uid="{055F83A5-2E2B-4AF0-B348-2D552BDEC009}"/>
    <cellStyle name="Currency 5 2 2 3 11" xfId="8890" xr:uid="{F313D4EC-7666-4BAA-9452-39176957C213}"/>
    <cellStyle name="Currency 5 2 2 3 11 2" xfId="18214" xr:uid="{3CDBF9AE-DFA2-41D2-BDCF-5BDE096D2D72}"/>
    <cellStyle name="Currency 5 2 2 3 11 3" xfId="27512" xr:uid="{0DE79814-D877-42DA-ACB5-D5912E256C36}"/>
    <cellStyle name="Currency 5 2 2 3 12" xfId="9753" xr:uid="{B698280E-661A-46B6-810B-8F9F9C2B487D}"/>
    <cellStyle name="Currency 5 2 2 3 13" xfId="19052" xr:uid="{D7FABB0A-5D0C-4712-A10B-107581089D3C}"/>
    <cellStyle name="Currency 5 2 2 3 2" xfId="201" xr:uid="{00000000-0005-0000-0000-0000C70B0000}"/>
    <cellStyle name="Currency 5 2 2 3 2 10" xfId="9097" xr:uid="{74199D2F-F17A-42DD-AC8B-D958FBFFCA8B}"/>
    <cellStyle name="Currency 5 2 2 3 2 10 2" xfId="18421" xr:uid="{D716729C-0C93-432C-ACE8-94ECA9817EE2}"/>
    <cellStyle name="Currency 5 2 2 3 2 10 3" xfId="27719" xr:uid="{8585F931-5B5F-4247-96D3-617F58E61ADE}"/>
    <cellStyle name="Currency 5 2 2 3 2 11" xfId="9754" xr:uid="{B8DD81DB-A4EC-438F-ABD6-63657B76ADCC}"/>
    <cellStyle name="Currency 5 2 2 3 2 12" xfId="19053" xr:uid="{B78D0C82-F829-4E78-B167-3CBB7FA638C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749583E2-A7C3-4CDB-82B3-C3E40E70FF97}"/>
    <cellStyle name="Currency 5 2 2 3 2 2 2 2 3" xfId="25829" xr:uid="{2BDE791B-127A-4ACD-9254-CBE35D18F4B1}"/>
    <cellStyle name="Currency 5 2 2 3 2 2 2 3" xfId="12313" xr:uid="{B487831C-9C91-418F-8B9A-92402C4B7D55}"/>
    <cellStyle name="Currency 5 2 2 3 2 2 2 4" xfId="21612" xr:uid="{1283593C-BB80-4FBF-B608-142CE6029897}"/>
    <cellStyle name="Currency 5 2 2 3 2 2 3" xfId="5059" xr:uid="{00000000-0005-0000-0000-0000CB0B0000}"/>
    <cellStyle name="Currency 5 2 2 3 2 2 3 2" xfId="14385" xr:uid="{20FBB402-7D27-4911-A91A-418B177961A3}"/>
    <cellStyle name="Currency 5 2 2 3 2 2 3 3" xfId="23684" xr:uid="{C6E3F030-F00C-4E42-824E-B6F2F60984F4}"/>
    <cellStyle name="Currency 5 2 2 3 2 2 4" xfId="9522" xr:uid="{58EAFCD4-DA5B-47CB-A637-29DA003AA3FD}"/>
    <cellStyle name="Currency 5 2 2 3 2 2 4 2" xfId="18837" xr:uid="{8446BEDF-12D0-4DF7-871C-39F178556D33}"/>
    <cellStyle name="Currency 5 2 2 3 2 2 4 3" xfId="28134" xr:uid="{B1761563-D882-48B0-93A2-97C5E465B831}"/>
    <cellStyle name="Currency 5 2 2 3 2 2 5" xfId="10168" xr:uid="{84903F67-31B2-4724-AC9F-2E2C1ADF9AAD}"/>
    <cellStyle name="Currency 5 2 2 3 2 2 6" xfId="19467" xr:uid="{8F7F7BA9-1463-4B7F-911E-B7A2E34A602A}"/>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A7D9B1F0-998A-4F4E-82B5-AB6540A705FD}"/>
    <cellStyle name="Currency 5 2 2 3 2 3 2 2 3" xfId="26242" xr:uid="{C61DE7E7-EF8D-47D9-8850-D9B96901E721}"/>
    <cellStyle name="Currency 5 2 2 3 2 3 2 3" xfId="12726" xr:uid="{54C5412F-2085-4EAE-8856-72103B6D6510}"/>
    <cellStyle name="Currency 5 2 2 3 2 3 2 4" xfId="22025" xr:uid="{85882E1C-72F7-4159-BCC9-3B08C5867792}"/>
    <cellStyle name="Currency 5 2 2 3 2 3 3" xfId="5472" xr:uid="{00000000-0005-0000-0000-0000CF0B0000}"/>
    <cellStyle name="Currency 5 2 2 3 2 3 3 2" xfId="14798" xr:uid="{6AB03BF2-FBA9-498C-8327-DE8BB350EFDC}"/>
    <cellStyle name="Currency 5 2 2 3 2 3 3 3" xfId="24097" xr:uid="{DD6E3AED-2B6A-46D2-8246-3A3A19E4DFF4}"/>
    <cellStyle name="Currency 5 2 2 3 2 3 4" xfId="10581" xr:uid="{5BC072D2-40CF-4D2E-B59E-A0C7D3F64D2C}"/>
    <cellStyle name="Currency 5 2 2 3 2 3 5" xfId="19880" xr:uid="{720D3CDC-33B7-4D27-9746-B981EC3B998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4FB5342E-0EA2-4CDE-AFCD-822A07D71FB1}"/>
    <cellStyle name="Currency 5 2 2 3 2 4 2 2 3" xfId="26655" xr:uid="{CC23FD8F-82D9-4A05-BE4D-B5AA10B2EC29}"/>
    <cellStyle name="Currency 5 2 2 3 2 4 2 3" xfId="13139" xr:uid="{7F5E4F1E-11E0-4036-839F-79B499884B99}"/>
    <cellStyle name="Currency 5 2 2 3 2 4 2 4" xfId="22438" xr:uid="{9D724EEA-D009-4EBC-A93C-DA5774745EC9}"/>
    <cellStyle name="Currency 5 2 2 3 2 4 3" xfId="5885" xr:uid="{00000000-0005-0000-0000-0000D30B0000}"/>
    <cellStyle name="Currency 5 2 2 3 2 4 3 2" xfId="15211" xr:uid="{2A11233D-8380-4473-920C-A0DF6E103BF2}"/>
    <cellStyle name="Currency 5 2 2 3 2 4 3 3" xfId="24510" xr:uid="{02695B99-C30A-464E-A17D-25C911B3F010}"/>
    <cellStyle name="Currency 5 2 2 3 2 4 4" xfId="10994" xr:uid="{A0757489-BDD9-4914-AF67-5D0108677757}"/>
    <cellStyle name="Currency 5 2 2 3 2 4 5" xfId="20293" xr:uid="{1473DBF0-9812-4931-AB16-BDE985EBB13D}"/>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1212544D-F796-4C4D-B8A6-490F00C2AA40}"/>
    <cellStyle name="Currency 5 2 2 3 2 5 2 2 3" xfId="27068" xr:uid="{7734164B-0E40-4ECA-8367-AE50FD36F860}"/>
    <cellStyle name="Currency 5 2 2 3 2 5 2 3" xfId="13552" xr:uid="{8FD524B2-A6D3-4079-AB7D-43C81686978F}"/>
    <cellStyle name="Currency 5 2 2 3 2 5 2 4" xfId="22851" xr:uid="{F5CB6C11-364C-4DB7-8D64-1A352098D855}"/>
    <cellStyle name="Currency 5 2 2 3 2 5 3" xfId="6298" xr:uid="{00000000-0005-0000-0000-0000D70B0000}"/>
    <cellStyle name="Currency 5 2 2 3 2 5 3 2" xfId="15624" xr:uid="{4175DA30-8E74-47A8-9446-B27434065814}"/>
    <cellStyle name="Currency 5 2 2 3 2 5 3 3" xfId="24923" xr:uid="{9043F9B1-751C-4C0C-B37B-B2DB9385241A}"/>
    <cellStyle name="Currency 5 2 2 3 2 5 4" xfId="11407" xr:uid="{4697FB18-A8BC-4B86-982A-47392BA728BE}"/>
    <cellStyle name="Currency 5 2 2 3 2 5 5" xfId="20706" xr:uid="{6B8E983A-2083-4FC5-8D78-E22449437A27}"/>
    <cellStyle name="Currency 5 2 2 3 2 6" xfId="2427" xr:uid="{00000000-0005-0000-0000-0000D80B0000}"/>
    <cellStyle name="Currency 5 2 2 3 2 6 2" xfId="6711" xr:uid="{00000000-0005-0000-0000-0000D90B0000}"/>
    <cellStyle name="Currency 5 2 2 3 2 6 2 2" xfId="16037" xr:uid="{0975C904-8EB6-401D-B4F6-7929724F299C}"/>
    <cellStyle name="Currency 5 2 2 3 2 6 2 3" xfId="25336" xr:uid="{F9AB0045-F862-46C6-8B1A-28489DFA182B}"/>
    <cellStyle name="Currency 5 2 2 3 2 6 3" xfId="11820" xr:uid="{A1015557-BA78-42E7-ADB4-E5A2102E4BDB}"/>
    <cellStyle name="Currency 5 2 2 3 2 6 4" xfId="21119" xr:uid="{A3933338-81A8-4C77-A793-7646592CEAB5}"/>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0B4EF61B-5D15-4AFE-AB84-953E455AEFBD}"/>
    <cellStyle name="Currency 5 2 2 3 2 8 2 3" xfId="25653" xr:uid="{B46AB038-7B10-4B75-9BCE-CA8FBB36923D}"/>
    <cellStyle name="Currency 5 2 2 3 2 8 3" xfId="12137" xr:uid="{B99B5C86-803D-4615-AB9B-0FB5C9AACE1C}"/>
    <cellStyle name="Currency 5 2 2 3 2 8 4" xfId="21436" xr:uid="{791AEF0A-E2F4-48D9-A926-B0281DB24A01}"/>
    <cellStyle name="Currency 5 2 2 3 2 9" xfId="4645" xr:uid="{00000000-0005-0000-0000-0000DD0B0000}"/>
    <cellStyle name="Currency 5 2 2 3 2 9 2" xfId="13971" xr:uid="{A2BAF6FD-B9A6-4C55-B1B4-E4F385B743FF}"/>
    <cellStyle name="Currency 5 2 2 3 2 9 3" xfId="23270" xr:uid="{5C413C84-6DFA-4C1C-8888-6DA5787E4C53}"/>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925DF953-26BD-4389-9302-99FE45EB7252}"/>
    <cellStyle name="Currency 5 2 2 3 3 2 2 3" xfId="25828" xr:uid="{157642DF-347E-47CB-8CB5-A49819C9DDA9}"/>
    <cellStyle name="Currency 5 2 2 3 3 2 3" xfId="12312" xr:uid="{4EEE0E63-940E-4BCC-90EE-AC32A10B1676}"/>
    <cellStyle name="Currency 5 2 2 3 3 2 4" xfId="21611" xr:uid="{09E1EDD4-BB47-4E1D-A02B-E04CCA1B2DE1}"/>
    <cellStyle name="Currency 5 2 2 3 3 3" xfId="5058" xr:uid="{00000000-0005-0000-0000-0000E10B0000}"/>
    <cellStyle name="Currency 5 2 2 3 3 3 2" xfId="14384" xr:uid="{720CB372-F52E-490A-9CFE-CE05745B0422}"/>
    <cellStyle name="Currency 5 2 2 3 3 3 3" xfId="23683" xr:uid="{FB15E4E7-554D-4750-95D4-7B17B60D0365}"/>
    <cellStyle name="Currency 5 2 2 3 3 4" xfId="9315" xr:uid="{A76EC348-1CDB-41C1-B9B8-9215FF30C619}"/>
    <cellStyle name="Currency 5 2 2 3 3 4 2" xfId="18630" xr:uid="{5A1DE6AA-E571-489E-A8F4-00FA7895CCB5}"/>
    <cellStyle name="Currency 5 2 2 3 3 4 3" xfId="27927" xr:uid="{B54DD8A3-19F9-4BCC-859A-4A0F569A9304}"/>
    <cellStyle name="Currency 5 2 2 3 3 5" xfId="10167" xr:uid="{A27975E6-31CE-4A7C-A2CA-76CE4D3D61B8}"/>
    <cellStyle name="Currency 5 2 2 3 3 6" xfId="19466" xr:uid="{50423C09-6593-49CC-B586-3C48838CA75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CF0D44C2-0F95-4943-BA1F-5CC6F7B278B5}"/>
    <cellStyle name="Currency 5 2 2 3 4 2 2 3" xfId="26241" xr:uid="{E31427EB-61F6-4A3A-A1BB-FB892B4D084C}"/>
    <cellStyle name="Currency 5 2 2 3 4 2 3" xfId="12725" xr:uid="{11554356-11F6-4675-88EE-7C2B486421A7}"/>
    <cellStyle name="Currency 5 2 2 3 4 2 4" xfId="22024" xr:uid="{E5544F39-FE6C-4011-9D00-CAA3A750EE83}"/>
    <cellStyle name="Currency 5 2 2 3 4 3" xfId="5471" xr:uid="{00000000-0005-0000-0000-0000E50B0000}"/>
    <cellStyle name="Currency 5 2 2 3 4 3 2" xfId="14797" xr:uid="{43C83524-785E-4FCA-A0AE-B908307539A8}"/>
    <cellStyle name="Currency 5 2 2 3 4 3 3" xfId="24096" xr:uid="{7C5782D4-03FE-4128-B313-FEE89AB4034B}"/>
    <cellStyle name="Currency 5 2 2 3 4 4" xfId="10580" xr:uid="{FF31CE42-1996-401C-BD66-342FDE126711}"/>
    <cellStyle name="Currency 5 2 2 3 4 5" xfId="19879" xr:uid="{98B4D15E-DE18-49F9-848C-F21959847ECB}"/>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0C140F08-5460-41EE-B84C-8EB5319B4CBD}"/>
    <cellStyle name="Currency 5 2 2 3 5 2 2 3" xfId="26654" xr:uid="{2A1ED75E-F3DF-4BED-B153-381E9B685B67}"/>
    <cellStyle name="Currency 5 2 2 3 5 2 3" xfId="13138" xr:uid="{68E213D5-1E87-4CFB-B3E7-36CB411DEEFC}"/>
    <cellStyle name="Currency 5 2 2 3 5 2 4" xfId="22437" xr:uid="{0C4A8872-C99D-49C8-AF50-D0FC355E1FC5}"/>
    <cellStyle name="Currency 5 2 2 3 5 3" xfId="5884" xr:uid="{00000000-0005-0000-0000-0000E90B0000}"/>
    <cellStyle name="Currency 5 2 2 3 5 3 2" xfId="15210" xr:uid="{1EE51318-EE16-4C32-80CC-2F5CD31336BD}"/>
    <cellStyle name="Currency 5 2 2 3 5 3 3" xfId="24509" xr:uid="{82AF665D-AECF-46B1-8F9B-6F7E90618E49}"/>
    <cellStyle name="Currency 5 2 2 3 5 4" xfId="10993" xr:uid="{93553C87-E4E0-4610-8C1B-D7E9793B42C8}"/>
    <cellStyle name="Currency 5 2 2 3 5 5" xfId="20292" xr:uid="{E8F0D4F1-DDE5-47DA-BA77-FDC1E2A59563}"/>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56F83384-A4CF-49E4-BD74-DB9CB722C323}"/>
    <cellStyle name="Currency 5 2 2 3 6 2 2 3" xfId="27067" xr:uid="{7906DC52-9369-4CF6-A286-BC2D0C433473}"/>
    <cellStyle name="Currency 5 2 2 3 6 2 3" xfId="13551" xr:uid="{A7862C10-FBD9-4357-A183-B0F2AF4992BC}"/>
    <cellStyle name="Currency 5 2 2 3 6 2 4" xfId="22850" xr:uid="{328CA073-C767-4EF5-B0F3-F55B148691CB}"/>
    <cellStyle name="Currency 5 2 2 3 6 3" xfId="6297" xr:uid="{00000000-0005-0000-0000-0000ED0B0000}"/>
    <cellStyle name="Currency 5 2 2 3 6 3 2" xfId="15623" xr:uid="{E1F04170-D933-4553-B1F0-25519F037BBD}"/>
    <cellStyle name="Currency 5 2 2 3 6 3 3" xfId="24922" xr:uid="{2B6D806D-8E93-43AC-820E-7840E638C476}"/>
    <cellStyle name="Currency 5 2 2 3 6 4" xfId="11406" xr:uid="{84AE29E7-3727-40A5-958F-983C28971675}"/>
    <cellStyle name="Currency 5 2 2 3 6 5" xfId="20705" xr:uid="{D653D496-D65D-487F-9B78-83166B450B17}"/>
    <cellStyle name="Currency 5 2 2 3 7" xfId="2426" xr:uid="{00000000-0005-0000-0000-0000EE0B0000}"/>
    <cellStyle name="Currency 5 2 2 3 7 2" xfId="6710" xr:uid="{00000000-0005-0000-0000-0000EF0B0000}"/>
    <cellStyle name="Currency 5 2 2 3 7 2 2" xfId="16036" xr:uid="{57522A36-F035-4542-B033-19A219230F92}"/>
    <cellStyle name="Currency 5 2 2 3 7 2 3" xfId="25335" xr:uid="{0D5394F1-C258-461B-8A83-7966AC9A361A}"/>
    <cellStyle name="Currency 5 2 2 3 7 3" xfId="11819" xr:uid="{371E361B-6229-4911-BF55-CA95C1E9AF98}"/>
    <cellStyle name="Currency 5 2 2 3 7 4" xfId="21118" xr:uid="{0742A03A-CA87-447C-A5EC-8B0EEAA1C007}"/>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1437DAD9-DA51-475F-A9A4-6A00875062E7}"/>
    <cellStyle name="Currency 5 2 2 3 9 2 3" xfId="25652" xr:uid="{369C5D3B-1DE8-477E-9DE0-3F09652E53BB}"/>
    <cellStyle name="Currency 5 2 2 3 9 3" xfId="12136" xr:uid="{2BB67478-5AEA-443F-AF52-C6F146C06309}"/>
    <cellStyle name="Currency 5 2 2 3 9 4" xfId="21435" xr:uid="{90F15178-E25F-437A-AAE2-D3874562F6B4}"/>
    <cellStyle name="Currency 5 2 2 4" xfId="202" xr:uid="{00000000-0005-0000-0000-0000F30B0000}"/>
    <cellStyle name="Currency 5 2 2 4 10" xfId="8994" xr:uid="{484CCE7A-1288-4C7F-ABD6-C45948DC4EC0}"/>
    <cellStyle name="Currency 5 2 2 4 10 2" xfId="18318" xr:uid="{6E2A8006-E3F9-4C12-98CE-8E2305FF14CA}"/>
    <cellStyle name="Currency 5 2 2 4 10 3" xfId="27616" xr:uid="{F3F016E3-6EB0-4EDB-A5F0-BA210C646E79}"/>
    <cellStyle name="Currency 5 2 2 4 11" xfId="9755" xr:uid="{07A7DBB2-0433-40CA-804D-1735E819ACE6}"/>
    <cellStyle name="Currency 5 2 2 4 12" xfId="19054" xr:uid="{3E509124-C1FC-445D-A6B9-43A58485B6F1}"/>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AF528370-86F8-405F-8E8E-6F3D3E29F255}"/>
    <cellStyle name="Currency 5 2 2 4 2 2 2 3" xfId="25830" xr:uid="{55E946E0-6AEB-4AEB-8E7D-04FADFB2B757}"/>
    <cellStyle name="Currency 5 2 2 4 2 2 3" xfId="12314" xr:uid="{F088B06B-7496-4D09-A4D7-146F5E4D9CE8}"/>
    <cellStyle name="Currency 5 2 2 4 2 2 4" xfId="21613" xr:uid="{2A9927D4-B5F2-4730-99BB-722253378816}"/>
    <cellStyle name="Currency 5 2 2 4 2 3" xfId="5060" xr:uid="{00000000-0005-0000-0000-0000F70B0000}"/>
    <cellStyle name="Currency 5 2 2 4 2 3 2" xfId="14386" xr:uid="{0EFA3B32-AF86-4301-8E69-3DD151469A18}"/>
    <cellStyle name="Currency 5 2 2 4 2 3 3" xfId="23685" xr:uid="{529E8344-E55E-43F6-8A3D-119FFD1389DB}"/>
    <cellStyle name="Currency 5 2 2 4 2 4" xfId="9419" xr:uid="{F03E4D2E-3BA9-4D5B-9C35-959DB128CBAE}"/>
    <cellStyle name="Currency 5 2 2 4 2 4 2" xfId="18734" xr:uid="{6F728C40-2518-415E-85FF-2A290F163E6C}"/>
    <cellStyle name="Currency 5 2 2 4 2 4 3" xfId="28031" xr:uid="{C597A613-8BBF-40BF-8D56-51A2E2A22D4A}"/>
    <cellStyle name="Currency 5 2 2 4 2 5" xfId="10169" xr:uid="{8310AB27-DD77-46D6-B0CB-6CED68DB3ABA}"/>
    <cellStyle name="Currency 5 2 2 4 2 6" xfId="19468" xr:uid="{34646798-8369-4369-A5C6-9C5806EE653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E4BFBB80-CE25-4BF4-B4EF-D9565D993528}"/>
    <cellStyle name="Currency 5 2 2 4 3 2 2 3" xfId="26243" xr:uid="{4ED10EA6-1148-4428-9389-3E5F74800175}"/>
    <cellStyle name="Currency 5 2 2 4 3 2 3" xfId="12727" xr:uid="{290D18FE-8224-48DB-8D98-E4EE8B29047C}"/>
    <cellStyle name="Currency 5 2 2 4 3 2 4" xfId="22026" xr:uid="{C6CAB670-9F52-46AD-8177-4FD96308E524}"/>
    <cellStyle name="Currency 5 2 2 4 3 3" xfId="5473" xr:uid="{00000000-0005-0000-0000-0000FB0B0000}"/>
    <cellStyle name="Currency 5 2 2 4 3 3 2" xfId="14799" xr:uid="{38111E35-AB78-4568-AD59-DAC6DF03EFC3}"/>
    <cellStyle name="Currency 5 2 2 4 3 3 3" xfId="24098" xr:uid="{FB2D210D-A841-4978-956B-428699ACEE37}"/>
    <cellStyle name="Currency 5 2 2 4 3 4" xfId="10582" xr:uid="{0649CDED-EBF7-4ACB-A4CC-9B56FD1F9EE7}"/>
    <cellStyle name="Currency 5 2 2 4 3 5" xfId="19881" xr:uid="{C6732AE6-A129-4024-8CFD-04A361E99569}"/>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6F741ABB-2B39-464B-B7F0-5CF907291E3A}"/>
    <cellStyle name="Currency 5 2 2 4 4 2 2 3" xfId="26656" xr:uid="{158B4D2C-67A8-4306-A993-68E2CE243346}"/>
    <cellStyle name="Currency 5 2 2 4 4 2 3" xfId="13140" xr:uid="{D031B27D-ABEE-48BE-B3A7-553674D13492}"/>
    <cellStyle name="Currency 5 2 2 4 4 2 4" xfId="22439" xr:uid="{3DE55923-D3F1-40E2-88BC-10FF7A1B497C}"/>
    <cellStyle name="Currency 5 2 2 4 4 3" xfId="5886" xr:uid="{00000000-0005-0000-0000-0000FF0B0000}"/>
    <cellStyle name="Currency 5 2 2 4 4 3 2" xfId="15212" xr:uid="{51961C2E-4A8E-416B-BCA6-CB5060EF22F9}"/>
    <cellStyle name="Currency 5 2 2 4 4 3 3" xfId="24511" xr:uid="{5E0003FA-62CF-46DC-B97F-4468F3936FE1}"/>
    <cellStyle name="Currency 5 2 2 4 4 4" xfId="10995" xr:uid="{DACB96A7-C7AD-4FFB-AF46-3040126A153E}"/>
    <cellStyle name="Currency 5 2 2 4 4 5" xfId="20294" xr:uid="{A5FF45E2-5928-4E77-B0E9-E36D970AF7B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22453D0F-56E6-423D-B8D2-C8088035C8F7}"/>
    <cellStyle name="Currency 5 2 2 4 5 2 2 3" xfId="27069" xr:uid="{02C25ACC-403D-44D7-A335-F3794E3A2CA9}"/>
    <cellStyle name="Currency 5 2 2 4 5 2 3" xfId="13553" xr:uid="{A1CDA0DA-2251-4804-A9E4-259DF99744BA}"/>
    <cellStyle name="Currency 5 2 2 4 5 2 4" xfId="22852" xr:uid="{C20BA656-FB31-41D3-BC99-A256C514365B}"/>
    <cellStyle name="Currency 5 2 2 4 5 3" xfId="6299" xr:uid="{00000000-0005-0000-0000-0000030C0000}"/>
    <cellStyle name="Currency 5 2 2 4 5 3 2" xfId="15625" xr:uid="{DF8A4813-04C1-446D-8E03-707492884278}"/>
    <cellStyle name="Currency 5 2 2 4 5 3 3" xfId="24924" xr:uid="{BFFCFE80-51E5-441A-BE04-905FA78EDF2A}"/>
    <cellStyle name="Currency 5 2 2 4 5 4" xfId="11408" xr:uid="{7F4E5BE5-598D-4EAB-B7D6-F4A9B742DD04}"/>
    <cellStyle name="Currency 5 2 2 4 5 5" xfId="20707" xr:uid="{5E4F0403-8FD6-4CE8-83DB-A07CBD71881C}"/>
    <cellStyle name="Currency 5 2 2 4 6" xfId="2428" xr:uid="{00000000-0005-0000-0000-0000040C0000}"/>
    <cellStyle name="Currency 5 2 2 4 6 2" xfId="6712" xr:uid="{00000000-0005-0000-0000-0000050C0000}"/>
    <cellStyle name="Currency 5 2 2 4 6 2 2" xfId="16038" xr:uid="{07E4FD35-FE02-42A6-BCC4-32549953B616}"/>
    <cellStyle name="Currency 5 2 2 4 6 2 3" xfId="25337" xr:uid="{317AAF0C-0077-41A8-B927-6ED4653D9C3E}"/>
    <cellStyle name="Currency 5 2 2 4 6 3" xfId="11821" xr:uid="{975560FD-75E0-448F-869D-963810FB0289}"/>
    <cellStyle name="Currency 5 2 2 4 6 4" xfId="21120" xr:uid="{89174ED5-1BBF-472D-9370-3A6B0C805540}"/>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ED71ACC7-F07A-4EB6-B496-C0CE88F34315}"/>
    <cellStyle name="Currency 5 2 2 4 8 2 3" xfId="25654" xr:uid="{B167C85D-D1B8-4313-B7A4-F6314E548E55}"/>
    <cellStyle name="Currency 5 2 2 4 8 3" xfId="12138" xr:uid="{D108EEB2-4FE8-41E5-99FF-78D7479F519C}"/>
    <cellStyle name="Currency 5 2 2 4 8 4" xfId="21437" xr:uid="{F74EBE79-8E0D-4502-A3B3-E73656F9AED6}"/>
    <cellStyle name="Currency 5 2 2 4 9" xfId="4646" xr:uid="{00000000-0005-0000-0000-0000090C0000}"/>
    <cellStyle name="Currency 5 2 2 4 9 2" xfId="13972" xr:uid="{79EDADE1-C46F-4AA7-B0F2-04A38CC0C2E3}"/>
    <cellStyle name="Currency 5 2 2 4 9 3" xfId="23271" xr:uid="{B1CB1BDD-CED6-4AE4-BD22-CEFA386E6454}"/>
    <cellStyle name="Currency 5 2 2 5" xfId="203" xr:uid="{00000000-0005-0000-0000-00000A0C0000}"/>
    <cellStyle name="Currency 5 2 2 5 10" xfId="9211" xr:uid="{586E1D8D-A72F-44A2-BAB5-A0BAD4827F6D}"/>
    <cellStyle name="Currency 5 2 2 5 10 2" xfId="18527" xr:uid="{E97EC590-E140-4FF2-B2A7-0661F8829C21}"/>
    <cellStyle name="Currency 5 2 2 5 10 3" xfId="27824" xr:uid="{A7472EC9-B609-4187-BC7F-585EF8BE9391}"/>
    <cellStyle name="Currency 5 2 2 5 11" xfId="9756" xr:uid="{8D1558CA-0DE8-4735-A441-21A62E615FA5}"/>
    <cellStyle name="Currency 5 2 2 5 12" xfId="19055" xr:uid="{6CA4EAD7-60B3-4D7E-A47D-38F8BF296487}"/>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BCA198DE-57B3-4F08-B265-9D99FFB42464}"/>
    <cellStyle name="Currency 5 2 2 5 2 2 2 3" xfId="25831" xr:uid="{D45183E7-E218-4E88-9E93-4AB47B36A233}"/>
    <cellStyle name="Currency 5 2 2 5 2 2 3" xfId="12315" xr:uid="{8D78134C-E1D2-48D6-923F-6D8239C02656}"/>
    <cellStyle name="Currency 5 2 2 5 2 2 4" xfId="21614" xr:uid="{00083367-CF9E-4854-A437-78CEFBDB04B9}"/>
    <cellStyle name="Currency 5 2 2 5 2 3" xfId="5061" xr:uid="{00000000-0005-0000-0000-00000E0C0000}"/>
    <cellStyle name="Currency 5 2 2 5 2 3 2" xfId="14387" xr:uid="{82C7DF52-E4EB-4B5A-AD6C-C18448D197E6}"/>
    <cellStyle name="Currency 5 2 2 5 2 3 3" xfId="23686" xr:uid="{F00709ED-367E-47C6-A69F-245FD48C942A}"/>
    <cellStyle name="Currency 5 2 2 5 2 4" xfId="9598" xr:uid="{EBD3270B-608E-49E1-8A20-C5ADF81FBC1B}"/>
    <cellStyle name="Currency 5 2 2 5 2 4 2" xfId="18902" xr:uid="{FF5EBF69-16F8-4E44-99C2-C1457C9D05C1}"/>
    <cellStyle name="Currency 5 2 2 5 2 4 3" xfId="28199" xr:uid="{D6442655-7BAB-4B0D-A46E-FC55A7769256}"/>
    <cellStyle name="Currency 5 2 2 5 2 5" xfId="10170" xr:uid="{6356322A-6466-4241-B2D7-E649D242EB80}"/>
    <cellStyle name="Currency 5 2 2 5 2 6" xfId="19469" xr:uid="{2B948B1D-04F2-4867-ACC4-FBBA57FA0F5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3A81C74E-38DC-4B04-B360-B58F0F5F7F81}"/>
    <cellStyle name="Currency 5 2 2 5 3 2 2 3" xfId="26244" xr:uid="{F76C7E43-ACB7-49E4-AA03-A7048F474234}"/>
    <cellStyle name="Currency 5 2 2 5 3 2 3" xfId="12728" xr:uid="{FF71C062-91BD-4D65-8559-EFF2CE868741}"/>
    <cellStyle name="Currency 5 2 2 5 3 2 4" xfId="22027" xr:uid="{8956ED33-671E-49E4-A7D1-06A3ADDF0375}"/>
    <cellStyle name="Currency 5 2 2 5 3 3" xfId="5474" xr:uid="{00000000-0005-0000-0000-0000120C0000}"/>
    <cellStyle name="Currency 5 2 2 5 3 3 2" xfId="14800" xr:uid="{8062C4A8-2E4B-47DF-AFE0-EF40B89D700D}"/>
    <cellStyle name="Currency 5 2 2 5 3 3 3" xfId="24099" xr:uid="{C84EF509-007C-4D63-B88C-59EA75BC2A40}"/>
    <cellStyle name="Currency 5 2 2 5 3 4" xfId="10583" xr:uid="{EFC23596-47F9-4F97-AEBA-7DC54281E1AB}"/>
    <cellStyle name="Currency 5 2 2 5 3 5" xfId="19882" xr:uid="{FBDE77FC-EE50-4B48-8666-8445CC514998}"/>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896905C6-81CC-4C46-A321-D50766DF96C5}"/>
    <cellStyle name="Currency 5 2 2 5 4 2 2 3" xfId="26657" xr:uid="{30002B20-DD26-40B1-891C-3780BCB3CED1}"/>
    <cellStyle name="Currency 5 2 2 5 4 2 3" xfId="13141" xr:uid="{BD1F65A4-D702-45B5-8924-DD0E1EC342D2}"/>
    <cellStyle name="Currency 5 2 2 5 4 2 4" xfId="22440" xr:uid="{1E3FA226-EA65-493D-9EB0-151DA4630DE4}"/>
    <cellStyle name="Currency 5 2 2 5 4 3" xfId="5887" xr:uid="{00000000-0005-0000-0000-0000160C0000}"/>
    <cellStyle name="Currency 5 2 2 5 4 3 2" xfId="15213" xr:uid="{F4D56D4A-5D62-4F12-BB3F-0813BAFB496C}"/>
    <cellStyle name="Currency 5 2 2 5 4 3 3" xfId="24512" xr:uid="{AA6BC6C4-D00A-41BA-88A5-5E52D361E7A9}"/>
    <cellStyle name="Currency 5 2 2 5 4 4" xfId="10996" xr:uid="{33FB2718-1E15-4CF9-A609-974D5AD9C866}"/>
    <cellStyle name="Currency 5 2 2 5 4 5" xfId="20295" xr:uid="{23676940-41BF-4407-BF26-7A81DD3DC70A}"/>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E4DFF43F-6541-4A29-A96B-4371759211E1}"/>
    <cellStyle name="Currency 5 2 2 5 5 2 2 3" xfId="27070" xr:uid="{280E518D-7EE3-4150-8C3C-DB741D75DE4D}"/>
    <cellStyle name="Currency 5 2 2 5 5 2 3" xfId="13554" xr:uid="{C3FABE5A-77A8-4523-A406-416A4B0EDA2C}"/>
    <cellStyle name="Currency 5 2 2 5 5 2 4" xfId="22853" xr:uid="{664F8F6C-7B3F-4294-A1D5-FE549EE9E1D9}"/>
    <cellStyle name="Currency 5 2 2 5 5 3" xfId="6300" xr:uid="{00000000-0005-0000-0000-00001A0C0000}"/>
    <cellStyle name="Currency 5 2 2 5 5 3 2" xfId="15626" xr:uid="{894386FD-9CEC-4821-861B-7DD260FA22D7}"/>
    <cellStyle name="Currency 5 2 2 5 5 3 3" xfId="24925" xr:uid="{2F412DEE-9CBE-4CCB-AF61-0B642B47A617}"/>
    <cellStyle name="Currency 5 2 2 5 5 4" xfId="11409" xr:uid="{91F1B901-ABB6-4BDC-9A3B-7F010B6EE74F}"/>
    <cellStyle name="Currency 5 2 2 5 5 5" xfId="20708" xr:uid="{06BBB1C8-1757-4E1F-AC14-D05D8F4D55C3}"/>
    <cellStyle name="Currency 5 2 2 5 6" xfId="2429" xr:uid="{00000000-0005-0000-0000-00001B0C0000}"/>
    <cellStyle name="Currency 5 2 2 5 6 2" xfId="6713" xr:uid="{00000000-0005-0000-0000-00001C0C0000}"/>
    <cellStyle name="Currency 5 2 2 5 6 2 2" xfId="16039" xr:uid="{8329B187-438B-4C2F-A172-6DA1EAE38479}"/>
    <cellStyle name="Currency 5 2 2 5 6 2 3" xfId="25338" xr:uid="{4624F5A4-1A7C-418E-83B2-539FAAB412F1}"/>
    <cellStyle name="Currency 5 2 2 5 6 3" xfId="11822" xr:uid="{D682AAE8-F71E-4536-96BF-44D8333B64EB}"/>
    <cellStyle name="Currency 5 2 2 5 6 4" xfId="21121" xr:uid="{40FBD4F7-4D48-428A-A1EB-B0E899898F51}"/>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1DD68C68-2136-442A-8FD3-CE5ACFCA5E77}"/>
    <cellStyle name="Currency 5 2 2 5 8 2 3" xfId="25655" xr:uid="{5AE0EC50-E68D-48B7-BF9D-A404377B4ECE}"/>
    <cellStyle name="Currency 5 2 2 5 8 3" xfId="12139" xr:uid="{3E5E15BD-A03F-4D4F-A28F-4E5780F445F9}"/>
    <cellStyle name="Currency 5 2 2 5 8 4" xfId="21438" xr:uid="{40F85882-A229-466A-86A2-6CAB7654F87B}"/>
    <cellStyle name="Currency 5 2 2 5 9" xfId="4647" xr:uid="{00000000-0005-0000-0000-0000200C0000}"/>
    <cellStyle name="Currency 5 2 2 5 9 2" xfId="13973" xr:uid="{DC04F12D-BAFA-433E-85B8-EAF7073B4364}"/>
    <cellStyle name="Currency 5 2 2 5 9 3" xfId="23272" xr:uid="{E58682BD-BF17-4418-BC0E-B9CE1B06327A}"/>
    <cellStyle name="Currency 5 2 2 6" xfId="9584" xr:uid="{DC5749FB-A314-4F8C-B61F-309C27A570F5}"/>
    <cellStyle name="Currency 5 2 2 7" xfId="8787" xr:uid="{822EE7D8-70A6-49D7-843D-E84C848DC397}"/>
    <cellStyle name="Currency 5 2 2 7 2" xfId="18111" xr:uid="{D1EC4D97-58BC-4CF2-8C67-A307155AD492}"/>
    <cellStyle name="Currency 5 2 2 7 3" xfId="27409" xr:uid="{2D7BA2B4-8A96-4A59-A2AD-4E3CC515A256}"/>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F75D9335-B976-400E-A173-A1E964426545}"/>
    <cellStyle name="Currency 5 2 4 10 3" xfId="23273" xr:uid="{DF59713F-2021-4D3D-8709-655F01B42082}"/>
    <cellStyle name="Currency 5 2 4 11" xfId="8859" xr:uid="{D3A5F8AD-5F4E-4BEA-A9B4-9A705A015524}"/>
    <cellStyle name="Currency 5 2 4 11 2" xfId="18183" xr:uid="{682C0B53-6B22-43A2-A275-76B1766D5CB7}"/>
    <cellStyle name="Currency 5 2 4 11 3" xfId="27481" xr:uid="{53568237-0CB1-4415-839D-0B63580FEB20}"/>
    <cellStyle name="Currency 5 2 4 12" xfId="9757" xr:uid="{BDBE8817-0618-430F-9A16-C5136D010C72}"/>
    <cellStyle name="Currency 5 2 4 13" xfId="19056" xr:uid="{911ED1D1-89F8-456D-9125-9929FDB04690}"/>
    <cellStyle name="Currency 5 2 4 2" xfId="206" xr:uid="{00000000-0005-0000-0000-0000250C0000}"/>
    <cellStyle name="Currency 5 2 4 2 10" xfId="9066" xr:uid="{2F7A28AF-2120-4AAF-A58B-33C2E07F597D}"/>
    <cellStyle name="Currency 5 2 4 2 10 2" xfId="18390" xr:uid="{FC889502-18D3-4F58-9D97-08FFB71B1987}"/>
    <cellStyle name="Currency 5 2 4 2 10 3" xfId="27688" xr:uid="{D883766C-820F-44AC-A5DD-39010F915FEA}"/>
    <cellStyle name="Currency 5 2 4 2 11" xfId="9758" xr:uid="{6C81683B-31D9-4E17-BB40-7CB12D4FCBE7}"/>
    <cellStyle name="Currency 5 2 4 2 12" xfId="19057" xr:uid="{D8755951-1890-4F27-A983-DD69A3FAA42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C22C947F-4CBF-4339-821D-3E80C4D7FF76}"/>
    <cellStyle name="Currency 5 2 4 2 2 2 2 3" xfId="25833" xr:uid="{E95E05DA-F933-41E7-995B-2F8034104941}"/>
    <cellStyle name="Currency 5 2 4 2 2 2 3" xfId="12317" xr:uid="{F2F1EB75-5CA5-4FFB-BA67-1D910D385DFC}"/>
    <cellStyle name="Currency 5 2 4 2 2 2 4" xfId="21616" xr:uid="{FD5C3E65-ADA1-4C8B-A140-CE8B9324220B}"/>
    <cellStyle name="Currency 5 2 4 2 2 3" xfId="5063" xr:uid="{00000000-0005-0000-0000-0000290C0000}"/>
    <cellStyle name="Currency 5 2 4 2 2 3 2" xfId="14389" xr:uid="{E827A4F6-B517-42D6-8088-FF1416438AF1}"/>
    <cellStyle name="Currency 5 2 4 2 2 3 3" xfId="23688" xr:uid="{57E70350-6BB8-4446-86D9-2F235B769778}"/>
    <cellStyle name="Currency 5 2 4 2 2 4" xfId="9491" xr:uid="{64B868C7-9024-4970-9E74-7DF82417BD7A}"/>
    <cellStyle name="Currency 5 2 4 2 2 4 2" xfId="18806" xr:uid="{98C2B465-194E-47D3-9440-B832C41B1EE7}"/>
    <cellStyle name="Currency 5 2 4 2 2 4 3" xfId="28103" xr:uid="{43F129B2-C385-484F-B133-42B6C6FF302E}"/>
    <cellStyle name="Currency 5 2 4 2 2 5" xfId="10172" xr:uid="{7BCA977D-924F-4C03-845C-42103A6AA4AA}"/>
    <cellStyle name="Currency 5 2 4 2 2 6" xfId="19471" xr:uid="{F395F613-B082-4A9A-9D25-7208040F913B}"/>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70BFAF5F-82EC-4C0F-A0F0-02F56A0F3851}"/>
    <cellStyle name="Currency 5 2 4 2 3 2 2 3" xfId="26246" xr:uid="{7F4E5A0A-B38F-4615-98FE-B2C5AE06871A}"/>
    <cellStyle name="Currency 5 2 4 2 3 2 3" xfId="12730" xr:uid="{0B181A2B-C631-4524-9E1D-68D2AD1AC68A}"/>
    <cellStyle name="Currency 5 2 4 2 3 2 4" xfId="22029" xr:uid="{90F66C8D-128C-4FF6-BB2A-9F15EDD97E4D}"/>
    <cellStyle name="Currency 5 2 4 2 3 3" xfId="5476" xr:uid="{00000000-0005-0000-0000-00002D0C0000}"/>
    <cellStyle name="Currency 5 2 4 2 3 3 2" xfId="14802" xr:uid="{56969457-C9EC-43F5-9FD2-8498AED93DD1}"/>
    <cellStyle name="Currency 5 2 4 2 3 3 3" xfId="24101" xr:uid="{563FC4B5-3D63-4251-AD36-9C681BE77DF4}"/>
    <cellStyle name="Currency 5 2 4 2 3 4" xfId="10585" xr:uid="{2F699912-9BA9-4164-93B1-B531CFE44709}"/>
    <cellStyle name="Currency 5 2 4 2 3 5" xfId="19884" xr:uid="{29538C56-4F70-4257-AD29-EFEC378B3C2C}"/>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F5A2C0F1-664E-4701-8AB8-DE7C39BD0867}"/>
    <cellStyle name="Currency 5 2 4 2 4 2 2 3" xfId="26659" xr:uid="{6983FAF6-F6DB-43CA-AE2C-8FA026F5D03E}"/>
    <cellStyle name="Currency 5 2 4 2 4 2 3" xfId="13143" xr:uid="{A0615647-27A3-4BD6-9410-D186FAC22759}"/>
    <cellStyle name="Currency 5 2 4 2 4 2 4" xfId="22442" xr:uid="{331437E4-09E6-4F78-A5D4-A431811477A8}"/>
    <cellStyle name="Currency 5 2 4 2 4 3" xfId="5889" xr:uid="{00000000-0005-0000-0000-0000310C0000}"/>
    <cellStyle name="Currency 5 2 4 2 4 3 2" xfId="15215" xr:uid="{3A92D77B-1891-44E7-99E7-7548DDE4063B}"/>
    <cellStyle name="Currency 5 2 4 2 4 3 3" xfId="24514" xr:uid="{3A829237-3C70-46B6-B57D-6FBCE20EE8DE}"/>
    <cellStyle name="Currency 5 2 4 2 4 4" xfId="10998" xr:uid="{3B560DAF-11CF-4B8A-B4AE-AD162B35C044}"/>
    <cellStyle name="Currency 5 2 4 2 4 5" xfId="20297" xr:uid="{B6A54BC0-4163-46AE-BC36-2D6539EA8739}"/>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44E717F3-29D5-4FD8-9D44-A4E6E0CA4A57}"/>
    <cellStyle name="Currency 5 2 4 2 5 2 2 3" xfId="27072" xr:uid="{BB66B512-A883-4B67-8EE9-72B8C0B308F9}"/>
    <cellStyle name="Currency 5 2 4 2 5 2 3" xfId="13556" xr:uid="{9434B5BF-8745-4333-AA1F-F065869CA375}"/>
    <cellStyle name="Currency 5 2 4 2 5 2 4" xfId="22855" xr:uid="{017C232A-36D2-41A2-88E4-E2356B28C08A}"/>
    <cellStyle name="Currency 5 2 4 2 5 3" xfId="6302" xr:uid="{00000000-0005-0000-0000-0000350C0000}"/>
    <cellStyle name="Currency 5 2 4 2 5 3 2" xfId="15628" xr:uid="{B8FF3369-44BA-47FB-9CC0-F11984EE5B88}"/>
    <cellStyle name="Currency 5 2 4 2 5 3 3" xfId="24927" xr:uid="{6BE53972-0B21-41B2-8034-6EC55D9F9212}"/>
    <cellStyle name="Currency 5 2 4 2 5 4" xfId="11411" xr:uid="{9F8618EF-9C27-44AA-AB3A-AAB28B404E91}"/>
    <cellStyle name="Currency 5 2 4 2 5 5" xfId="20710" xr:uid="{1EAD0837-15E5-48F0-A5FB-DE2A2646F863}"/>
    <cellStyle name="Currency 5 2 4 2 6" xfId="2431" xr:uid="{00000000-0005-0000-0000-0000360C0000}"/>
    <cellStyle name="Currency 5 2 4 2 6 2" xfId="6715" xr:uid="{00000000-0005-0000-0000-0000370C0000}"/>
    <cellStyle name="Currency 5 2 4 2 6 2 2" xfId="16041" xr:uid="{AB82F815-24BE-456D-86F9-C96E8E4E62E3}"/>
    <cellStyle name="Currency 5 2 4 2 6 2 3" xfId="25340" xr:uid="{2424855F-5CDB-444D-A8C3-9A2F8748F68C}"/>
    <cellStyle name="Currency 5 2 4 2 6 3" xfId="11824" xr:uid="{DEF73CAC-3B6F-4F4D-BDA4-C316399FD440}"/>
    <cellStyle name="Currency 5 2 4 2 6 4" xfId="21123" xr:uid="{39961BFA-7C0C-48F8-8A54-19132E023FD0}"/>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0318F434-B221-482D-9D46-B70D56FA0C2E}"/>
    <cellStyle name="Currency 5 2 4 2 8 2 3" xfId="25657" xr:uid="{BF2A6947-4416-4CE3-A08E-8BE13E5B95B5}"/>
    <cellStyle name="Currency 5 2 4 2 8 3" xfId="12141" xr:uid="{B448502E-E314-415A-855B-272CCC0A8B1C}"/>
    <cellStyle name="Currency 5 2 4 2 8 4" xfId="21440" xr:uid="{F0333259-C0C7-4DD1-8AC8-DA8F7F78605A}"/>
    <cellStyle name="Currency 5 2 4 2 9" xfId="4649" xr:uid="{00000000-0005-0000-0000-00003B0C0000}"/>
    <cellStyle name="Currency 5 2 4 2 9 2" xfId="13975" xr:uid="{2230F89E-2150-444A-8B1D-3EE4F44468C2}"/>
    <cellStyle name="Currency 5 2 4 2 9 3" xfId="23274" xr:uid="{8D7C61BD-A54D-4BED-8B76-2584CEED55AC}"/>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E571EA56-9FC1-41DA-9C6C-CDD58554A139}"/>
    <cellStyle name="Currency 5 2 4 3 2 2 3" xfId="25832" xr:uid="{A19DC173-D8B0-4EA8-8D09-483C28F9D48A}"/>
    <cellStyle name="Currency 5 2 4 3 2 3" xfId="12316" xr:uid="{CA60B2BB-D645-470E-993B-485F545A3753}"/>
    <cellStyle name="Currency 5 2 4 3 2 4" xfId="21615" xr:uid="{08D474A8-1159-4907-A4F9-97923FD6C100}"/>
    <cellStyle name="Currency 5 2 4 3 3" xfId="5062" xr:uid="{00000000-0005-0000-0000-00003F0C0000}"/>
    <cellStyle name="Currency 5 2 4 3 3 2" xfId="14388" xr:uid="{246DFE64-8E5A-4AF7-9B3D-59BC1B1B2A39}"/>
    <cellStyle name="Currency 5 2 4 3 3 3" xfId="23687" xr:uid="{30930ADB-2931-4802-B61A-EC5C8D440EED}"/>
    <cellStyle name="Currency 5 2 4 3 4" xfId="9284" xr:uid="{1D0B72AC-AFAC-428F-8BF0-6DFF9565613D}"/>
    <cellStyle name="Currency 5 2 4 3 4 2" xfId="18599" xr:uid="{E21A5BE7-1C12-4681-9651-1DA870F4D146}"/>
    <cellStyle name="Currency 5 2 4 3 4 3" xfId="27896" xr:uid="{5132412B-2629-4FEC-85F8-65C00CB08E91}"/>
    <cellStyle name="Currency 5 2 4 3 5" xfId="10171" xr:uid="{2A8F0174-E694-4401-8071-248D4965C13D}"/>
    <cellStyle name="Currency 5 2 4 3 6" xfId="19470" xr:uid="{28D71582-22C7-4BB1-929F-AB3CB29888A6}"/>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AEDF82EB-7EF2-43BD-A50D-DCFB53BAB45D}"/>
    <cellStyle name="Currency 5 2 4 4 2 2 3" xfId="26245" xr:uid="{7C3B9FF4-1DE4-4A05-978D-F3375864953E}"/>
    <cellStyle name="Currency 5 2 4 4 2 3" xfId="12729" xr:uid="{32369D40-91D7-412A-9B1A-B07D88DFA521}"/>
    <cellStyle name="Currency 5 2 4 4 2 4" xfId="22028" xr:uid="{0173E60A-5F69-4AF5-A684-4C24CF2D0216}"/>
    <cellStyle name="Currency 5 2 4 4 3" xfId="5475" xr:uid="{00000000-0005-0000-0000-0000430C0000}"/>
    <cellStyle name="Currency 5 2 4 4 3 2" xfId="14801" xr:uid="{6495927D-4D67-47A2-9D69-2E5733DE13B1}"/>
    <cellStyle name="Currency 5 2 4 4 3 3" xfId="24100" xr:uid="{A7E9C236-FE0C-4955-BA3C-23308E2D74E1}"/>
    <cellStyle name="Currency 5 2 4 4 4" xfId="10584" xr:uid="{9658967A-9C2C-46D5-B89C-BCCAFEAE66D4}"/>
    <cellStyle name="Currency 5 2 4 4 5" xfId="19883" xr:uid="{D7E6176B-F4E1-4058-BBFA-E375BAA5B074}"/>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C7D447B9-35DF-41AB-9491-98436FC5FE4B}"/>
    <cellStyle name="Currency 5 2 4 5 2 2 3" xfId="26658" xr:uid="{42B9DAAA-B55B-4109-985B-FDCA7C49CE1F}"/>
    <cellStyle name="Currency 5 2 4 5 2 3" xfId="13142" xr:uid="{C527A309-9EA4-4747-8ACF-53BB64F77CF9}"/>
    <cellStyle name="Currency 5 2 4 5 2 4" xfId="22441" xr:uid="{21E757CA-5CD7-4B6F-A8CE-8178A48CEDE3}"/>
    <cellStyle name="Currency 5 2 4 5 3" xfId="5888" xr:uid="{00000000-0005-0000-0000-0000470C0000}"/>
    <cellStyle name="Currency 5 2 4 5 3 2" xfId="15214" xr:uid="{3FA6332A-AD89-480E-AE77-241ABF542399}"/>
    <cellStyle name="Currency 5 2 4 5 3 3" xfId="24513" xr:uid="{7B0E7FC2-7CF1-47E4-8A3B-C347BE1939F6}"/>
    <cellStyle name="Currency 5 2 4 5 4" xfId="10997" xr:uid="{F017E202-BCF4-4714-B709-2B7327A6F52D}"/>
    <cellStyle name="Currency 5 2 4 5 5" xfId="20296" xr:uid="{C9EE9FFB-83A9-4CAA-A8AA-63A05CF4C232}"/>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AFCAD2CD-61AE-4345-8BD2-AC06D85E7B92}"/>
    <cellStyle name="Currency 5 2 4 6 2 2 3" xfId="27071" xr:uid="{60B158A4-8A70-44A7-93E2-250DB1F820BE}"/>
    <cellStyle name="Currency 5 2 4 6 2 3" xfId="13555" xr:uid="{8FCEDCB7-C755-44A4-A167-7C4F459FAF34}"/>
    <cellStyle name="Currency 5 2 4 6 2 4" xfId="22854" xr:uid="{F2E124D1-9FD1-4944-94B9-07623BD718DE}"/>
    <cellStyle name="Currency 5 2 4 6 3" xfId="6301" xr:uid="{00000000-0005-0000-0000-00004B0C0000}"/>
    <cellStyle name="Currency 5 2 4 6 3 2" xfId="15627" xr:uid="{E9CD0DE5-3F92-4641-8746-2AE785505873}"/>
    <cellStyle name="Currency 5 2 4 6 3 3" xfId="24926" xr:uid="{A1025324-9789-480C-BD6C-F3825AAE166F}"/>
    <cellStyle name="Currency 5 2 4 6 4" xfId="11410" xr:uid="{7F91E904-F3AA-4A88-AF92-5923991A0B5D}"/>
    <cellStyle name="Currency 5 2 4 6 5" xfId="20709" xr:uid="{273472B9-E642-467B-905B-20F4D26F111F}"/>
    <cellStyle name="Currency 5 2 4 7" xfId="2430" xr:uid="{00000000-0005-0000-0000-00004C0C0000}"/>
    <cellStyle name="Currency 5 2 4 7 2" xfId="6714" xr:uid="{00000000-0005-0000-0000-00004D0C0000}"/>
    <cellStyle name="Currency 5 2 4 7 2 2" xfId="16040" xr:uid="{26632119-023B-4882-92D6-C7A4ECD6F208}"/>
    <cellStyle name="Currency 5 2 4 7 2 3" xfId="25339" xr:uid="{C9AE74BA-F545-4305-90EA-4945322395E0}"/>
    <cellStyle name="Currency 5 2 4 7 3" xfId="11823" xr:uid="{A00EB736-BE3B-4510-97A0-E4A402B69FF7}"/>
    <cellStyle name="Currency 5 2 4 7 4" xfId="21122" xr:uid="{FD215974-D0CF-43CC-A0BF-D3D1E19000CD}"/>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8D2DC9E2-736C-432F-AA5A-F0F61C6E3A4B}"/>
    <cellStyle name="Currency 5 2 4 9 2 3" xfId="25656" xr:uid="{B6398984-2A6B-4529-B0DE-F84D2A86F9D8}"/>
    <cellStyle name="Currency 5 2 4 9 3" xfId="12140" xr:uid="{A02B387E-583D-49C1-B547-7929AD5F4AC3}"/>
    <cellStyle name="Currency 5 2 4 9 4" xfId="21439" xr:uid="{A241969E-DAFC-4842-8CDB-E4984CDB217F}"/>
    <cellStyle name="Currency 5 2 5" xfId="207" xr:uid="{00000000-0005-0000-0000-0000510C0000}"/>
    <cellStyle name="Currency 5 2 5 10" xfId="8975" xr:uid="{3422EC31-C47F-46E0-A50C-FE05B1979387}"/>
    <cellStyle name="Currency 5 2 5 10 2" xfId="18299" xr:uid="{76387F17-24A2-4862-A3EF-3FB13C7AABC7}"/>
    <cellStyle name="Currency 5 2 5 10 3" xfId="27597" xr:uid="{83406493-284B-43F7-A172-37AF25268AF4}"/>
    <cellStyle name="Currency 5 2 5 11" xfId="9759" xr:uid="{852F100A-D4F0-4C75-B2EA-A4287C3A9FC7}"/>
    <cellStyle name="Currency 5 2 5 12" xfId="19058" xr:uid="{BE329223-27EA-479B-82A1-99BFF321C4A8}"/>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2B9D01B3-C789-4118-96F6-386451FB1244}"/>
    <cellStyle name="Currency 5 2 5 2 2 2 3" xfId="25834" xr:uid="{B14FB7F2-5B05-40BA-9AE9-12225DCAD1E7}"/>
    <cellStyle name="Currency 5 2 5 2 2 3" xfId="12318" xr:uid="{F278EFD5-0D76-4A2E-97B7-48682A83F9D0}"/>
    <cellStyle name="Currency 5 2 5 2 2 4" xfId="21617" xr:uid="{DE49EFBE-1D37-443E-9C02-A5A2A95C6001}"/>
    <cellStyle name="Currency 5 2 5 2 3" xfId="5064" xr:uid="{00000000-0005-0000-0000-0000550C0000}"/>
    <cellStyle name="Currency 5 2 5 2 3 2" xfId="14390" xr:uid="{C774E4DF-DB41-4740-9FDA-DAEA04809C8E}"/>
    <cellStyle name="Currency 5 2 5 2 3 3" xfId="23689" xr:uid="{A09D59B0-C59B-4C2D-84B8-E11ABD015011}"/>
    <cellStyle name="Currency 5 2 5 2 4" xfId="9400" xr:uid="{6620DDCD-05C0-4AFD-8A83-F1190101CCB3}"/>
    <cellStyle name="Currency 5 2 5 2 4 2" xfId="18715" xr:uid="{8F527C22-84E7-4089-9241-A17A93F46A54}"/>
    <cellStyle name="Currency 5 2 5 2 4 3" xfId="28012" xr:uid="{6AB08DA4-8C5A-416A-B696-5193FAF6EF4B}"/>
    <cellStyle name="Currency 5 2 5 2 5" xfId="10173" xr:uid="{BCE62CDB-DC58-4418-B528-A4FA51A298D7}"/>
    <cellStyle name="Currency 5 2 5 2 6" xfId="19472" xr:uid="{9D9B59A2-93AD-472B-9627-C67DC3B35D04}"/>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A334A557-F4B2-4EAB-90D7-0F1675257A9D}"/>
    <cellStyle name="Currency 5 2 5 3 2 2 3" xfId="26247" xr:uid="{6794D353-BA19-48D1-B6F0-87E8CBBAD736}"/>
    <cellStyle name="Currency 5 2 5 3 2 3" xfId="12731" xr:uid="{216E6E86-C299-457D-A249-A35495294716}"/>
    <cellStyle name="Currency 5 2 5 3 2 4" xfId="22030" xr:uid="{B91AC66F-D064-4FBA-9913-5CE900A8BFF4}"/>
    <cellStyle name="Currency 5 2 5 3 3" xfId="5477" xr:uid="{00000000-0005-0000-0000-0000590C0000}"/>
    <cellStyle name="Currency 5 2 5 3 3 2" xfId="14803" xr:uid="{0FF0D97A-42DC-4A5C-B79D-A95A7C8082AC}"/>
    <cellStyle name="Currency 5 2 5 3 3 3" xfId="24102" xr:uid="{A77CEFEF-2B93-4CEB-BE31-329281B985CE}"/>
    <cellStyle name="Currency 5 2 5 3 4" xfId="10586" xr:uid="{C1605AD3-B8D4-4A9A-9E12-49BF7FAD6B52}"/>
    <cellStyle name="Currency 5 2 5 3 5" xfId="19885" xr:uid="{741D843D-B392-4845-BC45-F8AC1D39CF3B}"/>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38258149-D273-411B-8ADD-9111F314CB28}"/>
    <cellStyle name="Currency 5 2 5 4 2 2 3" xfId="26660" xr:uid="{3DF1701C-C57E-437E-99E3-50836EE91189}"/>
    <cellStyle name="Currency 5 2 5 4 2 3" xfId="13144" xr:uid="{1414B827-A4D2-4048-B4F7-66A0439BAF40}"/>
    <cellStyle name="Currency 5 2 5 4 2 4" xfId="22443" xr:uid="{809F81D1-D103-4B8D-9318-DFE4BC6B944A}"/>
    <cellStyle name="Currency 5 2 5 4 3" xfId="5890" xr:uid="{00000000-0005-0000-0000-00005D0C0000}"/>
    <cellStyle name="Currency 5 2 5 4 3 2" xfId="15216" xr:uid="{7737B52B-BCBF-4029-927C-0AF892108AD4}"/>
    <cellStyle name="Currency 5 2 5 4 3 3" xfId="24515" xr:uid="{0AC0B9AF-A31F-4D2C-8088-864D84CF2209}"/>
    <cellStyle name="Currency 5 2 5 4 4" xfId="10999" xr:uid="{01430AF3-A003-4B96-AC9D-7B068099FD90}"/>
    <cellStyle name="Currency 5 2 5 4 5" xfId="20298" xr:uid="{9E3CBA86-E5EC-4004-94E3-06EFAFCD3696}"/>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6156C958-51B7-4A66-89E3-A59F9C6150CF}"/>
    <cellStyle name="Currency 5 2 5 5 2 2 3" xfId="27073" xr:uid="{13A37979-AF6D-4126-912A-AF799E4A07FE}"/>
    <cellStyle name="Currency 5 2 5 5 2 3" xfId="13557" xr:uid="{6C5AB350-F2DD-475A-AFD3-416725632924}"/>
    <cellStyle name="Currency 5 2 5 5 2 4" xfId="22856" xr:uid="{918228C0-7492-4FF5-80F1-EABB51CC8299}"/>
    <cellStyle name="Currency 5 2 5 5 3" xfId="6303" xr:uid="{00000000-0005-0000-0000-0000610C0000}"/>
    <cellStyle name="Currency 5 2 5 5 3 2" xfId="15629" xr:uid="{E85CF2B5-EDDF-4187-AFA4-0B2A543E5672}"/>
    <cellStyle name="Currency 5 2 5 5 3 3" xfId="24928" xr:uid="{9A28A829-6A48-4D46-B194-2891F3F82D3D}"/>
    <cellStyle name="Currency 5 2 5 5 4" xfId="11412" xr:uid="{39B3C267-A160-475A-B99D-252A81374482}"/>
    <cellStyle name="Currency 5 2 5 5 5" xfId="20711" xr:uid="{9FAAA160-2812-4C65-9249-51AEEFB68C3D}"/>
    <cellStyle name="Currency 5 2 5 6" xfId="2432" xr:uid="{00000000-0005-0000-0000-0000620C0000}"/>
    <cellStyle name="Currency 5 2 5 6 2" xfId="6716" xr:uid="{00000000-0005-0000-0000-0000630C0000}"/>
    <cellStyle name="Currency 5 2 5 6 2 2" xfId="16042" xr:uid="{8609959C-C34E-4075-A2A5-5C27E262C954}"/>
    <cellStyle name="Currency 5 2 5 6 2 3" xfId="25341" xr:uid="{8872DE7F-0CA2-4987-9FA5-8C050E4A6AB7}"/>
    <cellStyle name="Currency 5 2 5 6 3" xfId="11825" xr:uid="{8808AD06-C087-4543-943C-94C611EE7DB0}"/>
    <cellStyle name="Currency 5 2 5 6 4" xfId="21124" xr:uid="{3E785E3A-4129-4479-85E6-1EFEF4682FE6}"/>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EFD9D376-A590-44C1-9FA1-9D878EF18F77}"/>
    <cellStyle name="Currency 5 2 5 8 2 3" xfId="25658" xr:uid="{32DBD80B-D7A1-40B3-95D7-97429086A695}"/>
    <cellStyle name="Currency 5 2 5 8 3" xfId="12142" xr:uid="{01899EAF-2340-405B-A325-2125FBF6F636}"/>
    <cellStyle name="Currency 5 2 5 8 4" xfId="21441" xr:uid="{A965AE77-F742-4A59-BC9C-68C14CF78FD1}"/>
    <cellStyle name="Currency 5 2 5 9" xfId="4650" xr:uid="{00000000-0005-0000-0000-0000670C0000}"/>
    <cellStyle name="Currency 5 2 5 9 2" xfId="13976" xr:uid="{AFBFF930-B579-4573-AD69-7DF9D184D50D}"/>
    <cellStyle name="Currency 5 2 5 9 3" xfId="23275" xr:uid="{FF6EF604-F4A1-4CAA-8B94-77D7B082B65C}"/>
    <cellStyle name="Currency 5 2 6" xfId="208" xr:uid="{00000000-0005-0000-0000-0000680C0000}"/>
    <cellStyle name="Currency 5 2 6 10" xfId="9178" xr:uid="{19F6D70E-88E4-4E39-A1A9-3FF3D840E2F9}"/>
    <cellStyle name="Currency 5 2 6 10 2" xfId="18496" xr:uid="{C771AF0B-ECF2-44D1-9787-BAFBD341703E}"/>
    <cellStyle name="Currency 5 2 6 10 3" xfId="27793" xr:uid="{71D0D84B-FE63-40A7-9D93-E64C52074802}"/>
    <cellStyle name="Currency 5 2 6 11" xfId="9760" xr:uid="{93A36588-194C-43B4-BE3D-9F883EC65E1B}"/>
    <cellStyle name="Currency 5 2 6 12" xfId="19059" xr:uid="{B2C168F6-991C-42FF-BB1A-1AE9EB2EE8FA}"/>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CFE7F234-F34E-4B2E-9515-FEF40583ACA8}"/>
    <cellStyle name="Currency 5 2 6 2 2 2 3" xfId="25835" xr:uid="{FE81B160-5C6F-480E-93BE-4822D802F8C4}"/>
    <cellStyle name="Currency 5 2 6 2 2 3" xfId="12319" xr:uid="{798F5F0D-AD25-48B7-9F17-A66DE6C86511}"/>
    <cellStyle name="Currency 5 2 6 2 2 4" xfId="21618" xr:uid="{BAA2597D-30E1-4F7C-A415-ED77E23D8C4C}"/>
    <cellStyle name="Currency 5 2 6 2 3" xfId="5065" xr:uid="{00000000-0005-0000-0000-00006C0C0000}"/>
    <cellStyle name="Currency 5 2 6 2 3 2" xfId="14391" xr:uid="{8FE4271E-0DFA-4468-8A65-0AB37ADB7481}"/>
    <cellStyle name="Currency 5 2 6 2 3 3" xfId="23690" xr:uid="{668C1D0F-5B64-46EE-8150-B70C7C7DF9F1}"/>
    <cellStyle name="Currency 5 2 6 2 4" xfId="9599" xr:uid="{C2EE182C-D73D-4E6C-9671-0484CB4E8D68}"/>
    <cellStyle name="Currency 5 2 6 2 4 2" xfId="18903" xr:uid="{E08049DF-F47F-4792-A04B-4CE7A23209EE}"/>
    <cellStyle name="Currency 5 2 6 2 4 3" xfId="28200" xr:uid="{BFB61F54-8370-4A6C-989E-F0D8C1B4C666}"/>
    <cellStyle name="Currency 5 2 6 2 5" xfId="10174" xr:uid="{E5C356C8-2EF5-41B4-97A0-C1E9F91A06A9}"/>
    <cellStyle name="Currency 5 2 6 2 6" xfId="19473" xr:uid="{53E9918A-B614-4869-BFD6-ABF353628C24}"/>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CB388D38-CD13-4823-8599-F19C890BA2D9}"/>
    <cellStyle name="Currency 5 2 6 3 2 2 3" xfId="26248" xr:uid="{66807403-A66C-4FC5-A1D4-C0A5780EE402}"/>
    <cellStyle name="Currency 5 2 6 3 2 3" xfId="12732" xr:uid="{443BEAC0-7D88-4BFD-8056-FA94D8316F37}"/>
    <cellStyle name="Currency 5 2 6 3 2 4" xfId="22031" xr:uid="{9A8EF5BD-78B7-4F47-B058-172AB6623026}"/>
    <cellStyle name="Currency 5 2 6 3 3" xfId="5478" xr:uid="{00000000-0005-0000-0000-0000700C0000}"/>
    <cellStyle name="Currency 5 2 6 3 3 2" xfId="14804" xr:uid="{721F51D8-EC66-4294-A75C-9B9673335AE6}"/>
    <cellStyle name="Currency 5 2 6 3 3 3" xfId="24103" xr:uid="{062442A6-324B-46BC-BD8E-FED65A1273A5}"/>
    <cellStyle name="Currency 5 2 6 3 4" xfId="10587" xr:uid="{FE6C0E07-448C-4214-8092-364364D6A7C8}"/>
    <cellStyle name="Currency 5 2 6 3 5" xfId="19886" xr:uid="{4406FE11-42D1-453E-8F68-8B705FFC7833}"/>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56E14614-94C2-44B9-9763-40DA67A78581}"/>
    <cellStyle name="Currency 5 2 6 4 2 2 3" xfId="26661" xr:uid="{F9417874-6AF5-466F-B388-AA182B7FB7B3}"/>
    <cellStyle name="Currency 5 2 6 4 2 3" xfId="13145" xr:uid="{121B8896-003B-4811-91A8-FCF2F412881C}"/>
    <cellStyle name="Currency 5 2 6 4 2 4" xfId="22444" xr:uid="{8CB924F8-EA52-4D30-90D6-6DA6345406C7}"/>
    <cellStyle name="Currency 5 2 6 4 3" xfId="5891" xr:uid="{00000000-0005-0000-0000-0000740C0000}"/>
    <cellStyle name="Currency 5 2 6 4 3 2" xfId="15217" xr:uid="{F6D3479B-BE15-4581-BF3E-A10FFD8E6076}"/>
    <cellStyle name="Currency 5 2 6 4 3 3" xfId="24516" xr:uid="{A193C891-EAF8-4304-9584-507B1D51C82D}"/>
    <cellStyle name="Currency 5 2 6 4 4" xfId="11000" xr:uid="{46F0BC2D-FBF5-4AE0-80A8-7366CB7DAA4B}"/>
    <cellStyle name="Currency 5 2 6 4 5" xfId="20299" xr:uid="{B5D85315-D310-4F68-B28C-319B66618021}"/>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9AD37BF1-EFB5-4C87-A26F-31C8C458240E}"/>
    <cellStyle name="Currency 5 2 6 5 2 2 3" xfId="27074" xr:uid="{DFDB252D-BB08-40C1-933D-48A73B39DFB7}"/>
    <cellStyle name="Currency 5 2 6 5 2 3" xfId="13558" xr:uid="{308D8D9B-7924-4F77-8ED9-638AADF9913F}"/>
    <cellStyle name="Currency 5 2 6 5 2 4" xfId="22857" xr:uid="{381A9796-C643-4337-B56C-06785CB8139B}"/>
    <cellStyle name="Currency 5 2 6 5 3" xfId="6304" xr:uid="{00000000-0005-0000-0000-0000780C0000}"/>
    <cellStyle name="Currency 5 2 6 5 3 2" xfId="15630" xr:uid="{473D0DB1-EA6E-4DE6-B714-D3F983E2668F}"/>
    <cellStyle name="Currency 5 2 6 5 3 3" xfId="24929" xr:uid="{80BD06E9-96FE-45D1-8F06-7CE857219AF9}"/>
    <cellStyle name="Currency 5 2 6 5 4" xfId="11413" xr:uid="{BB10B9D4-4804-4594-BEFC-4B5D267F3D80}"/>
    <cellStyle name="Currency 5 2 6 5 5" xfId="20712" xr:uid="{C955BE8C-4755-49F0-A6EB-F0B4516BEDBC}"/>
    <cellStyle name="Currency 5 2 6 6" xfId="2433" xr:uid="{00000000-0005-0000-0000-0000790C0000}"/>
    <cellStyle name="Currency 5 2 6 6 2" xfId="6717" xr:uid="{00000000-0005-0000-0000-00007A0C0000}"/>
    <cellStyle name="Currency 5 2 6 6 2 2" xfId="16043" xr:uid="{69BA37E9-EA66-4960-9FF8-7D22E723A182}"/>
    <cellStyle name="Currency 5 2 6 6 2 3" xfId="25342" xr:uid="{9BC4AC37-B263-4A82-B578-0D9989F92ED5}"/>
    <cellStyle name="Currency 5 2 6 6 3" xfId="11826" xr:uid="{81D2383F-1C36-42DA-BA35-2BE3A80C6171}"/>
    <cellStyle name="Currency 5 2 6 6 4" xfId="21125" xr:uid="{85E475A1-B863-4012-8927-16854E58EA9B}"/>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CE29AADA-DCD2-417A-8E19-4D2671139AC3}"/>
    <cellStyle name="Currency 5 2 6 8 2 3" xfId="25659" xr:uid="{71D69DBF-3AA7-4AA1-899E-EF3AD73030BD}"/>
    <cellStyle name="Currency 5 2 6 8 3" xfId="12143" xr:uid="{AA468D37-1CF9-4C1E-B97F-B068C86B0373}"/>
    <cellStyle name="Currency 5 2 6 8 4" xfId="21442" xr:uid="{A1DDEC95-2B67-430E-9833-148527A33E2A}"/>
    <cellStyle name="Currency 5 2 6 9" xfId="4651" xr:uid="{00000000-0005-0000-0000-00007E0C0000}"/>
    <cellStyle name="Currency 5 2 6 9 2" xfId="13977" xr:uid="{86C7E49A-066D-4C38-B9B1-DB2B10BE107F}"/>
    <cellStyle name="Currency 5 2 6 9 3" xfId="23276" xr:uid="{D21039D9-09EA-4E9D-A8F4-129F56D45E43}"/>
    <cellStyle name="Currency 5 2 7" xfId="722" xr:uid="{00000000-0005-0000-0000-00007F0C0000}"/>
    <cellStyle name="Currency 5 2 8" xfId="8756" xr:uid="{D16196A2-D0A3-46A2-9B14-6B017B4CC82F}"/>
    <cellStyle name="Currency 5 2 8 2" xfId="18080" xr:uid="{78DC4612-58F3-41C1-B0CE-899C924FA0ED}"/>
    <cellStyle name="Currency 5 2 8 3" xfId="27378" xr:uid="{2C64A946-1FFB-4BB7-8A80-0452122EC12A}"/>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C0D440D5-D2F2-4CB9-A096-ADF751D62E2F}"/>
    <cellStyle name="Currency 5 3 2 10 2 3" xfId="25660" xr:uid="{807C5B9B-8C5D-47E6-B5D9-50AA7CA04683}"/>
    <cellStyle name="Currency 5 3 2 10 3" xfId="12144" xr:uid="{F816ECD3-33A2-48BD-9643-A32971695453}"/>
    <cellStyle name="Currency 5 3 2 10 4" xfId="21443" xr:uid="{93DD8BF1-CAF3-4F95-9ACF-EB5E03F0903C}"/>
    <cellStyle name="Currency 5 3 2 11" xfId="4652" xr:uid="{00000000-0005-0000-0000-0000840C0000}"/>
    <cellStyle name="Currency 5 3 2 11 2" xfId="13978" xr:uid="{96420E81-7413-428F-B29B-ACA4F74C2368}"/>
    <cellStyle name="Currency 5 3 2 11 3" xfId="23277" xr:uid="{C4EBC7C9-EBA3-42D2-B025-B3510E83B686}"/>
    <cellStyle name="Currency 5 3 2 12" xfId="8810" xr:uid="{C5234FF9-D509-4CD8-ADA1-D3604CCF3D1F}"/>
    <cellStyle name="Currency 5 3 2 12 2" xfId="18134" xr:uid="{33E99414-6028-4B63-9654-31CB8F447AB5}"/>
    <cellStyle name="Currency 5 3 2 12 3" xfId="27432" xr:uid="{310A8A8D-7DA5-4315-84AA-E25F57F1AD1B}"/>
    <cellStyle name="Currency 5 3 2 13" xfId="9761" xr:uid="{20DDFD29-8ABE-4806-807E-DF9B9CC762D7}"/>
    <cellStyle name="Currency 5 3 2 14" xfId="19060" xr:uid="{DF50B589-71E9-4FCA-963A-2208F4B1B347}"/>
    <cellStyle name="Currency 5 3 2 2" xfId="211" xr:uid="{00000000-0005-0000-0000-0000850C0000}"/>
    <cellStyle name="Currency 5 3 2 2 10" xfId="4653" xr:uid="{00000000-0005-0000-0000-0000860C0000}"/>
    <cellStyle name="Currency 5 3 2 2 10 2" xfId="13979" xr:uid="{1C61809C-31D9-49C5-AD45-468B398D04C3}"/>
    <cellStyle name="Currency 5 3 2 2 10 3" xfId="23278" xr:uid="{F04096E7-3C8A-49D4-8744-8021459F8D6C}"/>
    <cellStyle name="Currency 5 3 2 2 11" xfId="8913" xr:uid="{FE033F82-2F16-4925-9899-F927AB9AA612}"/>
    <cellStyle name="Currency 5 3 2 2 11 2" xfId="18237" xr:uid="{4A8126D4-0A58-486A-B2DF-4E8BE08F2C1A}"/>
    <cellStyle name="Currency 5 3 2 2 11 3" xfId="27535" xr:uid="{91B1D6BF-44D5-4618-BC13-8B9A93D4F0DE}"/>
    <cellStyle name="Currency 5 3 2 2 12" xfId="9762" xr:uid="{37C694B8-FC1E-4575-8879-556F6B03DFBF}"/>
    <cellStyle name="Currency 5 3 2 2 13" xfId="19061" xr:uid="{DD94109A-FC57-44D0-A2CE-EA9138271D93}"/>
    <cellStyle name="Currency 5 3 2 2 2" xfId="212" xr:uid="{00000000-0005-0000-0000-0000870C0000}"/>
    <cellStyle name="Currency 5 3 2 2 2 10" xfId="9120" xr:uid="{D5536A1F-8418-4CB5-B1E0-470AD716374A}"/>
    <cellStyle name="Currency 5 3 2 2 2 10 2" xfId="18444" xr:uid="{16D040D1-083D-4D59-8DCF-D25EE1CAC717}"/>
    <cellStyle name="Currency 5 3 2 2 2 10 3" xfId="27742" xr:uid="{58FEF676-6B3D-4F81-8FC4-77BEA9EA7DD4}"/>
    <cellStyle name="Currency 5 3 2 2 2 11" xfId="9763" xr:uid="{2882B6DE-C9AD-42F5-9843-3066C7FE3BF9}"/>
    <cellStyle name="Currency 5 3 2 2 2 12" xfId="19062" xr:uid="{A1DAD706-8F4F-493B-9AE8-6337980C28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F301FACB-5597-4858-A243-7B880A259481}"/>
    <cellStyle name="Currency 5 3 2 2 2 2 2 2 3" xfId="25838" xr:uid="{D304A127-9A25-4E7F-9D5C-75F9CE4EBE36}"/>
    <cellStyle name="Currency 5 3 2 2 2 2 2 3" xfId="12322" xr:uid="{358C2300-C100-4010-AB17-C3C4F5075EAB}"/>
    <cellStyle name="Currency 5 3 2 2 2 2 2 4" xfId="21621" xr:uid="{A51F82B1-7FB2-44CC-B55D-F04F3B02F0C7}"/>
    <cellStyle name="Currency 5 3 2 2 2 2 3" xfId="5068" xr:uid="{00000000-0005-0000-0000-00008B0C0000}"/>
    <cellStyle name="Currency 5 3 2 2 2 2 3 2" xfId="14394" xr:uid="{9BF00826-98F9-4CA1-8F51-0CBCE1699D55}"/>
    <cellStyle name="Currency 5 3 2 2 2 2 3 3" xfId="23693" xr:uid="{22CF3552-600E-4503-B894-2AAFB808206A}"/>
    <cellStyle name="Currency 5 3 2 2 2 2 4" xfId="9545" xr:uid="{F6C268D6-0334-42F7-AE4F-535ADD09B625}"/>
    <cellStyle name="Currency 5 3 2 2 2 2 4 2" xfId="18860" xr:uid="{AD546DC1-EB82-457D-B21A-38A800C1C9D7}"/>
    <cellStyle name="Currency 5 3 2 2 2 2 4 3" xfId="28157" xr:uid="{576BCD1C-937F-4816-9044-1858312626A1}"/>
    <cellStyle name="Currency 5 3 2 2 2 2 5" xfId="10177" xr:uid="{A1A16F1C-87AB-4FEF-8378-5BB813820587}"/>
    <cellStyle name="Currency 5 3 2 2 2 2 6" xfId="19476" xr:uid="{62A63FF4-7140-4A84-8238-ED74E205C51E}"/>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512416B9-857C-439C-8E23-644AE5645A89}"/>
    <cellStyle name="Currency 5 3 2 2 2 3 2 2 3" xfId="26251" xr:uid="{925B4DF5-D0B0-460B-B934-D6F4EE1165AD}"/>
    <cellStyle name="Currency 5 3 2 2 2 3 2 3" xfId="12735" xr:uid="{39DD8731-EB85-49A7-BF12-07966E858161}"/>
    <cellStyle name="Currency 5 3 2 2 2 3 2 4" xfId="22034" xr:uid="{7563B68F-DAAF-4DA7-96A9-542597A8EA17}"/>
    <cellStyle name="Currency 5 3 2 2 2 3 3" xfId="5481" xr:uid="{00000000-0005-0000-0000-00008F0C0000}"/>
    <cellStyle name="Currency 5 3 2 2 2 3 3 2" xfId="14807" xr:uid="{42D57544-48D3-4201-8B74-4430ECC127BD}"/>
    <cellStyle name="Currency 5 3 2 2 2 3 3 3" xfId="24106" xr:uid="{2D81A23B-0FAE-4871-84B9-75A7F41AC790}"/>
    <cellStyle name="Currency 5 3 2 2 2 3 4" xfId="10590" xr:uid="{386A9689-426A-4F95-8E71-CBBD92501869}"/>
    <cellStyle name="Currency 5 3 2 2 2 3 5" xfId="19889" xr:uid="{BA9561DC-9A6A-4D03-B9E9-2F4D5597CAD8}"/>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B7DB1F8C-9002-4856-B415-EB66836D298A}"/>
    <cellStyle name="Currency 5 3 2 2 2 4 2 2 3" xfId="26664" xr:uid="{9708AD85-BD2C-4993-8E78-0826ABA69117}"/>
    <cellStyle name="Currency 5 3 2 2 2 4 2 3" xfId="13148" xr:uid="{F6732FFC-392D-4EC9-A76C-C9BF0C4E923D}"/>
    <cellStyle name="Currency 5 3 2 2 2 4 2 4" xfId="22447" xr:uid="{9F469054-EF50-4BC6-A17B-35D7952A4759}"/>
    <cellStyle name="Currency 5 3 2 2 2 4 3" xfId="5894" xr:uid="{00000000-0005-0000-0000-0000930C0000}"/>
    <cellStyle name="Currency 5 3 2 2 2 4 3 2" xfId="15220" xr:uid="{A60E596F-9BCF-4D5B-BD04-9EDBAD2473E9}"/>
    <cellStyle name="Currency 5 3 2 2 2 4 3 3" xfId="24519" xr:uid="{4766E32B-D8A2-4423-B8BA-1F6F4E64E045}"/>
    <cellStyle name="Currency 5 3 2 2 2 4 4" xfId="11003" xr:uid="{CA484987-567A-441B-A554-46718A9479BC}"/>
    <cellStyle name="Currency 5 3 2 2 2 4 5" xfId="20302" xr:uid="{050F9987-67AB-4A78-9C4C-B347D9CF83C9}"/>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74BA3878-1BDF-4C5A-80C7-18DD008CF44F}"/>
    <cellStyle name="Currency 5 3 2 2 2 5 2 2 3" xfId="27077" xr:uid="{3E9959E5-2D82-4C86-BA19-6495342ED90B}"/>
    <cellStyle name="Currency 5 3 2 2 2 5 2 3" xfId="13561" xr:uid="{507DB0E4-7B47-44E0-A68E-56F53604CE63}"/>
    <cellStyle name="Currency 5 3 2 2 2 5 2 4" xfId="22860" xr:uid="{48A4AB16-4B10-4F8F-9C52-86E934CAA86C}"/>
    <cellStyle name="Currency 5 3 2 2 2 5 3" xfId="6307" xr:uid="{00000000-0005-0000-0000-0000970C0000}"/>
    <cellStyle name="Currency 5 3 2 2 2 5 3 2" xfId="15633" xr:uid="{0177CC38-9484-42A3-8A95-C9505EFDA9A0}"/>
    <cellStyle name="Currency 5 3 2 2 2 5 3 3" xfId="24932" xr:uid="{1D719C8E-1EB4-418B-A396-841721944FEF}"/>
    <cellStyle name="Currency 5 3 2 2 2 5 4" xfId="11416" xr:uid="{4687896D-A6DC-42E6-9452-19C499899241}"/>
    <cellStyle name="Currency 5 3 2 2 2 5 5" xfId="20715" xr:uid="{54D7C978-A6EB-49A0-ABFD-5439D573FA33}"/>
    <cellStyle name="Currency 5 3 2 2 2 6" xfId="2436" xr:uid="{00000000-0005-0000-0000-0000980C0000}"/>
    <cellStyle name="Currency 5 3 2 2 2 6 2" xfId="6720" xr:uid="{00000000-0005-0000-0000-0000990C0000}"/>
    <cellStyle name="Currency 5 3 2 2 2 6 2 2" xfId="16046" xr:uid="{69F8E901-9623-4215-8740-85F8ABF40CC9}"/>
    <cellStyle name="Currency 5 3 2 2 2 6 2 3" xfId="25345" xr:uid="{79D68CCF-D11D-4A8C-97B8-B51E7BA71FD9}"/>
    <cellStyle name="Currency 5 3 2 2 2 6 3" xfId="11829" xr:uid="{A800816E-6763-44C1-84F1-D9405AAAA454}"/>
    <cellStyle name="Currency 5 3 2 2 2 6 4" xfId="21128" xr:uid="{04822F3C-02D1-4499-9FA2-DF893B9A8FA8}"/>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51DB6614-8FEA-44EC-9E93-061CB953C5C0}"/>
    <cellStyle name="Currency 5 3 2 2 2 8 2 3" xfId="25662" xr:uid="{80F714E1-D156-4D8B-AEAD-056888478DAD}"/>
    <cellStyle name="Currency 5 3 2 2 2 8 3" xfId="12146" xr:uid="{E3F10560-60A6-43CB-A230-9B2AAA04038F}"/>
    <cellStyle name="Currency 5 3 2 2 2 8 4" xfId="21445" xr:uid="{A38F7242-A36A-4959-8B51-4A0792170DAF}"/>
    <cellStyle name="Currency 5 3 2 2 2 9" xfId="4654" xr:uid="{00000000-0005-0000-0000-00009D0C0000}"/>
    <cellStyle name="Currency 5 3 2 2 2 9 2" xfId="13980" xr:uid="{B1A24475-AC6D-470E-A628-18108244902A}"/>
    <cellStyle name="Currency 5 3 2 2 2 9 3" xfId="23279" xr:uid="{9043680C-2029-4B1F-A27F-A1FE72A26D6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C1D8890F-D428-4A32-94E8-917635DAB0B2}"/>
    <cellStyle name="Currency 5 3 2 2 3 2 2 3" xfId="25837" xr:uid="{D9CD6735-56F3-4855-B49A-14C22DFEA990}"/>
    <cellStyle name="Currency 5 3 2 2 3 2 3" xfId="12321" xr:uid="{4879D33D-775B-4726-9727-09471D4E089D}"/>
    <cellStyle name="Currency 5 3 2 2 3 2 4" xfId="21620" xr:uid="{7FBACE59-8976-4EBD-A404-9EAE7A85BD25}"/>
    <cellStyle name="Currency 5 3 2 2 3 3" xfId="5067" xr:uid="{00000000-0005-0000-0000-0000A10C0000}"/>
    <cellStyle name="Currency 5 3 2 2 3 3 2" xfId="14393" xr:uid="{BA606D61-5C2D-4304-9B17-B7C79388B8F5}"/>
    <cellStyle name="Currency 5 3 2 2 3 3 3" xfId="23692" xr:uid="{BDE2566E-C94B-4A3B-A641-54FE4260BC1A}"/>
    <cellStyle name="Currency 5 3 2 2 3 4" xfId="9338" xr:uid="{E79296CA-9516-4DDA-84B2-A3B13AAA9D9D}"/>
    <cellStyle name="Currency 5 3 2 2 3 4 2" xfId="18653" xr:uid="{AAAB8570-D9E1-42A2-8C70-B3F0A44A1835}"/>
    <cellStyle name="Currency 5 3 2 2 3 4 3" xfId="27950" xr:uid="{7D3E05A5-C8D6-4F0A-BA64-11F7423DC0AA}"/>
    <cellStyle name="Currency 5 3 2 2 3 5" xfId="10176" xr:uid="{3F68B6DA-5E7C-47C1-AD76-82EFFF0209D6}"/>
    <cellStyle name="Currency 5 3 2 2 3 6" xfId="19475" xr:uid="{EE24F66D-AD52-43C5-AE85-4906ECCF601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D6B0D287-C402-4A1C-B4F9-10B542CB2025}"/>
    <cellStyle name="Currency 5 3 2 2 4 2 2 3" xfId="26250" xr:uid="{A1FE1959-B765-4AB5-B3A9-88520CCA219E}"/>
    <cellStyle name="Currency 5 3 2 2 4 2 3" xfId="12734" xr:uid="{CD79F5A7-108B-48E1-B5FA-56CE91F8F1F1}"/>
    <cellStyle name="Currency 5 3 2 2 4 2 4" xfId="22033" xr:uid="{FC64E5A5-9F5B-46CE-97D9-2ECABB6FA41D}"/>
    <cellStyle name="Currency 5 3 2 2 4 3" xfId="5480" xr:uid="{00000000-0005-0000-0000-0000A50C0000}"/>
    <cellStyle name="Currency 5 3 2 2 4 3 2" xfId="14806" xr:uid="{C78047F9-01CB-4128-8935-2FE28D4EEDFF}"/>
    <cellStyle name="Currency 5 3 2 2 4 3 3" xfId="24105" xr:uid="{19A914AC-AC7D-4339-B4BB-27A190A37086}"/>
    <cellStyle name="Currency 5 3 2 2 4 4" xfId="10589" xr:uid="{2FD64BEF-89A8-410E-BAA0-C667904840DC}"/>
    <cellStyle name="Currency 5 3 2 2 4 5" xfId="19888" xr:uid="{7A5931B1-D8A3-4842-9AD8-6A00F086F747}"/>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1B1A9ED7-FC73-4CEB-905B-AA8354AC121C}"/>
    <cellStyle name="Currency 5 3 2 2 5 2 2 3" xfId="26663" xr:uid="{DFF87449-3109-437B-93C2-AE4EAAB59AD6}"/>
    <cellStyle name="Currency 5 3 2 2 5 2 3" xfId="13147" xr:uid="{C89C5740-17F3-45B2-9352-D08054B91810}"/>
    <cellStyle name="Currency 5 3 2 2 5 2 4" xfId="22446" xr:uid="{68E16ECC-4FFF-4832-87AB-7BE9F98458F6}"/>
    <cellStyle name="Currency 5 3 2 2 5 3" xfId="5893" xr:uid="{00000000-0005-0000-0000-0000A90C0000}"/>
    <cellStyle name="Currency 5 3 2 2 5 3 2" xfId="15219" xr:uid="{9BAC1C90-A186-445D-8263-F317477D0E3F}"/>
    <cellStyle name="Currency 5 3 2 2 5 3 3" xfId="24518" xr:uid="{DE94E1BC-9D97-4081-9859-CD936F233E5C}"/>
    <cellStyle name="Currency 5 3 2 2 5 4" xfId="11002" xr:uid="{1A6DBD50-0692-4D1C-BB16-D6B8C069082F}"/>
    <cellStyle name="Currency 5 3 2 2 5 5" xfId="20301" xr:uid="{828273B5-BA86-4F89-B8F0-D2513687B6FC}"/>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A10F79A9-DC2B-4FCD-BEA4-097B0ECE24A9}"/>
    <cellStyle name="Currency 5 3 2 2 6 2 2 3" xfId="27076" xr:uid="{57FE5F58-04B5-40D2-864A-C41E8C7A2962}"/>
    <cellStyle name="Currency 5 3 2 2 6 2 3" xfId="13560" xr:uid="{5295E965-892C-4913-97B5-AAB1E7E86F56}"/>
    <cellStyle name="Currency 5 3 2 2 6 2 4" xfId="22859" xr:uid="{F5971A16-BF98-448F-A2E6-90432924A87E}"/>
    <cellStyle name="Currency 5 3 2 2 6 3" xfId="6306" xr:uid="{00000000-0005-0000-0000-0000AD0C0000}"/>
    <cellStyle name="Currency 5 3 2 2 6 3 2" xfId="15632" xr:uid="{5837F1D0-9F5B-4B38-8C7A-AF915A8D07BE}"/>
    <cellStyle name="Currency 5 3 2 2 6 3 3" xfId="24931" xr:uid="{B96B6D74-CD48-462E-B3D6-19679C1B985C}"/>
    <cellStyle name="Currency 5 3 2 2 6 4" xfId="11415" xr:uid="{55610553-2A8A-447D-A329-2412A9A973A4}"/>
    <cellStyle name="Currency 5 3 2 2 6 5" xfId="20714" xr:uid="{569AC311-59E9-4128-A7ED-116D379F347B}"/>
    <cellStyle name="Currency 5 3 2 2 7" xfId="2435" xr:uid="{00000000-0005-0000-0000-0000AE0C0000}"/>
    <cellStyle name="Currency 5 3 2 2 7 2" xfId="6719" xr:uid="{00000000-0005-0000-0000-0000AF0C0000}"/>
    <cellStyle name="Currency 5 3 2 2 7 2 2" xfId="16045" xr:uid="{FDB3A618-E3FD-4998-8342-A7F29ABECB68}"/>
    <cellStyle name="Currency 5 3 2 2 7 2 3" xfId="25344" xr:uid="{7EA782A4-339B-4815-BE9F-63880E661FB4}"/>
    <cellStyle name="Currency 5 3 2 2 7 3" xfId="11828" xr:uid="{360FF900-80D9-4D2B-A397-C44FF2278A1A}"/>
    <cellStyle name="Currency 5 3 2 2 7 4" xfId="21127" xr:uid="{3D2BA202-2BA2-4D63-A4B4-356600A7005C}"/>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0E928685-91F8-413C-ACBC-4DAB4A429C42}"/>
    <cellStyle name="Currency 5 3 2 2 9 2 3" xfId="25661" xr:uid="{B3A34307-40E2-4771-9381-40FB0EA4EEEA}"/>
    <cellStyle name="Currency 5 3 2 2 9 3" xfId="12145" xr:uid="{1D888559-2401-42F8-ADDF-8C2BBFF96590}"/>
    <cellStyle name="Currency 5 3 2 2 9 4" xfId="21444" xr:uid="{A46B95E9-DD47-4C89-86D5-7CF07DC5FF1D}"/>
    <cellStyle name="Currency 5 3 2 3" xfId="213" xr:uid="{00000000-0005-0000-0000-0000B30C0000}"/>
    <cellStyle name="Currency 5 3 2 3 10" xfId="9017" xr:uid="{A6213F8D-EE09-4095-B9BE-99C55DEE210F}"/>
    <cellStyle name="Currency 5 3 2 3 10 2" xfId="18341" xr:uid="{50AB1C5C-600E-44F2-884E-D881AA9222F5}"/>
    <cellStyle name="Currency 5 3 2 3 10 3" xfId="27639" xr:uid="{FC2B8FA5-5664-4604-A5AD-D06C1A444F5A}"/>
    <cellStyle name="Currency 5 3 2 3 11" xfId="9764" xr:uid="{942DDA5F-9330-4896-A5DD-428CBC633AB2}"/>
    <cellStyle name="Currency 5 3 2 3 12" xfId="19063" xr:uid="{17D33AFB-DCCC-44D5-96C1-BBD8822B4DC4}"/>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C4A4ADEA-6F66-4850-99E5-D29DF789DF06}"/>
    <cellStyle name="Currency 5 3 2 3 2 2 2 3" xfId="25839" xr:uid="{745E0CEC-EAD2-49AE-A54D-EFDFD6BF312B}"/>
    <cellStyle name="Currency 5 3 2 3 2 2 3" xfId="12323" xr:uid="{BC6C288A-5C89-407D-80D4-8B28B1F10186}"/>
    <cellStyle name="Currency 5 3 2 3 2 2 4" xfId="21622" xr:uid="{8CC051DE-723B-4D19-ACDD-A398236EBFFB}"/>
    <cellStyle name="Currency 5 3 2 3 2 3" xfId="5069" xr:uid="{00000000-0005-0000-0000-0000B70C0000}"/>
    <cellStyle name="Currency 5 3 2 3 2 3 2" xfId="14395" xr:uid="{970D67AE-C231-4822-8D6A-0CF24DA28C82}"/>
    <cellStyle name="Currency 5 3 2 3 2 3 3" xfId="23694" xr:uid="{A3BEA5A9-3DA0-44D3-B583-A1A45EB7F743}"/>
    <cellStyle name="Currency 5 3 2 3 2 4" xfId="9442" xr:uid="{AE48BD1F-B5DA-4007-BBEE-128FE2FE74D7}"/>
    <cellStyle name="Currency 5 3 2 3 2 4 2" xfId="18757" xr:uid="{464E7BC9-63D1-4D7A-A3B8-22734812DE73}"/>
    <cellStyle name="Currency 5 3 2 3 2 4 3" xfId="28054" xr:uid="{8B56641D-86C6-4216-9F67-F40C676DFA5B}"/>
    <cellStyle name="Currency 5 3 2 3 2 5" xfId="10178" xr:uid="{3DA62FD5-4FCB-488C-9B10-EF1EA4A68FD3}"/>
    <cellStyle name="Currency 5 3 2 3 2 6" xfId="19477" xr:uid="{1C757E83-3F7F-45E1-A34A-15B0A3C2BAD9}"/>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77CEC33B-5A09-4E2D-B16D-7546AF14CC6B}"/>
    <cellStyle name="Currency 5 3 2 3 3 2 2 3" xfId="26252" xr:uid="{2BE74EF8-2A59-4D9E-B2D7-DADB014B1EED}"/>
    <cellStyle name="Currency 5 3 2 3 3 2 3" xfId="12736" xr:uid="{44D966B6-A583-4C47-8AF1-C8EE5CD99DAD}"/>
    <cellStyle name="Currency 5 3 2 3 3 2 4" xfId="22035" xr:uid="{8DBE34D5-1D5D-49EE-8796-0DF1F67F75B5}"/>
    <cellStyle name="Currency 5 3 2 3 3 3" xfId="5482" xr:uid="{00000000-0005-0000-0000-0000BB0C0000}"/>
    <cellStyle name="Currency 5 3 2 3 3 3 2" xfId="14808" xr:uid="{24B45BF3-32F0-43CC-8252-C9D978D68EA3}"/>
    <cellStyle name="Currency 5 3 2 3 3 3 3" xfId="24107" xr:uid="{BD0CDD8F-483E-412A-AA04-939CD29FC217}"/>
    <cellStyle name="Currency 5 3 2 3 3 4" xfId="10591" xr:uid="{ED5B7BEB-7559-4F4B-8149-2177627EA032}"/>
    <cellStyle name="Currency 5 3 2 3 3 5" xfId="19890" xr:uid="{5220D372-460D-49E9-8D36-00F741C00D35}"/>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BB48AE4A-DFA6-470E-90A1-AD6B35D4824B}"/>
    <cellStyle name="Currency 5 3 2 3 4 2 2 3" xfId="26665" xr:uid="{FD82CFFA-5477-48CC-9DC6-BEF16DEA97FA}"/>
    <cellStyle name="Currency 5 3 2 3 4 2 3" xfId="13149" xr:uid="{9E2BA93A-122C-466B-881A-154D60EE1F96}"/>
    <cellStyle name="Currency 5 3 2 3 4 2 4" xfId="22448" xr:uid="{F489B1DD-EA30-4CCD-8C74-6B6F3FC6229E}"/>
    <cellStyle name="Currency 5 3 2 3 4 3" xfId="5895" xr:uid="{00000000-0005-0000-0000-0000BF0C0000}"/>
    <cellStyle name="Currency 5 3 2 3 4 3 2" xfId="15221" xr:uid="{0862C61A-0567-4C8A-A266-E8844D6D0EEB}"/>
    <cellStyle name="Currency 5 3 2 3 4 3 3" xfId="24520" xr:uid="{D806624E-2DD5-495C-90A9-939EE35EE5CC}"/>
    <cellStyle name="Currency 5 3 2 3 4 4" xfId="11004" xr:uid="{531D69FF-AE2A-4293-888B-92006B70935D}"/>
    <cellStyle name="Currency 5 3 2 3 4 5" xfId="20303" xr:uid="{D6CDE005-D417-452F-A741-83D567D00876}"/>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A6811587-721B-4FD5-ADAF-E71211DAC797}"/>
    <cellStyle name="Currency 5 3 2 3 5 2 2 3" xfId="27078" xr:uid="{40B21DCB-1CAA-46E8-9B4C-8FAEBBD3C78B}"/>
    <cellStyle name="Currency 5 3 2 3 5 2 3" xfId="13562" xr:uid="{28C7CD83-80B9-46D0-BCD7-EC301BDB1408}"/>
    <cellStyle name="Currency 5 3 2 3 5 2 4" xfId="22861" xr:uid="{02C18DC0-3889-432B-92B8-6465A7231D4E}"/>
    <cellStyle name="Currency 5 3 2 3 5 3" xfId="6308" xr:uid="{00000000-0005-0000-0000-0000C30C0000}"/>
    <cellStyle name="Currency 5 3 2 3 5 3 2" xfId="15634" xr:uid="{3DF469E5-4323-416A-8FE5-56230BCFF073}"/>
    <cellStyle name="Currency 5 3 2 3 5 3 3" xfId="24933" xr:uid="{7E492223-B7B6-4407-9757-52B9F91CC99C}"/>
    <cellStyle name="Currency 5 3 2 3 5 4" xfId="11417" xr:uid="{AD23912C-8778-4F65-805F-0931F12787C6}"/>
    <cellStyle name="Currency 5 3 2 3 5 5" xfId="20716" xr:uid="{A3486A8E-EA23-4B2D-A4C7-541A566E8337}"/>
    <cellStyle name="Currency 5 3 2 3 6" xfId="2437" xr:uid="{00000000-0005-0000-0000-0000C40C0000}"/>
    <cellStyle name="Currency 5 3 2 3 6 2" xfId="6721" xr:uid="{00000000-0005-0000-0000-0000C50C0000}"/>
    <cellStyle name="Currency 5 3 2 3 6 2 2" xfId="16047" xr:uid="{3BDBBFC1-CA1C-4EFC-8212-C6950B251CF0}"/>
    <cellStyle name="Currency 5 3 2 3 6 2 3" xfId="25346" xr:uid="{2A21E68C-6C83-4F35-A1FD-8D9C81639888}"/>
    <cellStyle name="Currency 5 3 2 3 6 3" xfId="11830" xr:uid="{8C3B90F7-CF55-4443-B699-3CD5998002DA}"/>
    <cellStyle name="Currency 5 3 2 3 6 4" xfId="21129" xr:uid="{E4DD0C8D-513D-4CC1-B107-FE7D69CCB12C}"/>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451F4DE5-685B-4802-916D-EC002BEAF25D}"/>
    <cellStyle name="Currency 5 3 2 3 8 2 3" xfId="25663" xr:uid="{7B772D74-C03D-450B-827E-00E1108F6F16}"/>
    <cellStyle name="Currency 5 3 2 3 8 3" xfId="12147" xr:uid="{43B0AFC2-0A87-494F-857F-AC9D95E5A37D}"/>
    <cellStyle name="Currency 5 3 2 3 8 4" xfId="21446" xr:uid="{54C22734-4247-44E6-A5A3-9D7FCBE0C04A}"/>
    <cellStyle name="Currency 5 3 2 3 9" xfId="4655" xr:uid="{00000000-0005-0000-0000-0000C90C0000}"/>
    <cellStyle name="Currency 5 3 2 3 9 2" xfId="13981" xr:uid="{0DDE8216-F355-44D1-9F4E-CAE7AAB2AD34}"/>
    <cellStyle name="Currency 5 3 2 3 9 3" xfId="23280" xr:uid="{ECB04296-A407-4A04-9CDE-82E943AE41F1}"/>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EAC59BFA-989F-46D3-90A2-1DAA8561C8BC}"/>
    <cellStyle name="Currency 5 3 2 4 2 2 3" xfId="25836" xr:uid="{567E44C8-847E-4FC1-985C-19A7A9B646E7}"/>
    <cellStyle name="Currency 5 3 2 4 2 3" xfId="12320" xr:uid="{317C7FB1-2370-4E0F-BDC9-8DA8B30155A9}"/>
    <cellStyle name="Currency 5 3 2 4 2 4" xfId="21619" xr:uid="{F3F093DD-5567-4687-BEA0-03C401D81276}"/>
    <cellStyle name="Currency 5 3 2 4 3" xfId="5066" xr:uid="{00000000-0005-0000-0000-0000CD0C0000}"/>
    <cellStyle name="Currency 5 3 2 4 3 2" xfId="14392" xr:uid="{82A43A5D-CC10-42C5-9FFF-77A91D9F9A02}"/>
    <cellStyle name="Currency 5 3 2 4 3 3" xfId="23691" xr:uid="{BE2F4684-6436-4900-845E-885637A3DC45}"/>
    <cellStyle name="Currency 5 3 2 4 4" xfId="9235" xr:uid="{F2FD4117-6EF1-4663-964A-AB5B57E6F469}"/>
    <cellStyle name="Currency 5 3 2 4 4 2" xfId="18550" xr:uid="{C1BA74D7-2084-4F7A-A291-B6BE5F9684E5}"/>
    <cellStyle name="Currency 5 3 2 4 4 3" xfId="27847" xr:uid="{2FF9E120-FB2D-4D65-9B4A-6E53B9A3DC53}"/>
    <cellStyle name="Currency 5 3 2 4 5" xfId="10175" xr:uid="{120D59D5-20C9-41CC-88F9-D3011BA5D53D}"/>
    <cellStyle name="Currency 5 3 2 4 6" xfId="19474" xr:uid="{559710A2-0C7A-4E90-84AF-B660821F4393}"/>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8C451E5F-8AB6-4210-AF26-1DC10EF74DFB}"/>
    <cellStyle name="Currency 5 3 2 5 2 2 3" xfId="26249" xr:uid="{7E6CD3CA-DC58-45A0-97E2-CF6AC44327AA}"/>
    <cellStyle name="Currency 5 3 2 5 2 3" xfId="12733" xr:uid="{038A8FE9-BECB-4F5B-858E-DCC8FF076CEF}"/>
    <cellStyle name="Currency 5 3 2 5 2 4" xfId="22032" xr:uid="{BCCE7EB2-1E68-4D5E-9102-67546AD3D206}"/>
    <cellStyle name="Currency 5 3 2 5 3" xfId="5479" xr:uid="{00000000-0005-0000-0000-0000D10C0000}"/>
    <cellStyle name="Currency 5 3 2 5 3 2" xfId="14805" xr:uid="{4EF40B31-9AB5-43FF-9BD7-44467251C019}"/>
    <cellStyle name="Currency 5 3 2 5 3 3" xfId="24104" xr:uid="{F180A1DF-C2D3-4785-BE81-8909F2478CC6}"/>
    <cellStyle name="Currency 5 3 2 5 4" xfId="10588" xr:uid="{CE3301C7-F191-4891-BFFC-981A5F8EE9AB}"/>
    <cellStyle name="Currency 5 3 2 5 5" xfId="19887" xr:uid="{445716FA-5654-44A9-9B04-1EC289890EDE}"/>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5B80EA37-B2BD-4935-AEA3-CC62B7928000}"/>
    <cellStyle name="Currency 5 3 2 6 2 2 3" xfId="26662" xr:uid="{3A1B6CEF-719E-4D81-939F-8AE37302278D}"/>
    <cellStyle name="Currency 5 3 2 6 2 3" xfId="13146" xr:uid="{CD581FE7-AA8B-42E2-90ED-968DABC72837}"/>
    <cellStyle name="Currency 5 3 2 6 2 4" xfId="22445" xr:uid="{626BD04B-C9B6-4146-81B1-74096C6823CD}"/>
    <cellStyle name="Currency 5 3 2 6 3" xfId="5892" xr:uid="{00000000-0005-0000-0000-0000D50C0000}"/>
    <cellStyle name="Currency 5 3 2 6 3 2" xfId="15218" xr:uid="{F5BAD5CF-8544-4875-B013-259DAD7EAA8D}"/>
    <cellStyle name="Currency 5 3 2 6 3 3" xfId="24517" xr:uid="{966CEABB-D28B-4633-8044-824BD48AFA04}"/>
    <cellStyle name="Currency 5 3 2 6 4" xfId="11001" xr:uid="{0F7C6DB3-C88E-46CE-A6F5-D3060F5739FA}"/>
    <cellStyle name="Currency 5 3 2 6 5" xfId="20300" xr:uid="{DD8A66FF-B49B-49BE-AEAE-87F1BC19BAA5}"/>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903D67A9-C234-4BCF-98C1-E6387F6A89C0}"/>
    <cellStyle name="Currency 5 3 2 7 2 2 3" xfId="27075" xr:uid="{82F82504-60AC-48A0-A275-3018CC01F2FD}"/>
    <cellStyle name="Currency 5 3 2 7 2 3" xfId="13559" xr:uid="{67B45ECD-5942-4A1E-8C5A-1BC2DDEF7A58}"/>
    <cellStyle name="Currency 5 3 2 7 2 4" xfId="22858" xr:uid="{F8755AE8-98FA-4E8C-AA4E-96883E299E1B}"/>
    <cellStyle name="Currency 5 3 2 7 3" xfId="6305" xr:uid="{00000000-0005-0000-0000-0000D90C0000}"/>
    <cellStyle name="Currency 5 3 2 7 3 2" xfId="15631" xr:uid="{54C77FD6-E740-4540-B574-4A08DE670F6E}"/>
    <cellStyle name="Currency 5 3 2 7 3 3" xfId="24930" xr:uid="{6673C642-5C3F-452A-B9C0-DA371EB9BDDE}"/>
    <cellStyle name="Currency 5 3 2 7 4" xfId="11414" xr:uid="{3BB75F09-2AF3-4C99-9A44-E76F95337851}"/>
    <cellStyle name="Currency 5 3 2 7 5" xfId="20713" xr:uid="{E449D67D-189B-49A9-86E6-481122FAEECA}"/>
    <cellStyle name="Currency 5 3 2 8" xfId="2434" xr:uid="{00000000-0005-0000-0000-0000DA0C0000}"/>
    <cellStyle name="Currency 5 3 2 8 2" xfId="6718" xr:uid="{00000000-0005-0000-0000-0000DB0C0000}"/>
    <cellStyle name="Currency 5 3 2 8 2 2" xfId="16044" xr:uid="{52DD426B-8F04-47DB-89A6-2741B4C3141C}"/>
    <cellStyle name="Currency 5 3 2 8 2 3" xfId="25343" xr:uid="{02CFB56B-E276-43ED-80F5-F21AB05E4D1B}"/>
    <cellStyle name="Currency 5 3 2 8 3" xfId="11827" xr:uid="{CF78F624-0283-46AE-A9D8-073C17BEEF67}"/>
    <cellStyle name="Currency 5 3 2 8 4" xfId="21126" xr:uid="{D21BC89A-3C9F-4F17-8B85-ED1AE712CF98}"/>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C8823BDA-E1D7-43FB-94D5-A0F3AC8FE2C5}"/>
    <cellStyle name="Currency 5 3 3 10 3" xfId="23281" xr:uid="{1B47B937-7C0A-450D-B9CC-BBD72A2827B9}"/>
    <cellStyle name="Currency 5 3 3 11" xfId="8882" xr:uid="{A86B3ED4-B552-42F3-9E77-C6763F86EEE6}"/>
    <cellStyle name="Currency 5 3 3 11 2" xfId="18206" xr:uid="{DA0DA23F-CE66-4990-8F79-63AA8F7ADFDC}"/>
    <cellStyle name="Currency 5 3 3 11 3" xfId="27504" xr:uid="{F54B2315-8043-451C-A9A8-5027EE42774E}"/>
    <cellStyle name="Currency 5 3 3 12" xfId="9765" xr:uid="{81109EBF-6DA4-409B-98AC-F819E7D68FA3}"/>
    <cellStyle name="Currency 5 3 3 13" xfId="19064" xr:uid="{37386DB1-70EC-4EFC-85EB-DFCF8FCF20D1}"/>
    <cellStyle name="Currency 5 3 3 2" xfId="215" xr:uid="{00000000-0005-0000-0000-0000DF0C0000}"/>
    <cellStyle name="Currency 5 3 3 2 10" xfId="9089" xr:uid="{7CFB8DCC-02AE-4CC5-8E10-3D33399ECECE}"/>
    <cellStyle name="Currency 5 3 3 2 10 2" xfId="18413" xr:uid="{7B732D55-3477-4E04-B703-E5A2E862C42D}"/>
    <cellStyle name="Currency 5 3 3 2 10 3" xfId="27711" xr:uid="{F4F84154-0767-40BE-A332-B15700D7EBC7}"/>
    <cellStyle name="Currency 5 3 3 2 11" xfId="9766" xr:uid="{30FCD6DC-7487-4BB8-BE87-CCD3E2BF99D0}"/>
    <cellStyle name="Currency 5 3 3 2 12" xfId="19065" xr:uid="{6AC2192F-E8AC-4688-A132-4A03B8794169}"/>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4ADBEAFC-D5FC-4773-9037-A6A1A4AB1918}"/>
    <cellStyle name="Currency 5 3 3 2 2 2 2 3" xfId="25841" xr:uid="{FD91F1DD-DFF6-4DD7-A2A0-35ADA215EBFE}"/>
    <cellStyle name="Currency 5 3 3 2 2 2 3" xfId="12325" xr:uid="{848AD403-6355-44C8-A19A-3941D6333000}"/>
    <cellStyle name="Currency 5 3 3 2 2 2 4" xfId="21624" xr:uid="{ECA0CFE7-9C42-4576-B376-06FF9F9CA9F0}"/>
    <cellStyle name="Currency 5 3 3 2 2 3" xfId="5071" xr:uid="{00000000-0005-0000-0000-0000E30C0000}"/>
    <cellStyle name="Currency 5 3 3 2 2 3 2" xfId="14397" xr:uid="{CF1EDAA1-8E39-4AA9-A128-4FE756F507B5}"/>
    <cellStyle name="Currency 5 3 3 2 2 3 3" xfId="23696" xr:uid="{FEC82C67-B9F8-4ED5-8CA1-FCF8B383BA04}"/>
    <cellStyle name="Currency 5 3 3 2 2 4" xfId="9514" xr:uid="{9A504F43-6423-4200-B7AF-F17B65B2005C}"/>
    <cellStyle name="Currency 5 3 3 2 2 4 2" xfId="18829" xr:uid="{DCFE67DB-83F8-40A1-B640-A62B0155549E}"/>
    <cellStyle name="Currency 5 3 3 2 2 4 3" xfId="28126" xr:uid="{3117BED4-B00B-464D-B5DE-CC8457920A7C}"/>
    <cellStyle name="Currency 5 3 3 2 2 5" xfId="10180" xr:uid="{0165EDA0-84CB-40A3-AD66-F68B098B6A1E}"/>
    <cellStyle name="Currency 5 3 3 2 2 6" xfId="19479" xr:uid="{EEB6918D-3F0F-46A7-BAB0-DC6ABA46B94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56B22A81-B165-4E7A-A5E1-6A92AD3FB551}"/>
    <cellStyle name="Currency 5 3 3 2 3 2 2 3" xfId="26254" xr:uid="{6C8CBC74-7635-4EE2-91AA-6F77348692D9}"/>
    <cellStyle name="Currency 5 3 3 2 3 2 3" xfId="12738" xr:uid="{B76A1E94-B545-4FBB-AD69-DF97E3F412B8}"/>
    <cellStyle name="Currency 5 3 3 2 3 2 4" xfId="22037" xr:uid="{29D02E4B-B92C-4CBF-9A21-0C1AF7C7C31D}"/>
    <cellStyle name="Currency 5 3 3 2 3 3" xfId="5484" xr:uid="{00000000-0005-0000-0000-0000E70C0000}"/>
    <cellStyle name="Currency 5 3 3 2 3 3 2" xfId="14810" xr:uid="{8C75A939-85E9-4E04-9812-AE01D1F770C1}"/>
    <cellStyle name="Currency 5 3 3 2 3 3 3" xfId="24109" xr:uid="{B00ADB71-CD62-4EC2-8189-370193985B3F}"/>
    <cellStyle name="Currency 5 3 3 2 3 4" xfId="10593" xr:uid="{D4D7D770-3274-4F75-836B-1A0B91BD3CF8}"/>
    <cellStyle name="Currency 5 3 3 2 3 5" xfId="19892" xr:uid="{ED9F8909-1DF2-457B-B877-89213DEC77A1}"/>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D504A27D-92A2-492A-BE33-FB4727EF6C98}"/>
    <cellStyle name="Currency 5 3 3 2 4 2 2 3" xfId="26667" xr:uid="{E036E884-1D46-494C-8C78-BAD4BB427CAD}"/>
    <cellStyle name="Currency 5 3 3 2 4 2 3" xfId="13151" xr:uid="{904DD7A1-AFEB-42EF-AC99-A5E24B943C10}"/>
    <cellStyle name="Currency 5 3 3 2 4 2 4" xfId="22450" xr:uid="{09016962-470D-4ADD-99FA-94494C8E8BED}"/>
    <cellStyle name="Currency 5 3 3 2 4 3" xfId="5897" xr:uid="{00000000-0005-0000-0000-0000EB0C0000}"/>
    <cellStyle name="Currency 5 3 3 2 4 3 2" xfId="15223" xr:uid="{90E26C14-7932-4E00-822B-3880FA4FFEDC}"/>
    <cellStyle name="Currency 5 3 3 2 4 3 3" xfId="24522" xr:uid="{4B947982-E80C-4EF2-A8A3-D351B5CB6C68}"/>
    <cellStyle name="Currency 5 3 3 2 4 4" xfId="11006" xr:uid="{3F60089B-FCA7-4437-B0ED-7BB67E949F11}"/>
    <cellStyle name="Currency 5 3 3 2 4 5" xfId="20305" xr:uid="{440FDCFE-3254-497B-BEBF-5BDCA2F9EED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E6522EC0-41A1-48B6-A376-B6206F7C0E9C}"/>
    <cellStyle name="Currency 5 3 3 2 5 2 2 3" xfId="27080" xr:uid="{C7038DDE-0FF8-4F52-9C8F-F163AF6371F3}"/>
    <cellStyle name="Currency 5 3 3 2 5 2 3" xfId="13564" xr:uid="{4726AC39-5ADD-4701-BC8E-A38FCBF9FBA2}"/>
    <cellStyle name="Currency 5 3 3 2 5 2 4" xfId="22863" xr:uid="{4FF1DABF-A8EB-41A6-BCBF-DF35B473E6AF}"/>
    <cellStyle name="Currency 5 3 3 2 5 3" xfId="6310" xr:uid="{00000000-0005-0000-0000-0000EF0C0000}"/>
    <cellStyle name="Currency 5 3 3 2 5 3 2" xfId="15636" xr:uid="{7E5040C4-F47F-48E6-8F2E-105F6CC9762F}"/>
    <cellStyle name="Currency 5 3 3 2 5 3 3" xfId="24935" xr:uid="{D1B13484-FE23-4800-8709-5883A62475FB}"/>
    <cellStyle name="Currency 5 3 3 2 5 4" xfId="11419" xr:uid="{B8841837-F2CE-4A9F-AAF3-9C9300F663E8}"/>
    <cellStyle name="Currency 5 3 3 2 5 5" xfId="20718" xr:uid="{BCE44B4E-F8A1-4C7D-902B-AAC3194D2E8A}"/>
    <cellStyle name="Currency 5 3 3 2 6" xfId="2439" xr:uid="{00000000-0005-0000-0000-0000F00C0000}"/>
    <cellStyle name="Currency 5 3 3 2 6 2" xfId="6723" xr:uid="{00000000-0005-0000-0000-0000F10C0000}"/>
    <cellStyle name="Currency 5 3 3 2 6 2 2" xfId="16049" xr:uid="{EBAB07EB-75BC-4D84-8328-B0E42900834E}"/>
    <cellStyle name="Currency 5 3 3 2 6 2 3" xfId="25348" xr:uid="{633C65F8-3A9C-4F13-8B2E-C1FBC8D9AFEB}"/>
    <cellStyle name="Currency 5 3 3 2 6 3" xfId="11832" xr:uid="{467BE70B-1604-46F5-B4DD-CADD5453873E}"/>
    <cellStyle name="Currency 5 3 3 2 6 4" xfId="21131" xr:uid="{DAE08D7D-4335-4B1E-8705-7727AFECAA88}"/>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7672F8DD-7134-4ABC-9942-3B6C7C95C491}"/>
    <cellStyle name="Currency 5 3 3 2 8 2 3" xfId="25665" xr:uid="{8C9287AB-DD5A-404A-91C7-8A23C63D2EF2}"/>
    <cellStyle name="Currency 5 3 3 2 8 3" xfId="12149" xr:uid="{FB4E0AFD-B827-4DE0-BCAB-4D4082675646}"/>
    <cellStyle name="Currency 5 3 3 2 8 4" xfId="21448" xr:uid="{D2FCE5F1-B27D-42BE-93EC-C10A6EC6FA74}"/>
    <cellStyle name="Currency 5 3 3 2 9" xfId="4657" xr:uid="{00000000-0005-0000-0000-0000F50C0000}"/>
    <cellStyle name="Currency 5 3 3 2 9 2" xfId="13983" xr:uid="{3F2C7AE3-C95B-433C-85F5-4CA55789D20C}"/>
    <cellStyle name="Currency 5 3 3 2 9 3" xfId="23282" xr:uid="{E24B7822-632E-42F5-B861-F006BF87810E}"/>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EA73EB08-3F8C-4E81-8E1B-3B7BD1C6828E}"/>
    <cellStyle name="Currency 5 3 3 3 2 2 3" xfId="25840" xr:uid="{FC56CB7C-6B26-4C1E-AA78-A82CA18BD7A3}"/>
    <cellStyle name="Currency 5 3 3 3 2 3" xfId="12324" xr:uid="{251E6F8E-4BA7-4D3B-A85A-E3FE7FFCF8B8}"/>
    <cellStyle name="Currency 5 3 3 3 2 4" xfId="21623" xr:uid="{6E87E85A-EF12-4CB6-A322-E8FC61415015}"/>
    <cellStyle name="Currency 5 3 3 3 3" xfId="5070" xr:uid="{00000000-0005-0000-0000-0000F90C0000}"/>
    <cellStyle name="Currency 5 3 3 3 3 2" xfId="14396" xr:uid="{60E14EC2-F176-45C9-838D-80439547C7E5}"/>
    <cellStyle name="Currency 5 3 3 3 3 3" xfId="23695" xr:uid="{E78919C9-09A7-493B-8168-2D405E840EA9}"/>
    <cellStyle name="Currency 5 3 3 3 4" xfId="9307" xr:uid="{3F0512A0-B779-46E4-A963-62E327C6AC5F}"/>
    <cellStyle name="Currency 5 3 3 3 4 2" xfId="18622" xr:uid="{969E9BAA-8B40-4D1E-A0C1-561500C79D96}"/>
    <cellStyle name="Currency 5 3 3 3 4 3" xfId="27919" xr:uid="{FFFC6437-6A84-4C39-B895-177359FD3B8D}"/>
    <cellStyle name="Currency 5 3 3 3 5" xfId="10179" xr:uid="{021776B5-AD4E-412B-AD89-87F8B46D1FDA}"/>
    <cellStyle name="Currency 5 3 3 3 6" xfId="19478" xr:uid="{09A252E8-6E45-4748-8126-D1E3CAC1B6C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109550C6-2B34-41AA-9A56-28A666865698}"/>
    <cellStyle name="Currency 5 3 3 4 2 2 3" xfId="26253" xr:uid="{6250B82C-08AA-4B5B-B572-8F09FFE833B9}"/>
    <cellStyle name="Currency 5 3 3 4 2 3" xfId="12737" xr:uid="{9194C228-7A81-4797-84F7-15D6B050BD66}"/>
    <cellStyle name="Currency 5 3 3 4 2 4" xfId="22036" xr:uid="{D1C9B587-8B16-440E-98E7-DCEFFFC9B67A}"/>
    <cellStyle name="Currency 5 3 3 4 3" xfId="5483" xr:uid="{00000000-0005-0000-0000-0000FD0C0000}"/>
    <cellStyle name="Currency 5 3 3 4 3 2" xfId="14809" xr:uid="{58BF078A-7685-457B-A47B-54921EBC6F76}"/>
    <cellStyle name="Currency 5 3 3 4 3 3" xfId="24108" xr:uid="{60F8A580-C5E0-4B23-87BF-2DEDF16E1F0F}"/>
    <cellStyle name="Currency 5 3 3 4 4" xfId="10592" xr:uid="{CF4B8C50-541C-4E73-9113-7E918EC774CD}"/>
    <cellStyle name="Currency 5 3 3 4 5" xfId="19891" xr:uid="{36EA3890-0BAE-4DC1-B9EB-16C14B847FB9}"/>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3EDC29E1-390B-473A-A8F2-A9D4590EB8A6}"/>
    <cellStyle name="Currency 5 3 3 5 2 2 3" xfId="26666" xr:uid="{5524D92E-8D99-4373-9D45-14B04EC67A8E}"/>
    <cellStyle name="Currency 5 3 3 5 2 3" xfId="13150" xr:uid="{07C37569-5BD0-4D79-B8FD-0D1883EBB088}"/>
    <cellStyle name="Currency 5 3 3 5 2 4" xfId="22449" xr:uid="{CA3ED337-BC1A-465B-94D7-A1F2A278A036}"/>
    <cellStyle name="Currency 5 3 3 5 3" xfId="5896" xr:uid="{00000000-0005-0000-0000-0000010D0000}"/>
    <cellStyle name="Currency 5 3 3 5 3 2" xfId="15222" xr:uid="{32ED3B56-A46E-45AC-95B2-691CC1BD7609}"/>
    <cellStyle name="Currency 5 3 3 5 3 3" xfId="24521" xr:uid="{1436B4F2-DDF4-43CC-B547-C0E72938F15D}"/>
    <cellStyle name="Currency 5 3 3 5 4" xfId="11005" xr:uid="{E77A86FA-0CE3-4BB7-B950-90639212F296}"/>
    <cellStyle name="Currency 5 3 3 5 5" xfId="20304" xr:uid="{5A7B6F57-4276-461D-8775-1F3D536BE01C}"/>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D6DDC905-B5C4-4916-9479-2F6500127202}"/>
    <cellStyle name="Currency 5 3 3 6 2 2 3" xfId="27079" xr:uid="{1A9A293F-DEE4-4F87-A69F-1FBF21927174}"/>
    <cellStyle name="Currency 5 3 3 6 2 3" xfId="13563" xr:uid="{EE4600F6-521A-4DA5-86D8-523795AFD915}"/>
    <cellStyle name="Currency 5 3 3 6 2 4" xfId="22862" xr:uid="{60B36BEF-AF8C-4E51-81E4-6943571602AF}"/>
    <cellStyle name="Currency 5 3 3 6 3" xfId="6309" xr:uid="{00000000-0005-0000-0000-0000050D0000}"/>
    <cellStyle name="Currency 5 3 3 6 3 2" xfId="15635" xr:uid="{41AA4225-D394-4C47-99F6-0EB73C632439}"/>
    <cellStyle name="Currency 5 3 3 6 3 3" xfId="24934" xr:uid="{384D45EA-60F8-438F-8216-4FD2C78E137B}"/>
    <cellStyle name="Currency 5 3 3 6 4" xfId="11418" xr:uid="{B30F64ED-031D-4839-9FD8-BA03B3CA541E}"/>
    <cellStyle name="Currency 5 3 3 6 5" xfId="20717" xr:uid="{89D173DE-BFF6-4CDE-A836-0BF50373DB20}"/>
    <cellStyle name="Currency 5 3 3 7" xfId="2438" xr:uid="{00000000-0005-0000-0000-0000060D0000}"/>
    <cellStyle name="Currency 5 3 3 7 2" xfId="6722" xr:uid="{00000000-0005-0000-0000-0000070D0000}"/>
    <cellStyle name="Currency 5 3 3 7 2 2" xfId="16048" xr:uid="{401D662D-0F9D-456F-AF08-B292B2BDA2AA}"/>
    <cellStyle name="Currency 5 3 3 7 2 3" xfId="25347" xr:uid="{8AD1E611-DDE3-4369-BE96-05647C88652F}"/>
    <cellStyle name="Currency 5 3 3 7 3" xfId="11831" xr:uid="{007E11BB-9AEC-4A7B-887E-C8549DA99746}"/>
    <cellStyle name="Currency 5 3 3 7 4" xfId="21130" xr:uid="{A7231634-AC31-4CE9-9A6C-DBB052CB1996}"/>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8EFCEBCC-AFFE-42C1-87CB-14901C992AC9}"/>
    <cellStyle name="Currency 5 3 3 9 2 3" xfId="25664" xr:uid="{2B4749FB-7EE6-4588-A7F6-919EEBA40A1B}"/>
    <cellStyle name="Currency 5 3 3 9 3" xfId="12148" xr:uid="{1A1244E2-F3ED-4803-965B-BF43C54C5235}"/>
    <cellStyle name="Currency 5 3 3 9 4" xfId="21447" xr:uid="{1DBDF27E-EC92-499B-98F2-1D9AFEF2956A}"/>
    <cellStyle name="Currency 5 3 4" xfId="216" xr:uid="{00000000-0005-0000-0000-00000B0D0000}"/>
    <cellStyle name="Currency 5 3 4 10" xfId="8986" xr:uid="{4F6CFA4A-F10A-4043-AD92-C0A3F7F06459}"/>
    <cellStyle name="Currency 5 3 4 10 2" xfId="18310" xr:uid="{49F71CA6-92E3-44C1-B0CE-D4DE4FB0BDF7}"/>
    <cellStyle name="Currency 5 3 4 10 3" xfId="27608" xr:uid="{964DFA16-D643-4EE2-BF19-F71E7EFD0712}"/>
    <cellStyle name="Currency 5 3 4 11" xfId="9767" xr:uid="{238090C0-60E9-4DF2-91A1-CDB285895E97}"/>
    <cellStyle name="Currency 5 3 4 12" xfId="19066" xr:uid="{A2D84BBD-7D5C-4CC5-AC75-1799937FD324}"/>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115C5A2E-0098-4E63-BF39-4906C4C1C472}"/>
    <cellStyle name="Currency 5 3 4 2 2 2 3" xfId="25842" xr:uid="{09076D58-B030-4FE6-AD14-57E172322519}"/>
    <cellStyle name="Currency 5 3 4 2 2 3" xfId="12326" xr:uid="{04600030-6ED1-4CB0-B327-D64F74B8D444}"/>
    <cellStyle name="Currency 5 3 4 2 2 4" xfId="21625" xr:uid="{F2FA70DB-46C5-4B05-8BB7-F95FE3E2004E}"/>
    <cellStyle name="Currency 5 3 4 2 3" xfId="5072" xr:uid="{00000000-0005-0000-0000-00000F0D0000}"/>
    <cellStyle name="Currency 5 3 4 2 3 2" xfId="14398" xr:uid="{96B73B13-0005-4C1C-A164-3032F1B9A3CE}"/>
    <cellStyle name="Currency 5 3 4 2 3 3" xfId="23697" xr:uid="{46243854-E03A-4245-9EFB-A734A5BFA561}"/>
    <cellStyle name="Currency 5 3 4 2 4" xfId="9411" xr:uid="{2729DEB6-408B-463E-B468-91D932C31FD7}"/>
    <cellStyle name="Currency 5 3 4 2 4 2" xfId="18726" xr:uid="{0EA4EF07-8D26-4B38-8550-1C82C8621B72}"/>
    <cellStyle name="Currency 5 3 4 2 4 3" xfId="28023" xr:uid="{F1D9C489-395C-40F9-AE78-23AE498AACDA}"/>
    <cellStyle name="Currency 5 3 4 2 5" xfId="10181" xr:uid="{00FA9F9C-AD01-466F-B559-17021C311E47}"/>
    <cellStyle name="Currency 5 3 4 2 6" xfId="19480" xr:uid="{190E4BFC-6665-4B01-9788-D39CACE00DF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ED309E41-3DE1-490F-AECD-69AD4B38A294}"/>
    <cellStyle name="Currency 5 3 4 3 2 2 3" xfId="26255" xr:uid="{831E78B0-356D-4D66-BFA1-B8B4E5FF4819}"/>
    <cellStyle name="Currency 5 3 4 3 2 3" xfId="12739" xr:uid="{56A6F296-B33E-45B6-B7C4-0AEC98A81B6D}"/>
    <cellStyle name="Currency 5 3 4 3 2 4" xfId="22038" xr:uid="{4261CB6B-8EE8-49F2-B843-1EA4F45C6092}"/>
    <cellStyle name="Currency 5 3 4 3 3" xfId="5485" xr:uid="{00000000-0005-0000-0000-0000130D0000}"/>
    <cellStyle name="Currency 5 3 4 3 3 2" xfId="14811" xr:uid="{28BD9D2B-E8EF-4893-A002-EF794696DB03}"/>
    <cellStyle name="Currency 5 3 4 3 3 3" xfId="24110" xr:uid="{3F43E049-9C04-43DC-9560-AA44FC17816E}"/>
    <cellStyle name="Currency 5 3 4 3 4" xfId="10594" xr:uid="{48491855-F3D1-4D0A-96EE-860CC2FE5310}"/>
    <cellStyle name="Currency 5 3 4 3 5" xfId="19893" xr:uid="{3214B4DD-EA98-44CF-8419-AF0022B630D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2AEF73D9-8261-418A-A931-E8949A030D01}"/>
    <cellStyle name="Currency 5 3 4 4 2 2 3" xfId="26668" xr:uid="{177ACE10-03FE-4986-AAFC-F6B84E0B56C1}"/>
    <cellStyle name="Currency 5 3 4 4 2 3" xfId="13152" xr:uid="{496C5AEC-8551-4031-9E88-831C9B7AD865}"/>
    <cellStyle name="Currency 5 3 4 4 2 4" xfId="22451" xr:uid="{167563B6-B7B0-4847-A7D5-F1EAE7BCEF21}"/>
    <cellStyle name="Currency 5 3 4 4 3" xfId="5898" xr:uid="{00000000-0005-0000-0000-0000170D0000}"/>
    <cellStyle name="Currency 5 3 4 4 3 2" xfId="15224" xr:uid="{1A71679A-9E61-47A1-B037-821A7A327F7B}"/>
    <cellStyle name="Currency 5 3 4 4 3 3" xfId="24523" xr:uid="{FECCD0C3-A69B-4C00-A5C7-3D2CBECBDE6C}"/>
    <cellStyle name="Currency 5 3 4 4 4" xfId="11007" xr:uid="{CB342C6B-CC8F-4896-ACD6-DA077766FE3B}"/>
    <cellStyle name="Currency 5 3 4 4 5" xfId="20306" xr:uid="{75F362C5-39B5-437B-A9BF-5C8059A584DD}"/>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36535F80-821B-4F10-B2A7-5D39C11E1636}"/>
    <cellStyle name="Currency 5 3 4 5 2 2 3" xfId="27081" xr:uid="{16BB0C0A-3A4B-4460-BB57-2C3146AFAD07}"/>
    <cellStyle name="Currency 5 3 4 5 2 3" xfId="13565" xr:uid="{1FD57B01-C49E-4867-B9CD-7280D390A034}"/>
    <cellStyle name="Currency 5 3 4 5 2 4" xfId="22864" xr:uid="{8B209633-F63D-4B3C-B56F-C09586DB214B}"/>
    <cellStyle name="Currency 5 3 4 5 3" xfId="6311" xr:uid="{00000000-0005-0000-0000-00001B0D0000}"/>
    <cellStyle name="Currency 5 3 4 5 3 2" xfId="15637" xr:uid="{22AB390D-F21D-41EB-BBC0-8057F1003BF9}"/>
    <cellStyle name="Currency 5 3 4 5 3 3" xfId="24936" xr:uid="{08EEFA50-E243-441D-B919-3CF9B0E08DC1}"/>
    <cellStyle name="Currency 5 3 4 5 4" xfId="11420" xr:uid="{1F5402B8-CFCF-44B9-8B65-AFD1691C5DDD}"/>
    <cellStyle name="Currency 5 3 4 5 5" xfId="20719" xr:uid="{CFC8E02C-C578-4D1D-AFD7-6FC92527589F}"/>
    <cellStyle name="Currency 5 3 4 6" xfId="2440" xr:uid="{00000000-0005-0000-0000-00001C0D0000}"/>
    <cellStyle name="Currency 5 3 4 6 2" xfId="6724" xr:uid="{00000000-0005-0000-0000-00001D0D0000}"/>
    <cellStyle name="Currency 5 3 4 6 2 2" xfId="16050" xr:uid="{A8D1A492-0203-4515-8864-D1F4248EC5B2}"/>
    <cellStyle name="Currency 5 3 4 6 2 3" xfId="25349" xr:uid="{DA4C17B2-A22C-4DD8-A735-745FDB76F18A}"/>
    <cellStyle name="Currency 5 3 4 6 3" xfId="11833" xr:uid="{6BE5CE3F-10BC-4A12-B954-48115FA90F4C}"/>
    <cellStyle name="Currency 5 3 4 6 4" xfId="21132" xr:uid="{021DB282-AEC1-4678-84C9-BD52A50F24BB}"/>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DEFA6CF0-CD6A-4E4F-BA8E-7607912EC410}"/>
    <cellStyle name="Currency 5 3 4 8 2 3" xfId="25666" xr:uid="{22821DDC-1F3F-4279-A1F5-080486F6F4D1}"/>
    <cellStyle name="Currency 5 3 4 8 3" xfId="12150" xr:uid="{3E7C9BFD-F665-4B9B-BC32-3E1767B27ABC}"/>
    <cellStyle name="Currency 5 3 4 8 4" xfId="21449" xr:uid="{938076AD-CAE6-429D-B190-2F32CC00E57C}"/>
    <cellStyle name="Currency 5 3 4 9" xfId="4658" xr:uid="{00000000-0005-0000-0000-0000210D0000}"/>
    <cellStyle name="Currency 5 3 4 9 2" xfId="13984" xr:uid="{CB097A59-7301-4DAD-9EE7-50F67EA1E112}"/>
    <cellStyle name="Currency 5 3 4 9 3" xfId="23283" xr:uid="{15C9452C-7D1A-47C7-A31B-D13BC1DFBC01}"/>
    <cellStyle name="Currency 5 3 5" xfId="217" xr:uid="{00000000-0005-0000-0000-0000220D0000}"/>
    <cellStyle name="Currency 5 3 5 10" xfId="9203" xr:uid="{6167CBBD-227C-4457-B6B6-18EF5C089771}"/>
    <cellStyle name="Currency 5 3 5 10 2" xfId="18519" xr:uid="{EE635590-4A94-4EDD-BF0E-794295D30663}"/>
    <cellStyle name="Currency 5 3 5 10 3" xfId="27816" xr:uid="{E07A424A-730D-442F-AF65-6C1DEC591AD3}"/>
    <cellStyle name="Currency 5 3 5 11" xfId="9768" xr:uid="{F5643EB8-666C-45A8-833D-577F8928F896}"/>
    <cellStyle name="Currency 5 3 5 12" xfId="19067" xr:uid="{BD18F4D8-D2F2-4028-9857-D69131FE3A63}"/>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6D937F96-412F-4812-998D-2E9F43F46A84}"/>
    <cellStyle name="Currency 5 3 5 2 2 2 3" xfId="25843" xr:uid="{4A937D92-140B-4513-AC0E-CC4FA1D395BD}"/>
    <cellStyle name="Currency 5 3 5 2 2 3" xfId="12327" xr:uid="{04FE788D-8113-4454-84C0-32B86384F81F}"/>
    <cellStyle name="Currency 5 3 5 2 2 4" xfId="21626" xr:uid="{51F2593C-6161-4C63-92EF-B862432D9C69}"/>
    <cellStyle name="Currency 5 3 5 2 3" xfId="5073" xr:uid="{00000000-0005-0000-0000-0000260D0000}"/>
    <cellStyle name="Currency 5 3 5 2 3 2" xfId="14399" xr:uid="{E3A3DA23-5102-4904-844A-07C75996D038}"/>
    <cellStyle name="Currency 5 3 5 2 3 3" xfId="23698" xr:uid="{9898DF9D-A2E3-430B-8206-383A26F7BB02}"/>
    <cellStyle name="Currency 5 3 5 2 4" xfId="9600" xr:uid="{650A4058-48FE-4F3E-8845-8F52DF332026}"/>
    <cellStyle name="Currency 5 3 5 2 4 2" xfId="18904" xr:uid="{CF8362AF-D295-4B77-A85B-99D823819CD8}"/>
    <cellStyle name="Currency 5 3 5 2 4 3" xfId="28201" xr:uid="{BB1C9938-E208-4DA5-BFB4-77F4021091C5}"/>
    <cellStyle name="Currency 5 3 5 2 5" xfId="10182" xr:uid="{7D4C0849-50BB-46AE-8489-E86A9E26412E}"/>
    <cellStyle name="Currency 5 3 5 2 6" xfId="19481" xr:uid="{D1233438-EEE0-4EE0-B5C3-84D57150025D}"/>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B0673BC8-ADE2-4E47-B906-70F7F1AC7B1C}"/>
    <cellStyle name="Currency 5 3 5 3 2 2 3" xfId="26256" xr:uid="{EA9BF36E-5E7B-4792-A1C4-93AC76007156}"/>
    <cellStyle name="Currency 5 3 5 3 2 3" xfId="12740" xr:uid="{0747EB5E-D427-49CF-8299-7635D6DB5CA3}"/>
    <cellStyle name="Currency 5 3 5 3 2 4" xfId="22039" xr:uid="{9E97145C-CA8F-44FB-BA7A-654FE626D445}"/>
    <cellStyle name="Currency 5 3 5 3 3" xfId="5486" xr:uid="{00000000-0005-0000-0000-00002A0D0000}"/>
    <cellStyle name="Currency 5 3 5 3 3 2" xfId="14812" xr:uid="{7766E410-A07C-426E-8764-6F43ADA35C1A}"/>
    <cellStyle name="Currency 5 3 5 3 3 3" xfId="24111" xr:uid="{53508B53-A80E-494B-A9AA-9E65A109BBFF}"/>
    <cellStyle name="Currency 5 3 5 3 4" xfId="10595" xr:uid="{43B255A4-8846-406F-8446-F7234C3D9123}"/>
    <cellStyle name="Currency 5 3 5 3 5" xfId="19894" xr:uid="{1BCF6055-D172-4937-AF0A-6C964CA2EE7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2FBEA4EA-B627-41A1-AACB-D0C46767B543}"/>
    <cellStyle name="Currency 5 3 5 4 2 2 3" xfId="26669" xr:uid="{9B53357C-8A0E-4774-900C-67AB82FCC5E3}"/>
    <cellStyle name="Currency 5 3 5 4 2 3" xfId="13153" xr:uid="{7205EB41-186C-4CC9-8451-9EAF3F0F69D8}"/>
    <cellStyle name="Currency 5 3 5 4 2 4" xfId="22452" xr:uid="{DEFC920F-A938-4036-AC25-22FA5403A122}"/>
    <cellStyle name="Currency 5 3 5 4 3" xfId="5899" xr:uid="{00000000-0005-0000-0000-00002E0D0000}"/>
    <cellStyle name="Currency 5 3 5 4 3 2" xfId="15225" xr:uid="{FB134C66-3AA3-4DBD-BCC3-91B939BFB6B1}"/>
    <cellStyle name="Currency 5 3 5 4 3 3" xfId="24524" xr:uid="{A2806764-169D-440D-B716-FFFB16D532BC}"/>
    <cellStyle name="Currency 5 3 5 4 4" xfId="11008" xr:uid="{201DC317-F809-41C2-8AAC-CD95DF227D25}"/>
    <cellStyle name="Currency 5 3 5 4 5" xfId="20307" xr:uid="{A9DEFDF9-E947-4085-B434-40D9C0655D00}"/>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D2645384-0C57-4E16-87AD-DF26E83B486B}"/>
    <cellStyle name="Currency 5 3 5 5 2 2 3" xfId="27082" xr:uid="{D1D1E170-3F71-44B5-ABE0-4DC0F21D74AC}"/>
    <cellStyle name="Currency 5 3 5 5 2 3" xfId="13566" xr:uid="{97342870-A84F-4F10-8D53-244BB80DDBA8}"/>
    <cellStyle name="Currency 5 3 5 5 2 4" xfId="22865" xr:uid="{48469E47-D379-4348-AE5C-5C0694EEB310}"/>
    <cellStyle name="Currency 5 3 5 5 3" xfId="6312" xr:uid="{00000000-0005-0000-0000-0000320D0000}"/>
    <cellStyle name="Currency 5 3 5 5 3 2" xfId="15638" xr:uid="{DDA75283-CE77-4B76-87E7-5231DA6466B7}"/>
    <cellStyle name="Currency 5 3 5 5 3 3" xfId="24937" xr:uid="{54A19D90-BB7A-4965-B343-729A1CC0D378}"/>
    <cellStyle name="Currency 5 3 5 5 4" xfId="11421" xr:uid="{82D10702-E425-46EB-A351-29B9BF69C987}"/>
    <cellStyle name="Currency 5 3 5 5 5" xfId="20720" xr:uid="{DC6573AF-B6BA-42A0-A281-F6D5DCE38283}"/>
    <cellStyle name="Currency 5 3 5 6" xfId="2441" xr:uid="{00000000-0005-0000-0000-0000330D0000}"/>
    <cellStyle name="Currency 5 3 5 6 2" xfId="6725" xr:uid="{00000000-0005-0000-0000-0000340D0000}"/>
    <cellStyle name="Currency 5 3 5 6 2 2" xfId="16051" xr:uid="{5DF0F76B-0719-49A8-858D-11E7618D3C15}"/>
    <cellStyle name="Currency 5 3 5 6 2 3" xfId="25350" xr:uid="{5652660E-807F-4CAF-806C-2929E799473E}"/>
    <cellStyle name="Currency 5 3 5 6 3" xfId="11834" xr:uid="{7E24D58C-C12F-4512-9148-45D0FEFF8067}"/>
    <cellStyle name="Currency 5 3 5 6 4" xfId="21133" xr:uid="{9DF1A736-7E24-4EA0-877C-0318EBDD8341}"/>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3C2CC1CC-6F78-41FF-95A0-27D2805BAD36}"/>
    <cellStyle name="Currency 5 3 5 8 2 3" xfId="25667" xr:uid="{853FF09B-C1CD-4666-9019-576E226AE967}"/>
    <cellStyle name="Currency 5 3 5 8 3" xfId="12151" xr:uid="{3F3BF6D2-6CDE-46C8-A8BD-93A84DAA9857}"/>
    <cellStyle name="Currency 5 3 5 8 4" xfId="21450" xr:uid="{753DC7A9-DE24-47CA-96CE-B0307C9C6452}"/>
    <cellStyle name="Currency 5 3 5 9" xfId="4659" xr:uid="{00000000-0005-0000-0000-0000380D0000}"/>
    <cellStyle name="Currency 5 3 5 9 2" xfId="13985" xr:uid="{9BD564B2-6AD7-4F34-BBED-61A0CFD1DF85}"/>
    <cellStyle name="Currency 5 3 5 9 3" xfId="23284" xr:uid="{0A20E605-EA5E-4514-AAC8-A9E940C964AB}"/>
    <cellStyle name="Currency 5 3 6" xfId="9585" xr:uid="{F259418A-5AC0-4C4E-A98C-07B5BEE6D673}"/>
    <cellStyle name="Currency 5 3 7" xfId="8779" xr:uid="{856D4C12-E347-4E8F-9200-2EC71AC3E0CB}"/>
    <cellStyle name="Currency 5 3 7 2" xfId="18103" xr:uid="{E685ED62-7E75-4086-ACA0-64AB964ACCDC}"/>
    <cellStyle name="Currency 5 3 7 3" xfId="27401" xr:uid="{7ECA3532-3E92-4284-AFA8-FDDC4C1AE09D}"/>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EA2C33F2-AA0D-4EAD-BF4B-9289B21994C5}"/>
    <cellStyle name="Currency 5 5 10 3" xfId="23285" xr:uid="{311E5271-F2D1-486F-868F-82C24EB09AB8}"/>
    <cellStyle name="Currency 5 5 11" xfId="8850" xr:uid="{8F129173-F323-478F-8B06-1E2599EB26C1}"/>
    <cellStyle name="Currency 5 5 11 2" xfId="18174" xr:uid="{6A1085CC-8396-4C26-8CA5-B30F88D61928}"/>
    <cellStyle name="Currency 5 5 11 3" xfId="27472" xr:uid="{6CE83ADD-CA3E-4D79-B81B-9709CAD91824}"/>
    <cellStyle name="Currency 5 5 12" xfId="9769" xr:uid="{A2A99ED1-145B-42B7-BEEC-2D0C2F372F71}"/>
    <cellStyle name="Currency 5 5 13" xfId="19068" xr:uid="{E4D894D2-D6FC-4095-8132-D53E701A9ED2}"/>
    <cellStyle name="Currency 5 5 2" xfId="220" xr:uid="{00000000-0005-0000-0000-00003D0D0000}"/>
    <cellStyle name="Currency 5 5 2 10" xfId="9057" xr:uid="{90E61E49-0971-4EC1-90D8-E015846E4FB2}"/>
    <cellStyle name="Currency 5 5 2 10 2" xfId="18381" xr:uid="{C53B33BC-1FFF-4AF1-B8DA-00E09C8BB3C2}"/>
    <cellStyle name="Currency 5 5 2 10 3" xfId="27679" xr:uid="{375660B9-F21F-4537-BF2E-BD16609A8747}"/>
    <cellStyle name="Currency 5 5 2 11" xfId="9770" xr:uid="{4D54AC0F-7997-4623-AE98-EB2822244536}"/>
    <cellStyle name="Currency 5 5 2 12" xfId="19069" xr:uid="{B476B20F-2111-4CEB-983F-B8C31A891AE5}"/>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53C5D11E-32BA-4394-BCEE-91930E3C2A42}"/>
    <cellStyle name="Currency 5 5 2 2 2 2 3" xfId="25845" xr:uid="{F32BAE64-2F0F-41BA-983A-05C6823D962C}"/>
    <cellStyle name="Currency 5 5 2 2 2 3" xfId="12329" xr:uid="{3351D41B-05A6-40F8-9174-56CEAF107797}"/>
    <cellStyle name="Currency 5 5 2 2 2 4" xfId="21628" xr:uid="{551AE4A1-9D80-47FF-A940-3C5CF4BBC314}"/>
    <cellStyle name="Currency 5 5 2 2 3" xfId="5075" xr:uid="{00000000-0005-0000-0000-0000410D0000}"/>
    <cellStyle name="Currency 5 5 2 2 3 2" xfId="14401" xr:uid="{92F939AE-7399-43EC-849B-44A95C34CE8B}"/>
    <cellStyle name="Currency 5 5 2 2 3 3" xfId="23700" xr:uid="{D81146D5-29F0-4E2E-AE44-95B45A785077}"/>
    <cellStyle name="Currency 5 5 2 2 4" xfId="9482" xr:uid="{ECEE3E7C-42CD-4A2D-A90F-D54FFBA7E41F}"/>
    <cellStyle name="Currency 5 5 2 2 4 2" xfId="18797" xr:uid="{04114D56-2867-4724-9AC3-4C9EA41C146D}"/>
    <cellStyle name="Currency 5 5 2 2 4 3" xfId="28094" xr:uid="{64B10573-06A6-4C5B-97E1-AC1874357693}"/>
    <cellStyle name="Currency 5 5 2 2 5" xfId="10184" xr:uid="{A50B27FD-86C9-4B45-810B-E5C7ED0646F1}"/>
    <cellStyle name="Currency 5 5 2 2 6" xfId="19483" xr:uid="{4F8EE634-F6C8-4C49-B2D2-7EB9306B55DD}"/>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15455C1C-D34B-47E3-8EAE-FEC4D213285C}"/>
    <cellStyle name="Currency 5 5 2 3 2 2 3" xfId="26258" xr:uid="{B6669A0A-2406-4E5E-A3EF-3C7E3306D3C5}"/>
    <cellStyle name="Currency 5 5 2 3 2 3" xfId="12742" xr:uid="{D25C7E52-1490-4A95-9DA1-FB151A097762}"/>
    <cellStyle name="Currency 5 5 2 3 2 4" xfId="22041" xr:uid="{CBFCE621-6C70-4340-9541-B86E043A8CB8}"/>
    <cellStyle name="Currency 5 5 2 3 3" xfId="5488" xr:uid="{00000000-0005-0000-0000-0000450D0000}"/>
    <cellStyle name="Currency 5 5 2 3 3 2" xfId="14814" xr:uid="{18A59811-7D9C-4993-BED6-F826EC9FFD5B}"/>
    <cellStyle name="Currency 5 5 2 3 3 3" xfId="24113" xr:uid="{BA49EA1E-3109-4528-AC12-AC2F91EB1305}"/>
    <cellStyle name="Currency 5 5 2 3 4" xfId="10597" xr:uid="{E042FEEB-817C-4FE1-A5EF-5D996B4041E7}"/>
    <cellStyle name="Currency 5 5 2 3 5" xfId="19896" xr:uid="{9CE4577A-1B52-4B6E-88FD-440DEE00BA4C}"/>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4295973E-470E-4C41-BB7A-042AB8BF2695}"/>
    <cellStyle name="Currency 5 5 2 4 2 2 3" xfId="26671" xr:uid="{22A46AF1-20FC-4BB4-A18C-2BBDE2E46538}"/>
    <cellStyle name="Currency 5 5 2 4 2 3" xfId="13155" xr:uid="{0B0A0673-F9C8-4931-8229-BBFD1981A76F}"/>
    <cellStyle name="Currency 5 5 2 4 2 4" xfId="22454" xr:uid="{62CFF8AC-435C-4AC3-A7DD-26E9EDF7AF58}"/>
    <cellStyle name="Currency 5 5 2 4 3" xfId="5901" xr:uid="{00000000-0005-0000-0000-0000490D0000}"/>
    <cellStyle name="Currency 5 5 2 4 3 2" xfId="15227" xr:uid="{404D8EAA-05F9-4105-BF7E-DCC12A507F76}"/>
    <cellStyle name="Currency 5 5 2 4 3 3" xfId="24526" xr:uid="{20E5403B-8A83-46A3-BC1F-C0F868795079}"/>
    <cellStyle name="Currency 5 5 2 4 4" xfId="11010" xr:uid="{9B2BFB93-F2F2-4B26-8687-91F3D201BB8F}"/>
    <cellStyle name="Currency 5 5 2 4 5" xfId="20309" xr:uid="{DCC29097-1B8F-4C5E-A3F9-955076F7A39E}"/>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5DF7816F-055A-48B4-92EC-C53491434923}"/>
    <cellStyle name="Currency 5 5 2 5 2 2 3" xfId="27084" xr:uid="{82897CA4-5D26-448C-BE86-10AEB97B6523}"/>
    <cellStyle name="Currency 5 5 2 5 2 3" xfId="13568" xr:uid="{F2573A04-EBC7-49F9-8F23-A30D78D90562}"/>
    <cellStyle name="Currency 5 5 2 5 2 4" xfId="22867" xr:uid="{76F78EC1-C00D-48F7-AC7F-7EBE5AD81CCC}"/>
    <cellStyle name="Currency 5 5 2 5 3" xfId="6314" xr:uid="{00000000-0005-0000-0000-00004D0D0000}"/>
    <cellStyle name="Currency 5 5 2 5 3 2" xfId="15640" xr:uid="{67E33E8F-5455-4597-BEF7-1A9FC22E9274}"/>
    <cellStyle name="Currency 5 5 2 5 3 3" xfId="24939" xr:uid="{80C8A510-03FE-4A9D-9B6E-24497BDD7EAD}"/>
    <cellStyle name="Currency 5 5 2 5 4" xfId="11423" xr:uid="{3FA4E2E7-C1FA-40FD-9912-C22C29076431}"/>
    <cellStyle name="Currency 5 5 2 5 5" xfId="20722" xr:uid="{9F859800-15C3-4690-8391-805B49A75FE1}"/>
    <cellStyle name="Currency 5 5 2 6" xfId="2443" xr:uid="{00000000-0005-0000-0000-00004E0D0000}"/>
    <cellStyle name="Currency 5 5 2 6 2" xfId="6727" xr:uid="{00000000-0005-0000-0000-00004F0D0000}"/>
    <cellStyle name="Currency 5 5 2 6 2 2" xfId="16053" xr:uid="{50E1E111-47C0-4EDD-B3B8-3DC1868545AF}"/>
    <cellStyle name="Currency 5 5 2 6 2 3" xfId="25352" xr:uid="{62698216-DB95-4163-97B2-940594202B5B}"/>
    <cellStyle name="Currency 5 5 2 6 3" xfId="11836" xr:uid="{0FB8E2B8-58EF-4D97-B069-46AA54C9FAB2}"/>
    <cellStyle name="Currency 5 5 2 6 4" xfId="21135" xr:uid="{1D458F98-0C22-4091-9AF5-D87FB15C4A79}"/>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A0261FDA-632C-4E81-84E3-8DAAA9D30F94}"/>
    <cellStyle name="Currency 5 5 2 8 2 3" xfId="25669" xr:uid="{25DABC61-C4FD-46BE-B892-8B1485130957}"/>
    <cellStyle name="Currency 5 5 2 8 3" xfId="12153" xr:uid="{FB1A389E-BD06-4756-8B11-0CE27E7C678D}"/>
    <cellStyle name="Currency 5 5 2 8 4" xfId="21452" xr:uid="{F0F640A8-7302-4CEE-9C10-0FE17402C3EF}"/>
    <cellStyle name="Currency 5 5 2 9" xfId="4661" xr:uid="{00000000-0005-0000-0000-0000530D0000}"/>
    <cellStyle name="Currency 5 5 2 9 2" xfId="13987" xr:uid="{82D6E37B-CC5E-45E0-A957-5D00530A2745}"/>
    <cellStyle name="Currency 5 5 2 9 3" xfId="23286" xr:uid="{99F99EB1-B27D-4A9B-89CE-06DB8F6BA3A8}"/>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0CB996E3-6C6A-474C-A234-E6478BF2AD87}"/>
    <cellStyle name="Currency 5 5 3 2 2 3" xfId="25844" xr:uid="{BE54C560-5DF9-43A4-95E8-3F65C6BD0263}"/>
    <cellStyle name="Currency 5 5 3 2 3" xfId="12328" xr:uid="{76A241B1-E018-451A-9E8F-66F120C01EEC}"/>
    <cellStyle name="Currency 5 5 3 2 4" xfId="21627" xr:uid="{34836C6F-8754-431D-A198-8208BDADC25F}"/>
    <cellStyle name="Currency 5 5 3 3" xfId="5074" xr:uid="{00000000-0005-0000-0000-0000570D0000}"/>
    <cellStyle name="Currency 5 5 3 3 2" xfId="14400" xr:uid="{2B6AC0F6-6A78-4FA1-97A3-AAEB45A6FD26}"/>
    <cellStyle name="Currency 5 5 3 3 3" xfId="23699" xr:uid="{0E4E4950-8A44-489E-BE30-32B5CF883B4A}"/>
    <cellStyle name="Currency 5 5 3 4" xfId="9275" xr:uid="{54783F20-34E5-4A58-80AE-EC7CC69A89C9}"/>
    <cellStyle name="Currency 5 5 3 4 2" xfId="18590" xr:uid="{9E1440B4-3A28-4478-884F-44AFC508F0D1}"/>
    <cellStyle name="Currency 5 5 3 4 3" xfId="27887" xr:uid="{A3BC4603-B12C-41DA-94D6-300F6B273AA9}"/>
    <cellStyle name="Currency 5 5 3 5" xfId="10183" xr:uid="{D1D5AD01-75AD-48B7-A5FE-D1A0BCDDD28A}"/>
    <cellStyle name="Currency 5 5 3 6" xfId="19482" xr:uid="{21FAB0DA-13EA-445F-8833-05D1B3D57358}"/>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07CE3F1B-3159-43A1-9B4B-972288422164}"/>
    <cellStyle name="Currency 5 5 4 2 2 3" xfId="26257" xr:uid="{23375B63-C8C6-4363-B23B-8FEA73945D98}"/>
    <cellStyle name="Currency 5 5 4 2 3" xfId="12741" xr:uid="{495D3F04-AA83-45F3-B0F9-D183CCF61496}"/>
    <cellStyle name="Currency 5 5 4 2 4" xfId="22040" xr:uid="{432E633D-C7BA-463F-A88A-75851A10D74F}"/>
    <cellStyle name="Currency 5 5 4 3" xfId="5487" xr:uid="{00000000-0005-0000-0000-00005B0D0000}"/>
    <cellStyle name="Currency 5 5 4 3 2" xfId="14813" xr:uid="{07ACFA44-1033-4785-968D-F8C768CF3211}"/>
    <cellStyle name="Currency 5 5 4 3 3" xfId="24112" xr:uid="{8D066A53-D9BB-4A45-B431-4E82F54473D4}"/>
    <cellStyle name="Currency 5 5 4 4" xfId="10596" xr:uid="{47A097ED-4118-4943-ACF7-18A158C3CE03}"/>
    <cellStyle name="Currency 5 5 4 5" xfId="19895" xr:uid="{2EECBBEE-F277-447B-A311-6B351B8E4F29}"/>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B63A11E7-2F5A-4729-9304-B9F9FC55BD2E}"/>
    <cellStyle name="Currency 5 5 5 2 2 3" xfId="26670" xr:uid="{BEC18490-1D66-40AB-BA39-82D73866CFAE}"/>
    <cellStyle name="Currency 5 5 5 2 3" xfId="13154" xr:uid="{20D45F98-2468-4F55-8DC4-A9D2BB867CA7}"/>
    <cellStyle name="Currency 5 5 5 2 4" xfId="22453" xr:uid="{D15BC283-3B38-42E8-830B-9BD1CE287251}"/>
    <cellStyle name="Currency 5 5 5 3" xfId="5900" xr:uid="{00000000-0005-0000-0000-00005F0D0000}"/>
    <cellStyle name="Currency 5 5 5 3 2" xfId="15226" xr:uid="{F1D15163-7FE8-4369-868D-8799DC6FA753}"/>
    <cellStyle name="Currency 5 5 5 3 3" xfId="24525" xr:uid="{2CC9B68C-F4F6-4F39-A411-10B6CBD543A7}"/>
    <cellStyle name="Currency 5 5 5 4" xfId="11009" xr:uid="{1F350E60-6A9C-4139-B60D-0A570F178330}"/>
    <cellStyle name="Currency 5 5 5 5" xfId="20308" xr:uid="{25B0E174-60A2-4579-BC4D-A27BE7C8F022}"/>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E83AB2F0-110B-425B-884E-8BE92BFEB061}"/>
    <cellStyle name="Currency 5 5 6 2 2 3" xfId="27083" xr:uid="{1B3FF71F-10A5-4C14-9470-846960AF496A}"/>
    <cellStyle name="Currency 5 5 6 2 3" xfId="13567" xr:uid="{DE84674E-6E9E-401E-827B-C833CBC154B5}"/>
    <cellStyle name="Currency 5 5 6 2 4" xfId="22866" xr:uid="{318F0441-D154-4D8C-ABE3-7A7FA1AA78DB}"/>
    <cellStyle name="Currency 5 5 6 3" xfId="6313" xr:uid="{00000000-0005-0000-0000-0000630D0000}"/>
    <cellStyle name="Currency 5 5 6 3 2" xfId="15639" xr:uid="{A40E772B-3AA4-42B7-B998-92E0DF887DF0}"/>
    <cellStyle name="Currency 5 5 6 3 3" xfId="24938" xr:uid="{9A7A0921-36FA-4F3D-B6B2-DB3DF3085970}"/>
    <cellStyle name="Currency 5 5 6 4" xfId="11422" xr:uid="{E7655FD1-F8FC-479F-A1AB-B99B91C3E068}"/>
    <cellStyle name="Currency 5 5 6 5" xfId="20721" xr:uid="{3171E1C6-0D0B-4FC6-871B-E16FF937DC24}"/>
    <cellStyle name="Currency 5 5 7" xfId="2442" xr:uid="{00000000-0005-0000-0000-0000640D0000}"/>
    <cellStyle name="Currency 5 5 7 2" xfId="6726" xr:uid="{00000000-0005-0000-0000-0000650D0000}"/>
    <cellStyle name="Currency 5 5 7 2 2" xfId="16052" xr:uid="{469151E3-67D8-4560-8CD1-88FDE8160405}"/>
    <cellStyle name="Currency 5 5 7 2 3" xfId="25351" xr:uid="{BA356B05-57A0-47B3-ABE7-4B4B8C3B6F28}"/>
    <cellStyle name="Currency 5 5 7 3" xfId="11835" xr:uid="{66EB0882-9BB2-419D-A48C-91D9220CB377}"/>
    <cellStyle name="Currency 5 5 7 4" xfId="21134" xr:uid="{818C88F7-F472-4BD5-B948-4BB4BB294601}"/>
    <cellStyle name="Currency 5 5 8" xfId="2739" xr:uid="{00000000-0005-0000-0000-0000660D0000}"/>
    <cellStyle name="Currency 5 5 9" xfId="2820" xr:uid="{00000000-0005-0000-0000-0000670D0000}"/>
    <cellStyle name="Currency 5 5 9 2" xfId="7043" xr:uid="{00000000-0005-0000-0000-0000680D0000}"/>
    <cellStyle name="Currency 5 5 9 2 2" xfId="16369" xr:uid="{8FD22058-3944-4854-B741-6E43CC2DC8B4}"/>
    <cellStyle name="Currency 5 5 9 2 3" xfId="25668" xr:uid="{F2E799FE-8533-4C75-B281-D5F697B75165}"/>
    <cellStyle name="Currency 5 5 9 3" xfId="12152" xr:uid="{FE0738F7-3328-4CB3-8E5B-845E97C7FF29}"/>
    <cellStyle name="Currency 5 5 9 4" xfId="21451" xr:uid="{05203743-7FDB-4572-9001-84696EC77B42}"/>
    <cellStyle name="Currency 5 6" xfId="221" xr:uid="{00000000-0005-0000-0000-0000690D0000}"/>
    <cellStyle name="Currency 5 6 10" xfId="8966" xr:uid="{EC95BD1E-EAA8-4043-BDA7-06F3BBDBC3D5}"/>
    <cellStyle name="Currency 5 6 10 2" xfId="18290" xr:uid="{256007C6-3DA4-4269-AD42-2FECB1A94DD7}"/>
    <cellStyle name="Currency 5 6 10 3" xfId="27588" xr:uid="{8545CC2F-AFBA-4A4D-9F7A-91DD33AB5F19}"/>
    <cellStyle name="Currency 5 6 11" xfId="9771" xr:uid="{319468C6-7F2D-4C59-9435-1F18D1FBF2FC}"/>
    <cellStyle name="Currency 5 6 12" xfId="19070" xr:uid="{FC3ED1A2-CB81-48A0-BBF6-6E1A607AAE76}"/>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F7687CF4-D075-4F2B-BAE1-A29F41E02EEC}"/>
    <cellStyle name="Currency 5 6 2 2 2 3" xfId="25846" xr:uid="{4B161610-2AED-42EB-B425-F453026F5E80}"/>
    <cellStyle name="Currency 5 6 2 2 3" xfId="12330" xr:uid="{09F9148A-97E0-428C-9238-38F77FC9F92B}"/>
    <cellStyle name="Currency 5 6 2 2 4" xfId="21629" xr:uid="{FE04E08B-6D3C-47B7-BEC8-8E2DD7C2D3F9}"/>
    <cellStyle name="Currency 5 6 2 3" xfId="5076" xr:uid="{00000000-0005-0000-0000-00006D0D0000}"/>
    <cellStyle name="Currency 5 6 2 3 2" xfId="14402" xr:uid="{1124559D-35B9-4AB4-8AB6-AFA2A3BB12B5}"/>
    <cellStyle name="Currency 5 6 2 3 3" xfId="23701" xr:uid="{3682550C-9DD3-427B-B826-5353AD8642C7}"/>
    <cellStyle name="Currency 5 6 2 4" xfId="9391" xr:uid="{8CBF3F74-51EC-4402-B96A-0759E6537FC7}"/>
    <cellStyle name="Currency 5 6 2 4 2" xfId="18706" xr:uid="{30F965ED-4674-4A48-B5A5-4EB2EE1ACC6C}"/>
    <cellStyle name="Currency 5 6 2 4 3" xfId="28003" xr:uid="{B1D69EEA-35FE-4B58-BF67-4BF090671A0C}"/>
    <cellStyle name="Currency 5 6 2 5" xfId="10185" xr:uid="{486C303C-5C5F-4500-8FAE-2B6BBD175847}"/>
    <cellStyle name="Currency 5 6 2 6" xfId="19484" xr:uid="{F823DAF8-62DD-4D91-BF2A-17E7946CB2FC}"/>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E6D4AC45-853B-4A5C-BFD4-A3D2FA246366}"/>
    <cellStyle name="Currency 5 6 3 2 2 3" xfId="26259" xr:uid="{FAB8FC5D-952E-4AA8-B6CF-F08786319C1E}"/>
    <cellStyle name="Currency 5 6 3 2 3" xfId="12743" xr:uid="{313AC527-0828-4D40-BC48-BE78DBCBDAAC}"/>
    <cellStyle name="Currency 5 6 3 2 4" xfId="22042" xr:uid="{7FB24684-774F-422D-A685-C32E18A33360}"/>
    <cellStyle name="Currency 5 6 3 3" xfId="5489" xr:uid="{00000000-0005-0000-0000-0000710D0000}"/>
    <cellStyle name="Currency 5 6 3 3 2" xfId="14815" xr:uid="{11FECE43-9294-4E97-834D-CBB87F3225EF}"/>
    <cellStyle name="Currency 5 6 3 3 3" xfId="24114" xr:uid="{E708D7D0-B047-46F0-9214-4665ECB1C091}"/>
    <cellStyle name="Currency 5 6 3 4" xfId="10598" xr:uid="{8F711886-D2E7-4CC6-B442-91EE66B71913}"/>
    <cellStyle name="Currency 5 6 3 5" xfId="19897" xr:uid="{B028264A-7647-4027-90F2-B918F266A8EB}"/>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ECBAA3D5-7B3A-4589-8228-301017D0995A}"/>
    <cellStyle name="Currency 5 6 4 2 2 3" xfId="26672" xr:uid="{FECC59AC-A240-458E-8F11-74B345BB50E8}"/>
    <cellStyle name="Currency 5 6 4 2 3" xfId="13156" xr:uid="{0383C11A-BED6-4BDC-968A-E5063FEEC550}"/>
    <cellStyle name="Currency 5 6 4 2 4" xfId="22455" xr:uid="{4E3AB011-73E2-4501-AD24-A4545F611754}"/>
    <cellStyle name="Currency 5 6 4 3" xfId="5902" xr:uid="{00000000-0005-0000-0000-0000750D0000}"/>
    <cellStyle name="Currency 5 6 4 3 2" xfId="15228" xr:uid="{B7A0FF96-70F6-4AC6-9330-6D1D4673F5DA}"/>
    <cellStyle name="Currency 5 6 4 3 3" xfId="24527" xr:uid="{EAB45674-4601-41A8-B2BB-93C86D8E3CEF}"/>
    <cellStyle name="Currency 5 6 4 4" xfId="11011" xr:uid="{92BCF102-C749-4F5C-8730-C1D158C95706}"/>
    <cellStyle name="Currency 5 6 4 5" xfId="20310" xr:uid="{333E8848-E453-451A-A634-EBE079787329}"/>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716AE193-10E3-4F1D-BB9C-F730CF3AC574}"/>
    <cellStyle name="Currency 5 6 5 2 2 3" xfId="27085" xr:uid="{5B4DE2D9-23E4-4FE9-BD52-C1173F6CDAE2}"/>
    <cellStyle name="Currency 5 6 5 2 3" xfId="13569" xr:uid="{DD50BE2A-C217-4B3F-8FF0-F4C0B7AC13A4}"/>
    <cellStyle name="Currency 5 6 5 2 4" xfId="22868" xr:uid="{490101F3-E119-4199-8AFD-39ED205B72A7}"/>
    <cellStyle name="Currency 5 6 5 3" xfId="6315" xr:uid="{00000000-0005-0000-0000-0000790D0000}"/>
    <cellStyle name="Currency 5 6 5 3 2" xfId="15641" xr:uid="{411B8F74-4F41-4D94-8FF0-A8CAC8C79BF5}"/>
    <cellStyle name="Currency 5 6 5 3 3" xfId="24940" xr:uid="{4D28D8D8-BCB9-4C9D-91AE-60E3B5C68D94}"/>
    <cellStyle name="Currency 5 6 5 4" xfId="11424" xr:uid="{19CF9AC4-0932-4FC2-85E2-22139C6B126E}"/>
    <cellStyle name="Currency 5 6 5 5" xfId="20723" xr:uid="{BBA5CB00-7CD8-40FF-8989-B36DEFADE049}"/>
    <cellStyle name="Currency 5 6 6" xfId="2444" xr:uid="{00000000-0005-0000-0000-00007A0D0000}"/>
    <cellStyle name="Currency 5 6 6 2" xfId="6728" xr:uid="{00000000-0005-0000-0000-00007B0D0000}"/>
    <cellStyle name="Currency 5 6 6 2 2" xfId="16054" xr:uid="{3A9BE5BE-8B0B-4D33-B341-4F5C9C9FEF4B}"/>
    <cellStyle name="Currency 5 6 6 2 3" xfId="25353" xr:uid="{D3CFF4BC-A6F9-4E08-91D0-368A2F7BFD5D}"/>
    <cellStyle name="Currency 5 6 6 3" xfId="11837" xr:uid="{23C32E19-2489-4B1F-9FC9-4381F50A1E66}"/>
    <cellStyle name="Currency 5 6 6 4" xfId="21136" xr:uid="{5D272F42-87FE-4572-ACD8-519FFFF45275}"/>
    <cellStyle name="Currency 5 6 7" xfId="2741" xr:uid="{00000000-0005-0000-0000-00007C0D0000}"/>
    <cellStyle name="Currency 5 6 8" xfId="2822" xr:uid="{00000000-0005-0000-0000-00007D0D0000}"/>
    <cellStyle name="Currency 5 6 8 2" xfId="7045" xr:uid="{00000000-0005-0000-0000-00007E0D0000}"/>
    <cellStyle name="Currency 5 6 8 2 2" xfId="16371" xr:uid="{1F5291E9-4640-4903-8F05-BEF97D50A05B}"/>
    <cellStyle name="Currency 5 6 8 2 3" xfId="25670" xr:uid="{AA0E61AA-3344-4A3F-9C2C-AF2D5761C051}"/>
    <cellStyle name="Currency 5 6 8 3" xfId="12154" xr:uid="{BFD2FA87-747F-46D9-A679-53053969AD4D}"/>
    <cellStyle name="Currency 5 6 8 4" xfId="21453" xr:uid="{C7B73FCC-AAE3-4E3B-955B-C4EA76904B97}"/>
    <cellStyle name="Currency 5 6 9" xfId="4662" xr:uid="{00000000-0005-0000-0000-00007F0D0000}"/>
    <cellStyle name="Currency 5 6 9 2" xfId="13988" xr:uid="{4A593284-6F4B-45D3-810E-9F3FDA895507}"/>
    <cellStyle name="Currency 5 6 9 3" xfId="23287" xr:uid="{6831BC56-5348-4A3E-87EE-3B794B5044C5}"/>
    <cellStyle name="Currency 5 7" xfId="222" xr:uid="{00000000-0005-0000-0000-0000800D0000}"/>
    <cellStyle name="Currency 5 7 10" xfId="9169" xr:uid="{7A886DE7-136A-429E-90E2-A7C712D111D8}"/>
    <cellStyle name="Currency 5 7 10 2" xfId="18487" xr:uid="{2034DEDD-50F2-4D1D-9E7B-679F05C19086}"/>
    <cellStyle name="Currency 5 7 10 3" xfId="27784" xr:uid="{AFD44D65-0DDC-43D3-A6F9-66DDE4088154}"/>
    <cellStyle name="Currency 5 7 11" xfId="9772" xr:uid="{314C2CF6-E2D0-4AE3-B775-04BFA7077EA5}"/>
    <cellStyle name="Currency 5 7 12" xfId="19071" xr:uid="{11EAFE0D-88B6-4EFE-9615-F8B4E0EE2240}"/>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8653DFD6-9781-4F6D-889A-25A175CE2933}"/>
    <cellStyle name="Currency 5 7 2 2 2 3" xfId="25847" xr:uid="{CD0777A1-33A5-41F0-9377-BF9A0E8F1BB5}"/>
    <cellStyle name="Currency 5 7 2 2 3" xfId="12331" xr:uid="{CAB689C7-18CC-4786-8D71-0274A45F1D7F}"/>
    <cellStyle name="Currency 5 7 2 2 4" xfId="21630" xr:uid="{4CD73562-A16C-4BAF-9138-8E389B168459}"/>
    <cellStyle name="Currency 5 7 2 3" xfId="5077" xr:uid="{00000000-0005-0000-0000-0000840D0000}"/>
    <cellStyle name="Currency 5 7 2 3 2" xfId="14403" xr:uid="{0B4E6EE3-02E4-44AA-A2DB-3F227B9353C4}"/>
    <cellStyle name="Currency 5 7 2 3 3" xfId="23702" xr:uid="{72A728E0-3C46-4C24-8267-6A30909EB0FE}"/>
    <cellStyle name="Currency 5 7 2 4" xfId="9601" xr:uid="{DC93A830-0AF1-4EC4-B764-C728922F3FEF}"/>
    <cellStyle name="Currency 5 7 2 4 2" xfId="18905" xr:uid="{49DF4D17-D5AC-4582-B5CE-2CE93BC99068}"/>
    <cellStyle name="Currency 5 7 2 4 3" xfId="28202" xr:uid="{74AA965E-708C-41C1-B867-F463A7A80117}"/>
    <cellStyle name="Currency 5 7 2 5" xfId="10186" xr:uid="{4DFB19C3-2E6A-4F8C-AAB3-9B1AAD3CFE8B}"/>
    <cellStyle name="Currency 5 7 2 6" xfId="19485" xr:uid="{AC7119D4-04A8-4231-8E22-5AD02DCEF24C}"/>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3E80256F-A00B-4E0A-AD29-C297E9055097}"/>
    <cellStyle name="Currency 5 7 3 2 2 3" xfId="26260" xr:uid="{E0D2C7B0-E1F6-40FB-9C38-1B853BB25C91}"/>
    <cellStyle name="Currency 5 7 3 2 3" xfId="12744" xr:uid="{96F0BCC0-4FBC-4CF7-AA90-CA078B5ADF95}"/>
    <cellStyle name="Currency 5 7 3 2 4" xfId="22043" xr:uid="{74FE9613-194A-4BC5-A2E0-7EEC36357F41}"/>
    <cellStyle name="Currency 5 7 3 3" xfId="5490" xr:uid="{00000000-0005-0000-0000-0000880D0000}"/>
    <cellStyle name="Currency 5 7 3 3 2" xfId="14816" xr:uid="{F706036D-EE16-4DDA-A1E7-E99D2D0CB5A8}"/>
    <cellStyle name="Currency 5 7 3 3 3" xfId="24115" xr:uid="{8C5084F2-5519-4FF8-9352-B5F229F1B246}"/>
    <cellStyle name="Currency 5 7 3 4" xfId="10599" xr:uid="{F84909B3-1B81-4342-AC6E-AEA6EA7AB66C}"/>
    <cellStyle name="Currency 5 7 3 5" xfId="19898" xr:uid="{7D3ADF96-6655-419D-80F0-F7F470EF04F9}"/>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041A6632-9350-49C5-96EB-9190E8949EA0}"/>
    <cellStyle name="Currency 5 7 4 2 2 3" xfId="26673" xr:uid="{45279DB1-86C1-4846-8007-CA3104CA0553}"/>
    <cellStyle name="Currency 5 7 4 2 3" xfId="13157" xr:uid="{CBEA16F3-E9A5-498A-B41D-FBEFE6D716D4}"/>
    <cellStyle name="Currency 5 7 4 2 4" xfId="22456" xr:uid="{09679611-0681-4890-8612-7F6FCE9D271B}"/>
    <cellStyle name="Currency 5 7 4 3" xfId="5903" xr:uid="{00000000-0005-0000-0000-00008C0D0000}"/>
    <cellStyle name="Currency 5 7 4 3 2" xfId="15229" xr:uid="{1F7F4B51-EF70-4F0C-922B-E95FBC54C6A4}"/>
    <cellStyle name="Currency 5 7 4 3 3" xfId="24528" xr:uid="{1E524222-69FA-47E5-82B7-04532C1C8D04}"/>
    <cellStyle name="Currency 5 7 4 4" xfId="11012" xr:uid="{2A3F84AC-98EE-4DFA-8469-41D2E1FD21FD}"/>
    <cellStyle name="Currency 5 7 4 5" xfId="20311" xr:uid="{E1676310-6EF9-4EF9-A0E7-E3E762692392}"/>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2FDB10A1-90F8-4702-AD11-499A10514551}"/>
    <cellStyle name="Currency 5 7 5 2 2 3" xfId="27086" xr:uid="{C97A020B-337F-4F71-B0C4-A4EC30416D4C}"/>
    <cellStyle name="Currency 5 7 5 2 3" xfId="13570" xr:uid="{0AF34C19-44AB-481E-BED8-FC92517E55EC}"/>
    <cellStyle name="Currency 5 7 5 2 4" xfId="22869" xr:uid="{B3631E1F-C9E3-4230-A432-50144B178E63}"/>
    <cellStyle name="Currency 5 7 5 3" xfId="6316" xr:uid="{00000000-0005-0000-0000-0000900D0000}"/>
    <cellStyle name="Currency 5 7 5 3 2" xfId="15642" xr:uid="{9798B0DB-B851-458F-B20A-02326A7FFB1F}"/>
    <cellStyle name="Currency 5 7 5 3 3" xfId="24941" xr:uid="{74C6FE23-4D24-4CE8-A928-B652B4615920}"/>
    <cellStyle name="Currency 5 7 5 4" xfId="11425" xr:uid="{1FFE0649-CBE1-4055-82F7-12C7A1F21B78}"/>
    <cellStyle name="Currency 5 7 5 5" xfId="20724" xr:uid="{4759F296-6FA2-4EF8-B6C5-9A00200CE303}"/>
    <cellStyle name="Currency 5 7 6" xfId="2445" xr:uid="{00000000-0005-0000-0000-0000910D0000}"/>
    <cellStyle name="Currency 5 7 6 2" xfId="6729" xr:uid="{00000000-0005-0000-0000-0000920D0000}"/>
    <cellStyle name="Currency 5 7 6 2 2" xfId="16055" xr:uid="{FB7B7195-16D6-4152-B892-1017C7E129A4}"/>
    <cellStyle name="Currency 5 7 6 2 3" xfId="25354" xr:uid="{BA5C59B9-2F35-42C3-B64E-FABD57CEE418}"/>
    <cellStyle name="Currency 5 7 6 3" xfId="11838" xr:uid="{D0CF2C44-B709-4E31-B13A-69C7E8758F4F}"/>
    <cellStyle name="Currency 5 7 6 4" xfId="21137" xr:uid="{948B06C3-06B0-491C-BE5B-AF601326FE03}"/>
    <cellStyle name="Currency 5 7 7" xfId="2742" xr:uid="{00000000-0005-0000-0000-0000930D0000}"/>
    <cellStyle name="Currency 5 7 8" xfId="2823" xr:uid="{00000000-0005-0000-0000-0000940D0000}"/>
    <cellStyle name="Currency 5 7 8 2" xfId="7046" xr:uid="{00000000-0005-0000-0000-0000950D0000}"/>
    <cellStyle name="Currency 5 7 8 2 2" xfId="16372" xr:uid="{606E7128-092D-4942-98DC-544EF8A5BA66}"/>
    <cellStyle name="Currency 5 7 8 2 3" xfId="25671" xr:uid="{C2EE7DDB-A707-4761-8182-6FD2EE94DF19}"/>
    <cellStyle name="Currency 5 7 8 3" xfId="12155" xr:uid="{5AC6997F-0120-4900-B9EB-8F965F37971E}"/>
    <cellStyle name="Currency 5 7 8 4" xfId="21454" xr:uid="{68052D27-4C65-485D-86B7-733BCCEBACAE}"/>
    <cellStyle name="Currency 5 7 9" xfId="4663" xr:uid="{00000000-0005-0000-0000-0000960D0000}"/>
    <cellStyle name="Currency 5 7 9 2" xfId="13989" xr:uid="{5AB55BEE-7874-4104-B3DB-202B99127DBF}"/>
    <cellStyle name="Currency 5 7 9 3" xfId="23288" xr:uid="{5C59B1F8-A591-4FC3-B793-906586FACAFC}"/>
    <cellStyle name="Currency 5 8" xfId="721" xr:uid="{00000000-0005-0000-0000-0000970D0000}"/>
    <cellStyle name="Currency 5 9" xfId="8747" xr:uid="{CCFF1C6E-BA46-44B7-A8DD-B170160D04FF}"/>
    <cellStyle name="Currency 5 9 2" xfId="18071" xr:uid="{939552C3-C3B5-43B4-86BB-71699871DEBD}"/>
    <cellStyle name="Currency 5 9 3" xfId="27369" xr:uid="{A5FF3F13-94FC-40D2-8F73-9361BBA18E28}"/>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52791705-A604-4E4B-9B7C-64D6AAF9AA36}"/>
    <cellStyle name="Normal 12 10 2 3" xfId="25355" xr:uid="{65D241FE-3E39-48CD-8BD3-6F1E99FF9705}"/>
    <cellStyle name="Normal 12 10 3" xfId="11839" xr:uid="{2D9EFE50-1D6B-44A0-ADC6-6EC40680D635}"/>
    <cellStyle name="Normal 12 10 4" xfId="21138" xr:uid="{044E1839-6D35-49E9-8132-C1250C8092DF}"/>
    <cellStyle name="Normal 12 11" xfId="4664" xr:uid="{00000000-0005-0000-0000-0000CC0D0000}"/>
    <cellStyle name="Normal 12 11 2" xfId="13990" xr:uid="{7DFE9705-6E0A-49E7-A662-3CEA8F1185FA}"/>
    <cellStyle name="Normal 12 11 3" xfId="23289" xr:uid="{CB8BD058-1B02-4904-B0AA-FD44E54D0DB4}"/>
    <cellStyle name="Normal 12 12" xfId="8770" xr:uid="{16E7F001-A88D-4413-825E-78352A31064A}"/>
    <cellStyle name="Normal 12 12 2" xfId="18094" xr:uid="{FE730420-A578-40AE-BE51-C9F52EEDEF19}"/>
    <cellStyle name="Normal 12 12 3" xfId="27392" xr:uid="{29995482-804C-4E67-9A45-25EF2EA9EB65}"/>
    <cellStyle name="Normal 12 13" xfId="9773" xr:uid="{5BDD1A94-CC31-4EB5-9506-9E530E7BB0FA}"/>
    <cellStyle name="Normal 12 14" xfId="19072" xr:uid="{AF3329FE-E078-4AE9-9FF4-387DED51F940}"/>
    <cellStyle name="Normal 12 2" xfId="260" xr:uid="{00000000-0005-0000-0000-0000CD0D0000}"/>
    <cellStyle name="Normal 12 2 10" xfId="8811" xr:uid="{C610EFA7-DF28-475D-A7AA-61B6675A083B}"/>
    <cellStyle name="Normal 12 2 10 2" xfId="18135" xr:uid="{5E124269-4CC6-474F-941A-394382810D01}"/>
    <cellStyle name="Normal 12 2 10 3" xfId="27433" xr:uid="{B5BFDDFA-EA0C-442D-89E8-25C1326BFD31}"/>
    <cellStyle name="Normal 12 2 11" xfId="9774" xr:uid="{670328FE-8EBE-4A53-AAA5-9772A1C7D325}"/>
    <cellStyle name="Normal 12 2 12" xfId="19073" xr:uid="{994AA058-025F-40D6-BA17-50E06A46B664}"/>
    <cellStyle name="Normal 12 2 2" xfId="261" xr:uid="{00000000-0005-0000-0000-0000CE0D0000}"/>
    <cellStyle name="Normal 12 2 2 10" xfId="9775" xr:uid="{92DC2AF4-6B03-41EE-834F-45D269566763}"/>
    <cellStyle name="Normal 12 2 2 11" xfId="19074" xr:uid="{3741DB7D-947B-4A3E-8BF8-F12FE6309413}"/>
    <cellStyle name="Normal 12 2 2 2" xfId="262" xr:uid="{00000000-0005-0000-0000-0000CF0D0000}"/>
    <cellStyle name="Normal 12 2 2 2 10" xfId="19075" xr:uid="{E81BA923-58DC-4DB9-B400-15A1EA406AAE}"/>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338E3425-E85C-4F01-8A63-D73D2334EF7D}"/>
    <cellStyle name="Normal 12 2 2 2 2 2 2 3" xfId="25851" xr:uid="{D14D6328-0618-4A2F-B9EC-0AD09F49FFAA}"/>
    <cellStyle name="Normal 12 2 2 2 2 2 3" xfId="12335" xr:uid="{9669E59F-A826-4504-B218-8258674CB10C}"/>
    <cellStyle name="Normal 12 2 2 2 2 2 4" xfId="21634" xr:uid="{78FED6F4-61EB-4447-B81C-D1C08189B6A7}"/>
    <cellStyle name="Normal 12 2 2 2 2 3" xfId="5081" xr:uid="{00000000-0005-0000-0000-0000D30D0000}"/>
    <cellStyle name="Normal 12 2 2 2 2 3 2" xfId="14407" xr:uid="{DE43654B-EE69-4F63-ADFC-FAD6EE7624D4}"/>
    <cellStyle name="Normal 12 2 2 2 2 3 3" xfId="23706" xr:uid="{EB2DB3AE-DEFF-4CAC-B430-93A491B0A010}"/>
    <cellStyle name="Normal 12 2 2 2 2 4" xfId="9546" xr:uid="{609DE280-4DA3-4355-9F1C-9E01708347EA}"/>
    <cellStyle name="Normal 12 2 2 2 2 4 2" xfId="18861" xr:uid="{56141CE5-1007-47C1-99F4-A699201A4FD8}"/>
    <cellStyle name="Normal 12 2 2 2 2 4 3" xfId="28158" xr:uid="{75653DCD-ADEA-4557-889E-832B15E4CA32}"/>
    <cellStyle name="Normal 12 2 2 2 2 5" xfId="10190" xr:uid="{C0F3D9D0-778F-4607-9A92-F6ABC1C8AC1D}"/>
    <cellStyle name="Normal 12 2 2 2 2 6" xfId="19489" xr:uid="{85982973-9B90-4873-B941-300EDD3047D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2502ACE0-335E-4DE1-B8F7-C375D172B622}"/>
    <cellStyle name="Normal 12 2 2 2 3 2 2 3" xfId="26264" xr:uid="{49F3125E-859B-4B38-BB32-B1CFD8F14BDF}"/>
    <cellStyle name="Normal 12 2 2 2 3 2 3" xfId="12748" xr:uid="{593C4D65-7523-4FA1-BA06-377A132D6303}"/>
    <cellStyle name="Normal 12 2 2 2 3 2 4" xfId="22047" xr:uid="{FFB6AB95-976D-47FE-9F96-5C1B106BEF1F}"/>
    <cellStyle name="Normal 12 2 2 2 3 3" xfId="5494" xr:uid="{00000000-0005-0000-0000-0000D70D0000}"/>
    <cellStyle name="Normal 12 2 2 2 3 3 2" xfId="14820" xr:uid="{0033A0D7-14EB-4E5A-B8A9-C365FEC1D863}"/>
    <cellStyle name="Normal 12 2 2 2 3 3 3" xfId="24119" xr:uid="{F5D63FA2-8EF7-426C-B986-407A2E814758}"/>
    <cellStyle name="Normal 12 2 2 2 3 4" xfId="10603" xr:uid="{ABC39368-90D5-47B8-AEF4-F380553C3305}"/>
    <cellStyle name="Normal 12 2 2 2 3 5" xfId="19902" xr:uid="{53C7F307-E5BB-4956-9696-20FE2E36E01A}"/>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28CFA40D-143D-48D7-BF43-D511DF96C9A3}"/>
    <cellStyle name="Normal 12 2 2 2 4 2 2 3" xfId="26677" xr:uid="{3288A9E4-B451-45A3-A4B3-FE8097E199BF}"/>
    <cellStyle name="Normal 12 2 2 2 4 2 3" xfId="13161" xr:uid="{E4C91060-78F7-4B9D-8FC4-07BAAF9B2B86}"/>
    <cellStyle name="Normal 12 2 2 2 4 2 4" xfId="22460" xr:uid="{09FCC5B3-0BB8-44AF-BC58-AF89A9806B34}"/>
    <cellStyle name="Normal 12 2 2 2 4 3" xfId="5907" xr:uid="{00000000-0005-0000-0000-0000DB0D0000}"/>
    <cellStyle name="Normal 12 2 2 2 4 3 2" xfId="15233" xr:uid="{A525CDB0-EEB5-4FC2-A7AF-A189858273F1}"/>
    <cellStyle name="Normal 12 2 2 2 4 3 3" xfId="24532" xr:uid="{3CEE2B88-EC7F-4FAE-BEDA-B632BBC80A57}"/>
    <cellStyle name="Normal 12 2 2 2 4 4" xfId="11016" xr:uid="{9101A218-848A-4995-A322-F2EDCB9DEAF6}"/>
    <cellStyle name="Normal 12 2 2 2 4 5" xfId="20315" xr:uid="{3F3D2A77-D093-458C-BB18-4C6A010CE9CE}"/>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78165AE5-66A7-4BEA-B428-6D9E5556C778}"/>
    <cellStyle name="Normal 12 2 2 2 5 2 2 3" xfId="27090" xr:uid="{34BE6674-3471-4998-816B-995A3080F288}"/>
    <cellStyle name="Normal 12 2 2 2 5 2 3" xfId="13574" xr:uid="{15C7E254-6E26-4649-88CC-CF28E83AF4CE}"/>
    <cellStyle name="Normal 12 2 2 2 5 2 4" xfId="22873" xr:uid="{FD690207-023E-4D6F-BE63-DBDB1972DFCB}"/>
    <cellStyle name="Normal 12 2 2 2 5 3" xfId="6320" xr:uid="{00000000-0005-0000-0000-0000DF0D0000}"/>
    <cellStyle name="Normal 12 2 2 2 5 3 2" xfId="15646" xr:uid="{B2566075-79F1-40D7-BEC5-A0B5748CF633}"/>
    <cellStyle name="Normal 12 2 2 2 5 3 3" xfId="24945" xr:uid="{07200D26-B829-4088-AA8F-C7667C6A8293}"/>
    <cellStyle name="Normal 12 2 2 2 5 4" xfId="11429" xr:uid="{DC653B02-E250-4FD7-89D8-9A53683B7C0F}"/>
    <cellStyle name="Normal 12 2 2 2 5 5" xfId="20728" xr:uid="{0E78A60F-2AA7-481D-A70F-362CDAAF6B8D}"/>
    <cellStyle name="Normal 12 2 2 2 6" xfId="2450" xr:uid="{00000000-0005-0000-0000-0000E00D0000}"/>
    <cellStyle name="Normal 12 2 2 2 6 2" xfId="6733" xr:uid="{00000000-0005-0000-0000-0000E10D0000}"/>
    <cellStyle name="Normal 12 2 2 2 6 2 2" xfId="16059" xr:uid="{96E94687-DB41-42F6-95F6-7C0E7609A533}"/>
    <cellStyle name="Normal 12 2 2 2 6 2 3" xfId="25358" xr:uid="{EFF8EDB3-688C-40D3-BB04-5601392BB684}"/>
    <cellStyle name="Normal 12 2 2 2 6 3" xfId="11842" xr:uid="{C7A7B4DA-545C-4360-9655-4EAF60937A17}"/>
    <cellStyle name="Normal 12 2 2 2 6 4" xfId="21141" xr:uid="{6D2D383D-6478-4DAF-A14E-02E7753550EC}"/>
    <cellStyle name="Normal 12 2 2 2 7" xfId="4667" xr:uid="{00000000-0005-0000-0000-0000E20D0000}"/>
    <cellStyle name="Normal 12 2 2 2 7 2" xfId="13993" xr:uid="{E3BB4E1F-EE98-425D-AB82-DE677D53B664}"/>
    <cellStyle name="Normal 12 2 2 2 7 3" xfId="23292" xr:uid="{E90EF33D-B64F-4131-BA43-3F292F73FA08}"/>
    <cellStyle name="Normal 12 2 2 2 8" xfId="9121" xr:uid="{527C15BB-BE4D-46AB-9317-CC8E6838C91D}"/>
    <cellStyle name="Normal 12 2 2 2 8 2" xfId="18445" xr:uid="{9DAE9611-B590-4BE3-96E1-C54D617D1B95}"/>
    <cellStyle name="Normal 12 2 2 2 8 3" xfId="27743" xr:uid="{B840B386-D206-4935-BF4A-88A9226851B1}"/>
    <cellStyle name="Normal 12 2 2 2 9" xfId="9776" xr:uid="{A12C67BE-67B8-413F-AB8C-4299F8E43C95}"/>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13B8A375-5E7D-4E44-9C90-930A9B8C34DE}"/>
    <cellStyle name="Normal 12 2 2 3 2 2 3" xfId="25850" xr:uid="{69297E81-A811-47E8-87AF-B1E1A9BE018F}"/>
    <cellStyle name="Normal 12 2 2 3 2 3" xfId="12334" xr:uid="{550196DC-682F-4251-B0D6-2864F276E989}"/>
    <cellStyle name="Normal 12 2 2 3 2 4" xfId="21633" xr:uid="{031D5C1C-A6FD-4F75-995C-1FD212769FDF}"/>
    <cellStyle name="Normal 12 2 2 3 3" xfId="5080" xr:uid="{00000000-0005-0000-0000-0000E60D0000}"/>
    <cellStyle name="Normal 12 2 2 3 3 2" xfId="14406" xr:uid="{61FD5FBD-A9EC-47F8-879B-190A6FD4509C}"/>
    <cellStyle name="Normal 12 2 2 3 3 3" xfId="23705" xr:uid="{A34F3187-D8DB-4DB5-A74A-43B7A33E9F60}"/>
    <cellStyle name="Normal 12 2 2 3 4" xfId="9339" xr:uid="{F3F800C1-92DF-4F1F-A561-C3F3C7F8BAD1}"/>
    <cellStyle name="Normal 12 2 2 3 4 2" xfId="18654" xr:uid="{D4EA737C-0963-4A2D-8F23-5AA0E1348160}"/>
    <cellStyle name="Normal 12 2 2 3 4 3" xfId="27951" xr:uid="{44F696AB-335B-40A2-BEC3-F663CBC7D425}"/>
    <cellStyle name="Normal 12 2 2 3 5" xfId="10189" xr:uid="{45C94322-B7A8-46B2-98EE-5C282E417D8B}"/>
    <cellStyle name="Normal 12 2 2 3 6" xfId="19488" xr:uid="{0282C3E4-AD06-4544-9888-612C61D0A9F7}"/>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663377FF-16C4-4979-AEE0-CD47EAA1BBF0}"/>
    <cellStyle name="Normal 12 2 2 4 2 2 3" xfId="26263" xr:uid="{E0798D1E-DD70-4A85-AB13-4A3E248B1A3A}"/>
    <cellStyle name="Normal 12 2 2 4 2 3" xfId="12747" xr:uid="{CBA5D934-1F81-4765-8D96-967581AA77FF}"/>
    <cellStyle name="Normal 12 2 2 4 2 4" xfId="22046" xr:uid="{942B5B60-B728-4F49-AF9E-6E2923D5FE1A}"/>
    <cellStyle name="Normal 12 2 2 4 3" xfId="5493" xr:uid="{00000000-0005-0000-0000-0000EA0D0000}"/>
    <cellStyle name="Normal 12 2 2 4 3 2" xfId="14819" xr:uid="{93F97FED-6755-4263-B0A9-828555F8EB79}"/>
    <cellStyle name="Normal 12 2 2 4 3 3" xfId="24118" xr:uid="{D2AEDB0E-80B2-4480-BE65-24ECC349C851}"/>
    <cellStyle name="Normal 12 2 2 4 4" xfId="10602" xr:uid="{56E3C917-9568-4F13-826E-4E9385D8B0A4}"/>
    <cellStyle name="Normal 12 2 2 4 5" xfId="19901" xr:uid="{1F21C8EC-E4FB-4F49-8D7B-71A224D592FD}"/>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0BB22E60-A70C-41E9-8261-9835AD9D7290}"/>
    <cellStyle name="Normal 12 2 2 5 2 2 3" xfId="26676" xr:uid="{3681B8C7-4133-4E78-850D-B49C8285E26B}"/>
    <cellStyle name="Normal 12 2 2 5 2 3" xfId="13160" xr:uid="{D7958D77-7AB2-4874-87E6-F41DF538F00F}"/>
    <cellStyle name="Normal 12 2 2 5 2 4" xfId="22459" xr:uid="{9F00BA5B-6320-4518-9390-96C697E0FA21}"/>
    <cellStyle name="Normal 12 2 2 5 3" xfId="5906" xr:uid="{00000000-0005-0000-0000-0000EE0D0000}"/>
    <cellStyle name="Normal 12 2 2 5 3 2" xfId="15232" xr:uid="{DE0D7242-2A15-4FC5-96A1-0DD19ECD019C}"/>
    <cellStyle name="Normal 12 2 2 5 3 3" xfId="24531" xr:uid="{4FE24F90-AC48-404A-9F74-90B248CE4D03}"/>
    <cellStyle name="Normal 12 2 2 5 4" xfId="11015" xr:uid="{B3DBE9F3-40C4-416E-8CD5-30FD87A5DDE8}"/>
    <cellStyle name="Normal 12 2 2 5 5" xfId="20314" xr:uid="{17EA3E7C-1BFC-430D-9FC0-E70E753A99C4}"/>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D05C0534-E98C-4674-B8DC-6BCB539D1364}"/>
    <cellStyle name="Normal 12 2 2 6 2 2 3" xfId="27089" xr:uid="{32CC4726-5FFB-4520-A8EC-6E101FF30A4B}"/>
    <cellStyle name="Normal 12 2 2 6 2 3" xfId="13573" xr:uid="{B800A85F-5B53-4CBB-9B5C-85DDA6E2660B}"/>
    <cellStyle name="Normal 12 2 2 6 2 4" xfId="22872" xr:uid="{D90A415F-AD45-404A-93D5-A76117B38664}"/>
    <cellStyle name="Normal 12 2 2 6 3" xfId="6319" xr:uid="{00000000-0005-0000-0000-0000F20D0000}"/>
    <cellStyle name="Normal 12 2 2 6 3 2" xfId="15645" xr:uid="{7CEFB4E0-9D1A-4ED2-AA0F-2224D985286C}"/>
    <cellStyle name="Normal 12 2 2 6 3 3" xfId="24944" xr:uid="{50288342-1931-49CC-A8D2-12A6F5039D71}"/>
    <cellStyle name="Normal 12 2 2 6 4" xfId="11428" xr:uid="{A62D014E-1617-44E7-9062-E100E94D6054}"/>
    <cellStyle name="Normal 12 2 2 6 5" xfId="20727" xr:uid="{9BD0BFCD-88A2-41D4-A3F6-BE8E004AAC8D}"/>
    <cellStyle name="Normal 12 2 2 7" xfId="2449" xr:uid="{00000000-0005-0000-0000-0000F30D0000}"/>
    <cellStyle name="Normal 12 2 2 7 2" xfId="6732" xr:uid="{00000000-0005-0000-0000-0000F40D0000}"/>
    <cellStyle name="Normal 12 2 2 7 2 2" xfId="16058" xr:uid="{5B50CC9F-75C6-47C5-B4A9-EF1D3FFFD72D}"/>
    <cellStyle name="Normal 12 2 2 7 2 3" xfId="25357" xr:uid="{A5851F08-7240-4D94-B75C-57E91E370999}"/>
    <cellStyle name="Normal 12 2 2 7 3" xfId="11841" xr:uid="{C31288E5-DFCE-4D2E-AE07-D837B30BF39B}"/>
    <cellStyle name="Normal 12 2 2 7 4" xfId="21140" xr:uid="{2E8D88ED-4BEC-4C3F-9648-4F1B3D2D243A}"/>
    <cellStyle name="Normal 12 2 2 8" xfId="4666" xr:uid="{00000000-0005-0000-0000-0000F50D0000}"/>
    <cellStyle name="Normal 12 2 2 8 2" xfId="13992" xr:uid="{F60150FC-66A2-4B21-94FF-63B448234513}"/>
    <cellStyle name="Normal 12 2 2 8 3" xfId="23291" xr:uid="{3CF4A37E-F8B2-46D1-97C6-170A13F1C727}"/>
    <cellStyle name="Normal 12 2 2 9" xfId="8914" xr:uid="{85903DBC-FA0A-4A9D-9FB4-BA36A4B6F510}"/>
    <cellStyle name="Normal 12 2 2 9 2" xfId="18238" xr:uid="{2953FDD1-23AF-49FB-9FAA-6D60F16E9F87}"/>
    <cellStyle name="Normal 12 2 2 9 3" xfId="27536" xr:uid="{E9E55ADB-FDAC-4B80-AAF0-C01DE6B68C28}"/>
    <cellStyle name="Normal 12 2 3" xfId="263" xr:uid="{00000000-0005-0000-0000-0000F60D0000}"/>
    <cellStyle name="Normal 12 2 3 10" xfId="19076" xr:uid="{8CE28F46-60D3-4649-922D-4E4CCF406124}"/>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371442C5-D47C-4B2F-982B-308332A73CA9}"/>
    <cellStyle name="Normal 12 2 3 2 2 2 3" xfId="25852" xr:uid="{D9768CCE-7AF6-458C-B85C-13C4CCBCBBD1}"/>
    <cellStyle name="Normal 12 2 3 2 2 3" xfId="12336" xr:uid="{039BF675-57BE-4FD6-A563-EE199BDD56E1}"/>
    <cellStyle name="Normal 12 2 3 2 2 4" xfId="21635" xr:uid="{412312EA-0AD9-4F85-BC2E-FA407A1EF502}"/>
    <cellStyle name="Normal 12 2 3 2 3" xfId="5082" xr:uid="{00000000-0005-0000-0000-0000FA0D0000}"/>
    <cellStyle name="Normal 12 2 3 2 3 2" xfId="14408" xr:uid="{806224CD-66CF-4E67-B0A6-09B6391885E7}"/>
    <cellStyle name="Normal 12 2 3 2 3 3" xfId="23707" xr:uid="{7298F31A-9442-4ED4-885B-F7C20220B809}"/>
    <cellStyle name="Normal 12 2 3 2 4" xfId="9443" xr:uid="{61F0A971-1285-4215-8170-49D07520551A}"/>
    <cellStyle name="Normal 12 2 3 2 4 2" xfId="18758" xr:uid="{6A0CD240-89FC-4240-AB43-BBF5F9C845D0}"/>
    <cellStyle name="Normal 12 2 3 2 4 3" xfId="28055" xr:uid="{C11EC987-00A9-48AB-A885-1384C198031C}"/>
    <cellStyle name="Normal 12 2 3 2 5" xfId="10191" xr:uid="{9F23348B-BA7A-4461-BCF5-A46FA56F7BC4}"/>
    <cellStyle name="Normal 12 2 3 2 6" xfId="19490" xr:uid="{BFD40D72-40D6-4F08-8289-AB10057C49D1}"/>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6AA69A26-232E-4747-A89F-FCD04F17CB82}"/>
    <cellStyle name="Normal 12 2 3 3 2 2 3" xfId="26265" xr:uid="{7C8EBC58-13BD-4125-A6DF-C3DFFFFBC7DD}"/>
    <cellStyle name="Normal 12 2 3 3 2 3" xfId="12749" xr:uid="{B4E498B5-D56B-4D94-BE4A-F91B47AC9501}"/>
    <cellStyle name="Normal 12 2 3 3 2 4" xfId="22048" xr:uid="{C900318C-3993-480A-9211-C6B7542D3489}"/>
    <cellStyle name="Normal 12 2 3 3 3" xfId="5495" xr:uid="{00000000-0005-0000-0000-0000FE0D0000}"/>
    <cellStyle name="Normal 12 2 3 3 3 2" xfId="14821" xr:uid="{1382C016-7546-48EB-8DE5-90B85F06F87E}"/>
    <cellStyle name="Normal 12 2 3 3 3 3" xfId="24120" xr:uid="{9616D49E-8F87-4C6D-8C12-1A45C0674A8F}"/>
    <cellStyle name="Normal 12 2 3 3 4" xfId="10604" xr:uid="{5C9EE9FF-D27E-4227-8BD7-41F5112AFCF1}"/>
    <cellStyle name="Normal 12 2 3 3 5" xfId="19903" xr:uid="{C3222662-8C95-42C1-889D-1E4E6EB86299}"/>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DFDBA1B3-10E5-408E-B84F-68F7A4F5A1BF}"/>
    <cellStyle name="Normal 12 2 3 4 2 2 3" xfId="26678" xr:uid="{C288F1DE-68EF-40A4-B88D-0AD15C4BCAA7}"/>
    <cellStyle name="Normal 12 2 3 4 2 3" xfId="13162" xr:uid="{0CEE86B7-82C6-4651-8CC0-C206485C4789}"/>
    <cellStyle name="Normal 12 2 3 4 2 4" xfId="22461" xr:uid="{130EECA9-DFD8-4D6A-B37A-34A1FE410A3D}"/>
    <cellStyle name="Normal 12 2 3 4 3" xfId="5908" xr:uid="{00000000-0005-0000-0000-0000020E0000}"/>
    <cellStyle name="Normal 12 2 3 4 3 2" xfId="15234" xr:uid="{32F15BBE-5051-4376-9EDF-88F0860FEBDC}"/>
    <cellStyle name="Normal 12 2 3 4 3 3" xfId="24533" xr:uid="{857BD879-61A9-4A36-992C-5E46B0EF0A59}"/>
    <cellStyle name="Normal 12 2 3 4 4" xfId="11017" xr:uid="{612F641B-87A7-4C52-A898-44DC9F7EF5FB}"/>
    <cellStyle name="Normal 12 2 3 4 5" xfId="20316" xr:uid="{BC43C260-2FE0-4D03-9D63-060D252D93C4}"/>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6D3A203A-3153-42E3-BF5A-685A5E22374A}"/>
    <cellStyle name="Normal 12 2 3 5 2 2 3" xfId="27091" xr:uid="{85A502C4-B6A8-4CFC-BE48-200AC5356A0A}"/>
    <cellStyle name="Normal 12 2 3 5 2 3" xfId="13575" xr:uid="{2992A725-4E8A-4920-B69B-4CCF468F4C8D}"/>
    <cellStyle name="Normal 12 2 3 5 2 4" xfId="22874" xr:uid="{5CEA0D68-DF72-4A23-8822-DD3AD5E5A4C2}"/>
    <cellStyle name="Normal 12 2 3 5 3" xfId="6321" xr:uid="{00000000-0005-0000-0000-0000060E0000}"/>
    <cellStyle name="Normal 12 2 3 5 3 2" xfId="15647" xr:uid="{C6AB8703-0DF1-4F37-B74A-3EB32C9C8CB8}"/>
    <cellStyle name="Normal 12 2 3 5 3 3" xfId="24946" xr:uid="{5EC15D92-9C0F-4067-BF45-4632B7C0F52B}"/>
    <cellStyle name="Normal 12 2 3 5 4" xfId="11430" xr:uid="{8DA0AD4B-F37C-4F5F-83C9-94231F255FC6}"/>
    <cellStyle name="Normal 12 2 3 5 5" xfId="20729" xr:uid="{57B53934-EB57-4DD7-BD5D-6F6ED685E3E1}"/>
    <cellStyle name="Normal 12 2 3 6" xfId="2451" xr:uid="{00000000-0005-0000-0000-0000070E0000}"/>
    <cellStyle name="Normal 12 2 3 6 2" xfId="6734" xr:uid="{00000000-0005-0000-0000-0000080E0000}"/>
    <cellStyle name="Normal 12 2 3 6 2 2" xfId="16060" xr:uid="{404ADAB4-7FE1-412E-92FA-1D6F50594A56}"/>
    <cellStyle name="Normal 12 2 3 6 2 3" xfId="25359" xr:uid="{1D5BE583-C3DD-44EF-9169-E2AC5AC1D42D}"/>
    <cellStyle name="Normal 12 2 3 6 3" xfId="11843" xr:uid="{8619D4E0-A270-48EB-A42E-7F6CACCB4843}"/>
    <cellStyle name="Normal 12 2 3 6 4" xfId="21142" xr:uid="{6EDA9D8E-CDCC-447E-88EA-7672B3FB9CD8}"/>
    <cellStyle name="Normal 12 2 3 7" xfId="4668" xr:uid="{00000000-0005-0000-0000-0000090E0000}"/>
    <cellStyle name="Normal 12 2 3 7 2" xfId="13994" xr:uid="{8D6CD555-361C-4662-9E1D-75195047BA77}"/>
    <cellStyle name="Normal 12 2 3 7 3" xfId="23293" xr:uid="{40FB123A-A580-43DB-9E14-17F76B8C79FF}"/>
    <cellStyle name="Normal 12 2 3 8" xfId="9018" xr:uid="{C3F41DC6-3A80-4145-A68D-169ABB54B6D0}"/>
    <cellStyle name="Normal 12 2 3 8 2" xfId="18342" xr:uid="{8B2A48F7-5760-4F3D-AEC9-852DC5C3FCEA}"/>
    <cellStyle name="Normal 12 2 3 8 3" xfId="27640" xr:uid="{A9AAE1B3-8C29-474D-BE3A-E9673F0752DD}"/>
    <cellStyle name="Normal 12 2 3 9" xfId="9777" xr:uid="{06D9F6A0-4290-4B89-A93F-33487C87F07E}"/>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44CF97B3-CFCD-4115-B44C-81B74CE85BF9}"/>
    <cellStyle name="Normal 12 2 4 2 2 3" xfId="25849" xr:uid="{764F7BE3-62C9-4375-8FC5-3A5E6D23C26C}"/>
    <cellStyle name="Normal 12 2 4 2 3" xfId="12333" xr:uid="{0E068881-33C5-45AE-BD85-0F916FD7943F}"/>
    <cellStyle name="Normal 12 2 4 2 4" xfId="21632" xr:uid="{03508AE8-F80E-4F0E-8869-48E258611AB6}"/>
    <cellStyle name="Normal 12 2 4 3" xfId="5079" xr:uid="{00000000-0005-0000-0000-00000D0E0000}"/>
    <cellStyle name="Normal 12 2 4 3 2" xfId="14405" xr:uid="{C4CE0CA7-F1C3-4BC4-B4F6-2EA74FA0FB53}"/>
    <cellStyle name="Normal 12 2 4 3 3" xfId="23704" xr:uid="{DB555D2D-0BF2-4AD3-B988-2C681BAE62AE}"/>
    <cellStyle name="Normal 12 2 4 4" xfId="9236" xr:uid="{C3D0196D-4BB3-4870-9762-A3CF40E5B45B}"/>
    <cellStyle name="Normal 12 2 4 4 2" xfId="18551" xr:uid="{781745C0-6340-44E7-AD9A-B95FF8690B3A}"/>
    <cellStyle name="Normal 12 2 4 4 3" xfId="27848" xr:uid="{6CEB5B91-4368-4626-9639-FC46F6D1232A}"/>
    <cellStyle name="Normal 12 2 4 5" xfId="10188" xr:uid="{9E8890F7-18D9-4004-97A1-38E27DB1369B}"/>
    <cellStyle name="Normal 12 2 4 6" xfId="19487" xr:uid="{21CBB787-2913-43BA-8C79-30C593759EFC}"/>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3D1A377D-A982-49A0-862F-4DA9A5D90C47}"/>
    <cellStyle name="Normal 12 2 5 2 2 3" xfId="26262" xr:uid="{30F6AA44-CB1F-4DC8-94E1-4DB3255A31C9}"/>
    <cellStyle name="Normal 12 2 5 2 3" xfId="12746" xr:uid="{D05DAB63-A255-40FA-AF42-B77FDDFC4289}"/>
    <cellStyle name="Normal 12 2 5 2 4" xfId="22045" xr:uid="{BCFE1A0D-CAEF-436E-ADCA-622D88A4F171}"/>
    <cellStyle name="Normal 12 2 5 3" xfId="5492" xr:uid="{00000000-0005-0000-0000-0000110E0000}"/>
    <cellStyle name="Normal 12 2 5 3 2" xfId="14818" xr:uid="{81099B2A-C9A5-4348-9E20-7C384999C10D}"/>
    <cellStyle name="Normal 12 2 5 3 3" xfId="24117" xr:uid="{4A1A2500-4767-4819-8054-A2293B564178}"/>
    <cellStyle name="Normal 12 2 5 4" xfId="10601" xr:uid="{BAF7A168-332F-4009-8E54-38470534DA08}"/>
    <cellStyle name="Normal 12 2 5 5" xfId="19900" xr:uid="{5385630B-AF05-40A3-BE25-F2274B390422}"/>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C789B561-98B4-4C7A-A562-9341DB1AE998}"/>
    <cellStyle name="Normal 12 2 6 2 2 3" xfId="26675" xr:uid="{A1AA123D-E382-4585-912E-8C8E66CD0091}"/>
    <cellStyle name="Normal 12 2 6 2 3" xfId="13159" xr:uid="{9820F939-556C-48D8-8FCC-F16237F55432}"/>
    <cellStyle name="Normal 12 2 6 2 4" xfId="22458" xr:uid="{FEB33973-9E6A-4C83-9B18-8FC3ECBA38FB}"/>
    <cellStyle name="Normal 12 2 6 3" xfId="5905" xr:uid="{00000000-0005-0000-0000-0000150E0000}"/>
    <cellStyle name="Normal 12 2 6 3 2" xfId="15231" xr:uid="{1109EBAB-44DF-4D4E-8604-E2BE2F9410E8}"/>
    <cellStyle name="Normal 12 2 6 3 3" xfId="24530" xr:uid="{C543C220-8F96-40A9-9E7C-161EAD54CA3F}"/>
    <cellStyle name="Normal 12 2 6 4" xfId="11014" xr:uid="{F393C189-973F-4E68-BF25-611FB2104DC5}"/>
    <cellStyle name="Normal 12 2 6 5" xfId="20313" xr:uid="{3845F159-F89F-408D-8ABA-35608BB0683D}"/>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097BD401-C768-462C-BA16-6ABAA248940A}"/>
    <cellStyle name="Normal 12 2 7 2 2 3" xfId="27088" xr:uid="{18A8314F-1BBA-4903-B6AD-AAAFB2216B94}"/>
    <cellStyle name="Normal 12 2 7 2 3" xfId="13572" xr:uid="{E7B53EB8-FD22-456C-8EA2-1A4186B39788}"/>
    <cellStyle name="Normal 12 2 7 2 4" xfId="22871" xr:uid="{873401F7-6609-4ED6-928F-421A7B9105E9}"/>
    <cellStyle name="Normal 12 2 7 3" xfId="6318" xr:uid="{00000000-0005-0000-0000-0000190E0000}"/>
    <cellStyle name="Normal 12 2 7 3 2" xfId="15644" xr:uid="{FD154817-B0D4-44EC-9E24-A6883D188071}"/>
    <cellStyle name="Normal 12 2 7 3 3" xfId="24943" xr:uid="{1CD404E8-489E-42F1-B2BA-241A2487FAE9}"/>
    <cellStyle name="Normal 12 2 7 4" xfId="11427" xr:uid="{F752DF6E-623A-4C1F-91C4-370AC5244515}"/>
    <cellStyle name="Normal 12 2 7 5" xfId="20726" xr:uid="{BA1F2C2B-D7DA-4A06-8EA9-A302239F8F94}"/>
    <cellStyle name="Normal 12 2 8" xfId="2448" xr:uid="{00000000-0005-0000-0000-00001A0E0000}"/>
    <cellStyle name="Normal 12 2 8 2" xfId="6731" xr:uid="{00000000-0005-0000-0000-00001B0E0000}"/>
    <cellStyle name="Normal 12 2 8 2 2" xfId="16057" xr:uid="{276DC989-F5FB-434D-8462-9D538552E526}"/>
    <cellStyle name="Normal 12 2 8 2 3" xfId="25356" xr:uid="{D74F1A76-097A-4EEB-86A1-24011DBB9683}"/>
    <cellStyle name="Normal 12 2 8 3" xfId="11840" xr:uid="{17169FF8-226F-4FAA-9ECB-DF9A91913D94}"/>
    <cellStyle name="Normal 12 2 8 4" xfId="21139" xr:uid="{13450BB6-7190-43C6-942D-A53620D011E9}"/>
    <cellStyle name="Normal 12 2 9" xfId="4665" xr:uid="{00000000-0005-0000-0000-00001C0E0000}"/>
    <cellStyle name="Normal 12 2 9 2" xfId="13991" xr:uid="{A6BDBE01-E4C9-4CB2-9EC0-1605227AAE29}"/>
    <cellStyle name="Normal 12 2 9 3" xfId="23290" xr:uid="{070D8783-A9D3-4E53-8BE7-12525C3EB58D}"/>
    <cellStyle name="Normal 12 3" xfId="264" xr:uid="{00000000-0005-0000-0000-00001D0E0000}"/>
    <cellStyle name="Normal 12 3 10" xfId="9778" xr:uid="{8AE7C07A-12D7-4F7C-A68E-1E4789CE2350}"/>
    <cellStyle name="Normal 12 3 11" xfId="19077" xr:uid="{C04F5A80-9CC2-4963-A3A2-DAAEC5C4CC42}"/>
    <cellStyle name="Normal 12 3 2" xfId="265" xr:uid="{00000000-0005-0000-0000-00001E0E0000}"/>
    <cellStyle name="Normal 12 3 2 10" xfId="19078" xr:uid="{54B69A90-C13C-453A-825F-2A3B23714F94}"/>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D5C76876-FF80-40D7-859C-528276B24B93}"/>
    <cellStyle name="Normal 12 3 2 2 2 2 3" xfId="25854" xr:uid="{BDC711BE-62CA-45CC-9366-EC16F5A13268}"/>
    <cellStyle name="Normal 12 3 2 2 2 3" xfId="12338" xr:uid="{02B7A99F-182F-474F-BA2E-685103C459D0}"/>
    <cellStyle name="Normal 12 3 2 2 2 4" xfId="21637" xr:uid="{053F8F4C-D8E4-4555-AF76-944085DEDB53}"/>
    <cellStyle name="Normal 12 3 2 2 3" xfId="5084" xr:uid="{00000000-0005-0000-0000-0000220E0000}"/>
    <cellStyle name="Normal 12 3 2 2 3 2" xfId="14410" xr:uid="{E64FBDAC-0214-4707-B42C-627999E9BC59}"/>
    <cellStyle name="Normal 12 3 2 2 3 3" xfId="23709" xr:uid="{A77B6C25-10CE-4EF1-8017-C48E44BE50F4}"/>
    <cellStyle name="Normal 12 3 2 2 4" xfId="9505" xr:uid="{B127619B-367D-40AD-851E-01DDBB2DCD13}"/>
    <cellStyle name="Normal 12 3 2 2 4 2" xfId="18820" xr:uid="{BD2A72FB-2A65-4608-93BC-C31F5497693C}"/>
    <cellStyle name="Normal 12 3 2 2 4 3" xfId="28117" xr:uid="{F3223378-3740-43CF-95CF-11EB91361455}"/>
    <cellStyle name="Normal 12 3 2 2 5" xfId="10193" xr:uid="{B3306B6C-6824-480E-B440-2427DFC1A6A9}"/>
    <cellStyle name="Normal 12 3 2 2 6" xfId="19492" xr:uid="{22E97279-75FE-473F-8BAB-2F198F61F503}"/>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CE1D8792-2EB2-4607-848C-8902C5E7091F}"/>
    <cellStyle name="Normal 12 3 2 3 2 2 3" xfId="26267" xr:uid="{F809DC2C-0B23-449C-83D4-9B3D3E0F9301}"/>
    <cellStyle name="Normal 12 3 2 3 2 3" xfId="12751" xr:uid="{66A5FD50-616B-4405-A73A-C4F991D593A9}"/>
    <cellStyle name="Normal 12 3 2 3 2 4" xfId="22050" xr:uid="{FD8FCA96-43C6-4DC2-9336-293C566C1658}"/>
    <cellStyle name="Normal 12 3 2 3 3" xfId="5497" xr:uid="{00000000-0005-0000-0000-0000260E0000}"/>
    <cellStyle name="Normal 12 3 2 3 3 2" xfId="14823" xr:uid="{B0E3AF8A-3212-47BE-8567-2899E6C62942}"/>
    <cellStyle name="Normal 12 3 2 3 3 3" xfId="24122" xr:uid="{C88AFB5B-D272-40F6-BF67-B5B0BAA1B21F}"/>
    <cellStyle name="Normal 12 3 2 3 4" xfId="10606" xr:uid="{4EDB49DB-2B3C-4594-AA0F-253AEB22121F}"/>
    <cellStyle name="Normal 12 3 2 3 5" xfId="19905" xr:uid="{AF3E5766-BFFE-480F-9CBA-0CE252CAC7E1}"/>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585432EA-C5B3-479B-9C06-C7ECC304945C}"/>
    <cellStyle name="Normal 12 3 2 4 2 2 3" xfId="26680" xr:uid="{7D7B2F99-D012-4EB7-890D-AAB8E9900957}"/>
    <cellStyle name="Normal 12 3 2 4 2 3" xfId="13164" xr:uid="{C174E984-9872-47CB-82A6-242C730B381E}"/>
    <cellStyle name="Normal 12 3 2 4 2 4" xfId="22463" xr:uid="{38227AE4-8225-4610-876E-5D66E559E24B}"/>
    <cellStyle name="Normal 12 3 2 4 3" xfId="5910" xr:uid="{00000000-0005-0000-0000-00002A0E0000}"/>
    <cellStyle name="Normal 12 3 2 4 3 2" xfId="15236" xr:uid="{8B9E51AB-129D-43C5-A023-E81DB09A6BB3}"/>
    <cellStyle name="Normal 12 3 2 4 3 3" xfId="24535" xr:uid="{D8F62FBF-0058-4409-AB4C-A9EC49F0BBF7}"/>
    <cellStyle name="Normal 12 3 2 4 4" xfId="11019" xr:uid="{CB40D159-8747-4526-AD05-BC17E58D84AF}"/>
    <cellStyle name="Normal 12 3 2 4 5" xfId="20318" xr:uid="{9E83EF74-8FDB-4618-9DE6-0B63F8E00BC9}"/>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F2EBBD3E-6D26-43F8-8D05-EBB79EF21FA6}"/>
    <cellStyle name="Normal 12 3 2 5 2 2 3" xfId="27093" xr:uid="{EA2E1FDB-463F-4202-9BF5-D6FC046DED9C}"/>
    <cellStyle name="Normal 12 3 2 5 2 3" xfId="13577" xr:uid="{38096DA7-DB4E-4361-B921-D8D1C51CD361}"/>
    <cellStyle name="Normal 12 3 2 5 2 4" xfId="22876" xr:uid="{45FC4A17-BE31-4B94-B66D-2872A7C7FA5B}"/>
    <cellStyle name="Normal 12 3 2 5 3" xfId="6323" xr:uid="{00000000-0005-0000-0000-00002E0E0000}"/>
    <cellStyle name="Normal 12 3 2 5 3 2" xfId="15649" xr:uid="{0B1CEFD7-B764-4FC8-AB63-3586416F3674}"/>
    <cellStyle name="Normal 12 3 2 5 3 3" xfId="24948" xr:uid="{EC2F67EA-67B9-4834-A976-08AA64C6E4F4}"/>
    <cellStyle name="Normal 12 3 2 5 4" xfId="11432" xr:uid="{F3673619-8569-4CB4-AEE6-4ACE46F20E2A}"/>
    <cellStyle name="Normal 12 3 2 5 5" xfId="20731" xr:uid="{181A83E2-257A-4F8F-AEF2-D195A00863EF}"/>
    <cellStyle name="Normal 12 3 2 6" xfId="2453" xr:uid="{00000000-0005-0000-0000-00002F0E0000}"/>
    <cellStyle name="Normal 12 3 2 6 2" xfId="6736" xr:uid="{00000000-0005-0000-0000-0000300E0000}"/>
    <cellStyle name="Normal 12 3 2 6 2 2" xfId="16062" xr:uid="{CA327C1C-13FE-48A3-8222-2F4F2266844B}"/>
    <cellStyle name="Normal 12 3 2 6 2 3" xfId="25361" xr:uid="{D0EEE1AE-D413-4E20-91DB-A1E3294FC58E}"/>
    <cellStyle name="Normal 12 3 2 6 3" xfId="11845" xr:uid="{DB0058F4-7E62-4BA3-B5D2-4199B0473C70}"/>
    <cellStyle name="Normal 12 3 2 6 4" xfId="21144" xr:uid="{F3C19661-90B8-44BE-8065-C3297C33F1A6}"/>
    <cellStyle name="Normal 12 3 2 7" xfId="4670" xr:uid="{00000000-0005-0000-0000-0000310E0000}"/>
    <cellStyle name="Normal 12 3 2 7 2" xfId="13996" xr:uid="{B2E598A9-1DC0-4F59-8AD7-7EB2A688A808}"/>
    <cellStyle name="Normal 12 3 2 7 3" xfId="23295" xr:uid="{64F66BB2-ECDA-4393-9988-2E7FD01F1403}"/>
    <cellStyle name="Normal 12 3 2 8" xfId="9080" xr:uid="{403F3083-4A9F-4295-B676-C31241B8936E}"/>
    <cellStyle name="Normal 12 3 2 8 2" xfId="18404" xr:uid="{13759C88-E338-4C18-9BFC-FB5DD6F4E66E}"/>
    <cellStyle name="Normal 12 3 2 8 3" xfId="27702" xr:uid="{C3EEB379-F94D-4671-91FA-F58262F6864C}"/>
    <cellStyle name="Normal 12 3 2 9" xfId="9779" xr:uid="{00E13E24-B9F3-4C19-8EC2-6820AC3DAC88}"/>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A48F30DC-89BE-4028-B234-C33D8485A8E5}"/>
    <cellStyle name="Normal 12 3 3 2 2 3" xfId="25853" xr:uid="{7427386A-2EC5-4BE8-BF08-B5C94F10586D}"/>
    <cellStyle name="Normal 12 3 3 2 3" xfId="12337" xr:uid="{F62EB496-60D5-43F0-9C48-29603E9BAF08}"/>
    <cellStyle name="Normal 12 3 3 2 4" xfId="21636" xr:uid="{9A8E591A-C977-4B41-AF87-0A7042745D33}"/>
    <cellStyle name="Normal 12 3 3 3" xfId="5083" xr:uid="{00000000-0005-0000-0000-0000350E0000}"/>
    <cellStyle name="Normal 12 3 3 3 2" xfId="14409" xr:uid="{C29C69A2-D66F-42EC-AEB2-653FBA433151}"/>
    <cellStyle name="Normal 12 3 3 3 3" xfId="23708" xr:uid="{5ABA867E-9812-45D4-9FBE-35489AE01B6C}"/>
    <cellStyle name="Normal 12 3 3 4" xfId="9298" xr:uid="{A6F9D711-F86A-406D-B160-91678C261745}"/>
    <cellStyle name="Normal 12 3 3 4 2" xfId="18613" xr:uid="{4407CC5B-0B27-4450-AC2E-94A051CD9310}"/>
    <cellStyle name="Normal 12 3 3 4 3" xfId="27910" xr:uid="{5A478296-2AB3-4240-863E-F7069A037E9C}"/>
    <cellStyle name="Normal 12 3 3 5" xfId="10192" xr:uid="{894FA911-DEAD-4F3B-94D1-986DE79DB079}"/>
    <cellStyle name="Normal 12 3 3 6" xfId="19491" xr:uid="{1C2F3C56-F999-4616-B88C-D04BA64B31CF}"/>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06F4421B-7DE2-4931-B77F-2A029CA96921}"/>
    <cellStyle name="Normal 12 3 4 2 2 3" xfId="26266" xr:uid="{7C5281BF-C77E-4918-A4B3-B77A8F2A92D5}"/>
    <cellStyle name="Normal 12 3 4 2 3" xfId="12750" xr:uid="{762247F4-A0F6-47EF-9E84-AFF19EACE9D6}"/>
    <cellStyle name="Normal 12 3 4 2 4" xfId="22049" xr:uid="{84E0A6E3-8DF5-455D-8C08-EA12C8E41F37}"/>
    <cellStyle name="Normal 12 3 4 3" xfId="5496" xr:uid="{00000000-0005-0000-0000-0000390E0000}"/>
    <cellStyle name="Normal 12 3 4 3 2" xfId="14822" xr:uid="{852B9F92-889C-4EC3-8BB7-F43F3264D80E}"/>
    <cellStyle name="Normal 12 3 4 3 3" xfId="24121" xr:uid="{BD333996-2B89-4FD5-886F-91D7757441E4}"/>
    <cellStyle name="Normal 12 3 4 4" xfId="10605" xr:uid="{5C2B6E5E-E658-4664-8FD2-F9CD6A4BBE5B}"/>
    <cellStyle name="Normal 12 3 4 5" xfId="19904" xr:uid="{812E1E0E-4286-486A-8440-C5C838E53DBC}"/>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2EE9EF7E-78F8-4165-BDF7-A998C1388B85}"/>
    <cellStyle name="Normal 12 3 5 2 2 3" xfId="26679" xr:uid="{3D0FC16D-327E-4E3A-B13F-FA48DE22E5A1}"/>
    <cellStyle name="Normal 12 3 5 2 3" xfId="13163" xr:uid="{150BBEF8-8A47-4D6C-8612-B05883E7094D}"/>
    <cellStyle name="Normal 12 3 5 2 4" xfId="22462" xr:uid="{E21FDD59-7C18-4230-88C9-E0532D1B9525}"/>
    <cellStyle name="Normal 12 3 5 3" xfId="5909" xr:uid="{00000000-0005-0000-0000-00003D0E0000}"/>
    <cellStyle name="Normal 12 3 5 3 2" xfId="15235" xr:uid="{92B01D2A-1EDC-4016-881C-E99F5016A9B0}"/>
    <cellStyle name="Normal 12 3 5 3 3" xfId="24534" xr:uid="{C3CB6292-3891-438D-A3BC-BA9563F3ADC0}"/>
    <cellStyle name="Normal 12 3 5 4" xfId="11018" xr:uid="{14645B1F-351B-405D-A1C8-B1ECE0AC3FBF}"/>
    <cellStyle name="Normal 12 3 5 5" xfId="20317" xr:uid="{7FF02E6B-82DF-48EB-9373-6EB6231E9033}"/>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3F7BC7F7-3B1A-4492-85B4-1114D099AD72}"/>
    <cellStyle name="Normal 12 3 6 2 2 3" xfId="27092" xr:uid="{E7936E54-2811-48B8-9B7D-6FFE8B2A6682}"/>
    <cellStyle name="Normal 12 3 6 2 3" xfId="13576" xr:uid="{5358668C-605A-42E9-AFEB-99893CF93349}"/>
    <cellStyle name="Normal 12 3 6 2 4" xfId="22875" xr:uid="{F080C9CD-0E55-4A2F-A938-0979B9591B99}"/>
    <cellStyle name="Normal 12 3 6 3" xfId="6322" xr:uid="{00000000-0005-0000-0000-0000410E0000}"/>
    <cellStyle name="Normal 12 3 6 3 2" xfId="15648" xr:uid="{64B72724-7391-4C94-A63D-544D4CA8F52F}"/>
    <cellStyle name="Normal 12 3 6 3 3" xfId="24947" xr:uid="{8EF0F2BF-DBBB-4254-B6C9-FE1FFC0B4E6F}"/>
    <cellStyle name="Normal 12 3 6 4" xfId="11431" xr:uid="{5C39C9F6-90C3-4478-B277-8007E527E3C9}"/>
    <cellStyle name="Normal 12 3 6 5" xfId="20730" xr:uid="{5CD7990A-1AD3-4644-8180-5E4696CF41F9}"/>
    <cellStyle name="Normal 12 3 7" xfId="2452" xr:uid="{00000000-0005-0000-0000-0000420E0000}"/>
    <cellStyle name="Normal 12 3 7 2" xfId="6735" xr:uid="{00000000-0005-0000-0000-0000430E0000}"/>
    <cellStyle name="Normal 12 3 7 2 2" xfId="16061" xr:uid="{87AEF9C7-608F-4B75-8344-D3EC6302A31B}"/>
    <cellStyle name="Normal 12 3 7 2 3" xfId="25360" xr:uid="{E0B81DFC-D81E-4C5D-BFF9-67702FC765D6}"/>
    <cellStyle name="Normal 12 3 7 3" xfId="11844" xr:uid="{B6ACF35B-6161-4F4E-9D20-15A53DDC7828}"/>
    <cellStyle name="Normal 12 3 7 4" xfId="21143" xr:uid="{08D6DAA3-A0C4-4260-821D-02896F39FA7B}"/>
    <cellStyle name="Normal 12 3 8" xfId="4669" xr:uid="{00000000-0005-0000-0000-0000440E0000}"/>
    <cellStyle name="Normal 12 3 8 2" xfId="13995" xr:uid="{5E7B1D8E-47CC-4527-95AB-F3DFA23C860B}"/>
    <cellStyle name="Normal 12 3 8 3" xfId="23294" xr:uid="{9E69790D-80A6-47A2-B163-3FDBCFCEC7BF}"/>
    <cellStyle name="Normal 12 3 9" xfId="8873" xr:uid="{72AE7E6C-F254-4BFC-80A7-F73848FA4F21}"/>
    <cellStyle name="Normal 12 3 9 2" xfId="18197" xr:uid="{8F885068-D307-47EE-97B1-5EF6C54114FD}"/>
    <cellStyle name="Normal 12 3 9 3" xfId="27495" xr:uid="{6ECE2B84-ED88-4918-9E05-11AC6DAAD07E}"/>
    <cellStyle name="Normal 12 4" xfId="266" xr:uid="{00000000-0005-0000-0000-0000450E0000}"/>
    <cellStyle name="Normal 12 4 10" xfId="19079" xr:uid="{D6DD615A-8F64-4013-B078-0472FA72CB35}"/>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93C77A8D-423A-4051-8CB0-9A98C944BA07}"/>
    <cellStyle name="Normal 12 4 2 2 2 3" xfId="25855" xr:uid="{8A53C103-81D5-48B9-9603-2302CEAE2B2E}"/>
    <cellStyle name="Normal 12 4 2 2 3" xfId="12339" xr:uid="{128BBD0A-9FB7-4BD6-8CAD-05C2F54BEB1A}"/>
    <cellStyle name="Normal 12 4 2 2 4" xfId="21638" xr:uid="{7F8DDFA8-98FF-4E29-816D-A3CF2AD161D1}"/>
    <cellStyle name="Normal 12 4 2 3" xfId="5085" xr:uid="{00000000-0005-0000-0000-0000490E0000}"/>
    <cellStyle name="Normal 12 4 2 3 2" xfId="14411" xr:uid="{34F9C4C8-124B-4F53-B27E-1E2E43615EEB}"/>
    <cellStyle name="Normal 12 4 2 3 3" xfId="23710" xr:uid="{DE8C902D-3A9C-4A53-B73E-4669616C8D24}"/>
    <cellStyle name="Normal 12 4 2 4" xfId="9402" xr:uid="{F40C9AB7-F4D0-4A65-BBAA-FF5409160FE5}"/>
    <cellStyle name="Normal 12 4 2 4 2" xfId="18717" xr:uid="{32439820-3813-44E0-83E5-1B2B02BD9F26}"/>
    <cellStyle name="Normal 12 4 2 4 3" xfId="28014" xr:uid="{483CF563-29E2-4CC1-ABAC-B3BF7261CF80}"/>
    <cellStyle name="Normal 12 4 2 5" xfId="10194" xr:uid="{1AA8414D-47B3-42C9-B73E-B14205523972}"/>
    <cellStyle name="Normal 12 4 2 6" xfId="19493" xr:uid="{EE71A90E-01CC-4911-A099-C10A18D7150D}"/>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EB4A1D50-005C-48AC-8721-E5259B4DEF71}"/>
    <cellStyle name="Normal 12 4 3 2 2 3" xfId="26268" xr:uid="{37C5A716-8DDE-4142-9B84-0D8E2CA55137}"/>
    <cellStyle name="Normal 12 4 3 2 3" xfId="12752" xr:uid="{29EACEB7-3005-4A55-8D44-FF2CB1588B72}"/>
    <cellStyle name="Normal 12 4 3 2 4" xfId="22051" xr:uid="{2E071C80-BB3F-40B0-9E7C-A5BE242E231F}"/>
    <cellStyle name="Normal 12 4 3 3" xfId="5498" xr:uid="{00000000-0005-0000-0000-00004D0E0000}"/>
    <cellStyle name="Normal 12 4 3 3 2" xfId="14824" xr:uid="{629F9071-F2E3-4066-8E9B-2F418A225D46}"/>
    <cellStyle name="Normal 12 4 3 3 3" xfId="24123" xr:uid="{4DF4F761-6589-4C57-B24F-41D9E5CDD996}"/>
    <cellStyle name="Normal 12 4 3 4" xfId="10607" xr:uid="{C8FAACDB-D839-4284-918D-1A9F82F4319B}"/>
    <cellStyle name="Normal 12 4 3 5" xfId="19906" xr:uid="{73A62411-5405-42D0-902F-C3DE4C0FF7C5}"/>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8D0767E5-6262-493D-93FC-415EC6D3151A}"/>
    <cellStyle name="Normal 12 4 4 2 2 3" xfId="26681" xr:uid="{34A2F993-A0B7-4805-B013-7B0A7DD4B7AF}"/>
    <cellStyle name="Normal 12 4 4 2 3" xfId="13165" xr:uid="{BF6367D8-07ED-4F09-816D-68B0A3500FC1}"/>
    <cellStyle name="Normal 12 4 4 2 4" xfId="22464" xr:uid="{2633FDC5-99F9-480C-9B6C-C68DA34252A9}"/>
    <cellStyle name="Normal 12 4 4 3" xfId="5911" xr:uid="{00000000-0005-0000-0000-0000510E0000}"/>
    <cellStyle name="Normal 12 4 4 3 2" xfId="15237" xr:uid="{84E9FA38-E44A-40EF-A80E-9A4ED5FFC6A9}"/>
    <cellStyle name="Normal 12 4 4 3 3" xfId="24536" xr:uid="{F912D7EA-E1E9-4465-9039-54F70DDD2B89}"/>
    <cellStyle name="Normal 12 4 4 4" xfId="11020" xr:uid="{2A95F254-43E9-476F-B391-74D038459C42}"/>
    <cellStyle name="Normal 12 4 4 5" xfId="20319" xr:uid="{3AC1631B-0DC1-43B0-AE16-FDA4849D111A}"/>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342BD11A-D771-431A-9B59-A2F6DEB47412}"/>
    <cellStyle name="Normal 12 4 5 2 2 3" xfId="27094" xr:uid="{A3B8E918-286F-4AA1-9240-999005F97116}"/>
    <cellStyle name="Normal 12 4 5 2 3" xfId="13578" xr:uid="{460787CA-829D-4DAA-93E3-1FA9C6D34B38}"/>
    <cellStyle name="Normal 12 4 5 2 4" xfId="22877" xr:uid="{44EF5711-365A-41F7-B5DF-EE53063AB345}"/>
    <cellStyle name="Normal 12 4 5 3" xfId="6324" xr:uid="{00000000-0005-0000-0000-0000550E0000}"/>
    <cellStyle name="Normal 12 4 5 3 2" xfId="15650" xr:uid="{575C8B5C-0AD8-4074-B9C7-E0FA17F31009}"/>
    <cellStyle name="Normal 12 4 5 3 3" xfId="24949" xr:uid="{99D17A72-096C-4BA7-A37C-FDDE4D39E142}"/>
    <cellStyle name="Normal 12 4 5 4" xfId="11433" xr:uid="{D634B138-D741-4550-8DE3-73AD7C779DB2}"/>
    <cellStyle name="Normal 12 4 5 5" xfId="20732" xr:uid="{988808C3-BA95-4318-AF60-51E382E60F49}"/>
    <cellStyle name="Normal 12 4 6" xfId="2454" xr:uid="{00000000-0005-0000-0000-0000560E0000}"/>
    <cellStyle name="Normal 12 4 6 2" xfId="6737" xr:uid="{00000000-0005-0000-0000-0000570E0000}"/>
    <cellStyle name="Normal 12 4 6 2 2" xfId="16063" xr:uid="{882C1BE2-2C3D-40E3-98A5-E63715CEFC94}"/>
    <cellStyle name="Normal 12 4 6 2 3" xfId="25362" xr:uid="{6B6DED0B-C3C5-4755-B1B5-1D02E82F1CE7}"/>
    <cellStyle name="Normal 12 4 6 3" xfId="11846" xr:uid="{4D223EBA-2634-4AAC-B121-1DB35CF32E88}"/>
    <cellStyle name="Normal 12 4 6 4" xfId="21145" xr:uid="{B457430E-012D-4482-8081-81E492016BA9}"/>
    <cellStyle name="Normal 12 4 7" xfId="4671" xr:uid="{00000000-0005-0000-0000-0000580E0000}"/>
    <cellStyle name="Normal 12 4 7 2" xfId="13997" xr:uid="{E9E9622D-2483-42D2-9638-4B43EB8C611E}"/>
    <cellStyle name="Normal 12 4 7 3" xfId="23296" xr:uid="{766DB296-C24D-4B24-9CB9-C8BB0E707899}"/>
    <cellStyle name="Normal 12 4 8" xfId="8977" xr:uid="{5BFFE5F3-99F6-4DA1-A3EF-BF749B3B7ACB}"/>
    <cellStyle name="Normal 12 4 8 2" xfId="18301" xr:uid="{011FACCA-5BA4-4EAF-8EC2-B9D9CB3C8963}"/>
    <cellStyle name="Normal 12 4 8 3" xfId="27599" xr:uid="{0C8E8614-9152-444E-BD04-AD7CC8485DE2}"/>
    <cellStyle name="Normal 12 4 9" xfId="9780" xr:uid="{E9A0A5A0-D0AE-4217-803D-8D96B4494845}"/>
    <cellStyle name="Normal 12 5" xfId="267" xr:uid="{00000000-0005-0000-0000-0000590E0000}"/>
    <cellStyle name="Normal 12 5 2" xfId="9579" xr:uid="{43940F87-8803-4E34-B3E0-736FAF89CA32}"/>
    <cellStyle name="Normal 12 5 2 2" xfId="18894" xr:uid="{7F698D4F-C1AF-4267-A8DA-E6F4050FB47A}"/>
    <cellStyle name="Normal 12 5 2 3" xfId="28191" xr:uid="{4C3D7AB9-9DB3-4289-A798-6C611623DC12}"/>
    <cellStyle name="Normal 12 5 3" xfId="9586" xr:uid="{72B01073-C2DA-4DF8-9E0D-6932F6AF67FF}"/>
    <cellStyle name="Normal 12 5 4" xfId="9156" xr:uid="{4BCB05AE-5738-4A10-9D4D-B3A4CD16FD2C}"/>
    <cellStyle name="Normal 12 5 4 2" xfId="18478" xr:uid="{680E66CD-B667-4724-9A47-268F19F745B0}"/>
    <cellStyle name="Normal 12 5 4 3" xfId="27776" xr:uid="{4F347C9F-927E-4CB4-B354-E5E2DF5AC3FE}"/>
    <cellStyle name="Normal 12 6" xfId="760" xr:uid="{00000000-0005-0000-0000-00005A0E0000}"/>
    <cellStyle name="Normal 12 6 2" xfId="3001" xr:uid="{00000000-0005-0000-0000-00005B0E0000}"/>
    <cellStyle name="Normal 12 6 2 2" xfId="7223" xr:uid="{00000000-0005-0000-0000-00005C0E0000}"/>
    <cellStyle name="Normal 12 6 2 2 2" xfId="16549" xr:uid="{872D6969-2CBE-4625-A31F-306B5B2D7BA1}"/>
    <cellStyle name="Normal 12 6 2 2 3" xfId="25848" xr:uid="{DB94C223-866E-4B86-B465-727DB172C55A}"/>
    <cellStyle name="Normal 12 6 2 3" xfId="12332" xr:uid="{2D1D96CD-8D17-468E-B215-B61A20AFAE7A}"/>
    <cellStyle name="Normal 12 6 2 4" xfId="21631" xr:uid="{32EB5479-4BED-4341-BAF2-B39C35160B86}"/>
    <cellStyle name="Normal 12 6 3" xfId="5078" xr:uid="{00000000-0005-0000-0000-00005D0E0000}"/>
    <cellStyle name="Normal 12 6 3 2" xfId="14404" xr:uid="{DF1C5E8D-9744-4CE3-8483-056260AE651F}"/>
    <cellStyle name="Normal 12 6 3 3" xfId="23703" xr:uid="{E18508AF-F767-45D2-A993-D77FBF699941}"/>
    <cellStyle name="Normal 12 6 4" xfId="9194" xr:uid="{92D32932-3865-4F6F-A551-9A99EC116A43}"/>
    <cellStyle name="Normal 12 6 4 2" xfId="18510" xr:uid="{0CCDF184-D23A-434F-84A8-6A86ED73334E}"/>
    <cellStyle name="Normal 12 6 4 3" xfId="27807" xr:uid="{EAA2EB04-ED14-45DD-8AEA-5C7B6967AF87}"/>
    <cellStyle name="Normal 12 6 5" xfId="10187" xr:uid="{513FB763-5822-4C08-98F5-A4EAF2091980}"/>
    <cellStyle name="Normal 12 6 6" xfId="19486" xr:uid="{39FCD953-62D9-487F-98CC-7FF358636142}"/>
    <cellStyle name="Normal 12 7" xfId="1183" xr:uid="{00000000-0005-0000-0000-00005E0E0000}"/>
    <cellStyle name="Normal 12 7 2" xfId="3414" xr:uid="{00000000-0005-0000-0000-00005F0E0000}"/>
    <cellStyle name="Normal 12 7 2 2" xfId="7636" xr:uid="{00000000-0005-0000-0000-0000600E0000}"/>
    <cellStyle name="Normal 12 7 2 2 2" xfId="16962" xr:uid="{BBE6EC57-E607-4C9E-A1A6-42B57A93B603}"/>
    <cellStyle name="Normal 12 7 2 2 3" xfId="26261" xr:uid="{FCAB62FE-7A31-487E-8188-6C4D5675D228}"/>
    <cellStyle name="Normal 12 7 2 3" xfId="12745" xr:uid="{CDCDC25D-D43B-4A82-ADC8-2D6DE8D94509}"/>
    <cellStyle name="Normal 12 7 2 4" xfId="22044" xr:uid="{BCEE1408-9AFA-4C2A-BFA4-6E31CEC31141}"/>
    <cellStyle name="Normal 12 7 3" xfId="5491" xr:uid="{00000000-0005-0000-0000-0000610E0000}"/>
    <cellStyle name="Normal 12 7 3 2" xfId="14817" xr:uid="{C19E3935-E273-4E61-8840-3366FE4EAB90}"/>
    <cellStyle name="Normal 12 7 3 3" xfId="24116" xr:uid="{ECDB4341-41CA-4653-9BAC-980BC473E8B5}"/>
    <cellStyle name="Normal 12 7 4" xfId="10600" xr:uid="{126F747C-A2DB-4558-B5D7-56378A37EC9D}"/>
    <cellStyle name="Normal 12 7 5" xfId="19899" xr:uid="{C198CF41-828C-4FCA-800B-F5F3310A739F}"/>
    <cellStyle name="Normal 12 8" xfId="1597" xr:uid="{00000000-0005-0000-0000-0000620E0000}"/>
    <cellStyle name="Normal 12 8 2" xfId="3827" xr:uid="{00000000-0005-0000-0000-0000630E0000}"/>
    <cellStyle name="Normal 12 8 2 2" xfId="8049" xr:uid="{00000000-0005-0000-0000-0000640E0000}"/>
    <cellStyle name="Normal 12 8 2 2 2" xfId="17375" xr:uid="{68649566-FF27-48B2-93EE-1D3E9C1AF519}"/>
    <cellStyle name="Normal 12 8 2 2 3" xfId="26674" xr:uid="{8ED7BAD6-9F55-46C1-8068-BEFE6BCCA1F2}"/>
    <cellStyle name="Normal 12 8 2 3" xfId="13158" xr:uid="{D2414855-8BF7-4794-AE0A-BD6CEEDDE968}"/>
    <cellStyle name="Normal 12 8 2 4" xfId="22457" xr:uid="{EA35D01D-5BA5-45D6-9C89-1E8CB4D89474}"/>
    <cellStyle name="Normal 12 8 3" xfId="5904" xr:uid="{00000000-0005-0000-0000-0000650E0000}"/>
    <cellStyle name="Normal 12 8 3 2" xfId="15230" xr:uid="{CFD1F06F-6A5B-4038-A28B-8A1627375927}"/>
    <cellStyle name="Normal 12 8 3 3" xfId="24529" xr:uid="{29F7B139-8888-49EF-8EF0-C6B180127A43}"/>
    <cellStyle name="Normal 12 8 4" xfId="11013" xr:uid="{BB9239EB-05F6-471F-8FD8-4BC37F8C2B49}"/>
    <cellStyle name="Normal 12 8 5" xfId="20312" xr:uid="{8042108A-CE14-4AB6-A8BD-49A1C339C488}"/>
    <cellStyle name="Normal 12 9" xfId="2011" xr:uid="{00000000-0005-0000-0000-0000660E0000}"/>
    <cellStyle name="Normal 12 9 2" xfId="4240" xr:uid="{00000000-0005-0000-0000-0000670E0000}"/>
    <cellStyle name="Normal 12 9 2 2" xfId="8462" xr:uid="{00000000-0005-0000-0000-0000680E0000}"/>
    <cellStyle name="Normal 12 9 2 2 2" xfId="17788" xr:uid="{AABD8B5A-39C1-477C-B78B-05949E9025F8}"/>
    <cellStyle name="Normal 12 9 2 2 3" xfId="27087" xr:uid="{21D7CC66-D47F-4A15-8EFC-1B1E499670FE}"/>
    <cellStyle name="Normal 12 9 2 3" xfId="13571" xr:uid="{B496915C-F89E-41ED-8C41-5A9E74E84A37}"/>
    <cellStyle name="Normal 12 9 2 4" xfId="22870" xr:uid="{D596584B-41C6-4474-AADB-889E3DD57AF6}"/>
    <cellStyle name="Normal 12 9 3" xfId="6317" xr:uid="{00000000-0005-0000-0000-0000690E0000}"/>
    <cellStyle name="Normal 12 9 3 2" xfId="15643" xr:uid="{9F5FE2A3-0B9A-463B-80B3-84632FCA81F4}"/>
    <cellStyle name="Normal 12 9 3 3" xfId="24942" xr:uid="{4C222D06-2096-4BD4-9ED7-B619214AB9FE}"/>
    <cellStyle name="Normal 12 9 4" xfId="11426" xr:uid="{D56C0F02-8606-4D45-BCB5-48515C07FBBB}"/>
    <cellStyle name="Normal 12 9 5" xfId="20725" xr:uid="{6C0D26FA-F745-4314-AE99-D0E7E4E22F5E}"/>
    <cellStyle name="Normal 13" xfId="268" xr:uid="{00000000-0005-0000-0000-00006A0E0000}"/>
    <cellStyle name="Normal 13 2" xfId="269" xr:uid="{00000000-0005-0000-0000-00006B0E0000}"/>
    <cellStyle name="Normal 14" xfId="270" xr:uid="{00000000-0005-0000-0000-00006C0E0000}"/>
    <cellStyle name="Normal 14 10" xfId="19080" xr:uid="{E4CBF451-7BDA-498A-B185-43197CB597C0}"/>
    <cellStyle name="Normal 14 2" xfId="768" xr:uid="{00000000-0005-0000-0000-00006D0E0000}"/>
    <cellStyle name="Normal 14 2 2" xfId="3009" xr:uid="{00000000-0005-0000-0000-00006E0E0000}"/>
    <cellStyle name="Normal 14 2 2 2" xfId="7231" xr:uid="{00000000-0005-0000-0000-00006F0E0000}"/>
    <cellStyle name="Normal 14 2 2 2 2" xfId="16557" xr:uid="{172D54EE-D081-4A3D-B492-1BB2F22D7860}"/>
    <cellStyle name="Normal 14 2 2 2 3" xfId="25856" xr:uid="{90323E26-2467-4C9F-B668-C6E41B183107}"/>
    <cellStyle name="Normal 14 2 2 3" xfId="12340" xr:uid="{F551C07A-5727-42AA-BEF5-25C939203658}"/>
    <cellStyle name="Normal 14 2 2 4" xfId="21639" xr:uid="{A46CFE1F-0D7C-4DA0-8A03-E866D0D2C230}"/>
    <cellStyle name="Normal 14 2 3" xfId="5086" xr:uid="{00000000-0005-0000-0000-0000700E0000}"/>
    <cellStyle name="Normal 14 2 3 2" xfId="14412" xr:uid="{9752C0C5-3D3E-439B-B8AC-8BD49E066AAC}"/>
    <cellStyle name="Normal 14 2 3 3" xfId="23711" xr:uid="{70F175AE-332F-4F13-9305-300FF79FE035}"/>
    <cellStyle name="Normal 14 2 4" xfId="9371" xr:uid="{E1AFB5B4-F468-480A-B09F-3374B2F03BDA}"/>
    <cellStyle name="Normal 14 2 4 2" xfId="18686" xr:uid="{D398AF9F-F4F3-4DCE-B6B8-B7146B9BB5A4}"/>
    <cellStyle name="Normal 14 2 4 3" xfId="27983" xr:uid="{25A80F6B-1F3A-400B-AF6C-F5611AA9EE5E}"/>
    <cellStyle name="Normal 14 2 5" xfId="10195" xr:uid="{BEC033C4-C04F-4016-A9B4-5E1B805DF0B4}"/>
    <cellStyle name="Normal 14 2 6" xfId="19494" xr:uid="{91713F4B-AFC4-44CD-A62B-E94DE1F4F42B}"/>
    <cellStyle name="Normal 14 3" xfId="1191" xr:uid="{00000000-0005-0000-0000-0000710E0000}"/>
    <cellStyle name="Normal 14 3 2" xfId="3422" xr:uid="{00000000-0005-0000-0000-0000720E0000}"/>
    <cellStyle name="Normal 14 3 2 2" xfId="7644" xr:uid="{00000000-0005-0000-0000-0000730E0000}"/>
    <cellStyle name="Normal 14 3 2 2 2" xfId="16970" xr:uid="{A00D69FC-AF7B-41D7-B6CA-D9BE5D1BE7D6}"/>
    <cellStyle name="Normal 14 3 2 2 3" xfId="26269" xr:uid="{62FAAB76-2890-402E-9CC7-BDA2C171D290}"/>
    <cellStyle name="Normal 14 3 2 3" xfId="12753" xr:uid="{9A4E1524-F845-4CD7-90F4-01E76B30D6D4}"/>
    <cellStyle name="Normal 14 3 2 4" xfId="22052" xr:uid="{38A3C818-8622-4EE0-967A-3E97B12301C3}"/>
    <cellStyle name="Normal 14 3 3" xfId="5499" xr:uid="{00000000-0005-0000-0000-0000740E0000}"/>
    <cellStyle name="Normal 14 3 3 2" xfId="14825" xr:uid="{5461DFC0-977D-4A56-BEE6-9570077E3CAB}"/>
    <cellStyle name="Normal 14 3 3 3" xfId="24124" xr:uid="{F15A0CF9-420F-4102-9E46-69373B603991}"/>
    <cellStyle name="Normal 14 3 4" xfId="10608" xr:uid="{EF642F14-562C-40F6-A7B5-00146BE2CF20}"/>
    <cellStyle name="Normal 14 3 5" xfId="19907" xr:uid="{CAB8ED42-6986-4080-9F48-7E4E1D95CD4E}"/>
    <cellStyle name="Normal 14 4" xfId="1605" xr:uid="{00000000-0005-0000-0000-0000750E0000}"/>
    <cellStyle name="Normal 14 4 2" xfId="3835" xr:uid="{00000000-0005-0000-0000-0000760E0000}"/>
    <cellStyle name="Normal 14 4 2 2" xfId="8057" xr:uid="{00000000-0005-0000-0000-0000770E0000}"/>
    <cellStyle name="Normal 14 4 2 2 2" xfId="17383" xr:uid="{C857F623-D48C-4441-8661-C4521846F606}"/>
    <cellStyle name="Normal 14 4 2 2 3" xfId="26682" xr:uid="{1E377FF2-CD45-48AE-939A-304C3EE604DD}"/>
    <cellStyle name="Normal 14 4 2 3" xfId="13166" xr:uid="{7359CB73-FC9F-4557-A42F-0C6CF77FE182}"/>
    <cellStyle name="Normal 14 4 2 4" xfId="22465" xr:uid="{98DC5146-712F-4273-9615-09CC10412666}"/>
    <cellStyle name="Normal 14 4 3" xfId="5912" xr:uid="{00000000-0005-0000-0000-0000780E0000}"/>
    <cellStyle name="Normal 14 4 3 2" xfId="15238" xr:uid="{339AA929-A43C-49A7-BF09-D2CDC66A1EB5}"/>
    <cellStyle name="Normal 14 4 3 3" xfId="24537" xr:uid="{1EE0D941-43C0-4AC0-A520-B5FD8FCA3C57}"/>
    <cellStyle name="Normal 14 4 4" xfId="11021" xr:uid="{2FED7D2E-FEBC-428F-AC29-CDF60D80E38D}"/>
    <cellStyle name="Normal 14 4 5" xfId="20320" xr:uid="{99FD7F4F-F8AA-4689-AE74-3856F7EE3D1B}"/>
    <cellStyle name="Normal 14 5" xfId="2019" xr:uid="{00000000-0005-0000-0000-0000790E0000}"/>
    <cellStyle name="Normal 14 5 2" xfId="4248" xr:uid="{00000000-0005-0000-0000-00007A0E0000}"/>
    <cellStyle name="Normal 14 5 2 2" xfId="8470" xr:uid="{00000000-0005-0000-0000-00007B0E0000}"/>
    <cellStyle name="Normal 14 5 2 2 2" xfId="17796" xr:uid="{333FF550-6A7A-4BAC-BFA1-6D58BF4BBCF8}"/>
    <cellStyle name="Normal 14 5 2 2 3" xfId="27095" xr:uid="{1445907C-B7EB-412D-9F88-2619D0979D34}"/>
    <cellStyle name="Normal 14 5 2 3" xfId="13579" xr:uid="{638AEB13-9F21-4571-856B-34BA372DBB0C}"/>
    <cellStyle name="Normal 14 5 2 4" xfId="22878" xr:uid="{19C0816B-D1B8-479D-9E34-E8A51E196BBE}"/>
    <cellStyle name="Normal 14 5 3" xfId="6325" xr:uid="{00000000-0005-0000-0000-00007C0E0000}"/>
    <cellStyle name="Normal 14 5 3 2" xfId="15651" xr:uid="{275524F9-52A9-40D1-A66D-03D29C5E5E7C}"/>
    <cellStyle name="Normal 14 5 3 3" xfId="24950" xr:uid="{2FB27B22-FCA7-4EFC-BABB-7C7DA3A2BF82}"/>
    <cellStyle name="Normal 14 5 4" xfId="11434" xr:uid="{32FE11B0-929F-4FB9-B3C0-E5B6B629B3A4}"/>
    <cellStyle name="Normal 14 5 5" xfId="20733" xr:uid="{7B5814DE-389B-4D3E-8A2B-76B2729E64A6}"/>
    <cellStyle name="Normal 14 6" xfId="2455" xr:uid="{00000000-0005-0000-0000-00007D0E0000}"/>
    <cellStyle name="Normal 14 6 2" xfId="6738" xr:uid="{00000000-0005-0000-0000-00007E0E0000}"/>
    <cellStyle name="Normal 14 6 2 2" xfId="16064" xr:uid="{F23A3479-5FA7-4133-B809-26DCBA4AF8AA}"/>
    <cellStyle name="Normal 14 6 2 3" xfId="25363" xr:uid="{68AAE5D8-0D41-49D3-80AF-928F70CF571E}"/>
    <cellStyle name="Normal 14 6 3" xfId="11847" xr:uid="{3D269547-7A9A-498E-8734-420AD85D71E0}"/>
    <cellStyle name="Normal 14 6 4" xfId="21146" xr:uid="{28253E95-86C6-4D7B-96A7-99C3DC223FBF}"/>
    <cellStyle name="Normal 14 7" xfId="4672" xr:uid="{00000000-0005-0000-0000-00007F0E0000}"/>
    <cellStyle name="Normal 14 7 2" xfId="13998" xr:uid="{014EB440-34B8-4CDD-BFE9-A6A49CAF29E7}"/>
    <cellStyle name="Normal 14 7 3" xfId="23297" xr:uid="{F3C15292-6C2F-4773-A988-2816933ECF5B}"/>
    <cellStyle name="Normal 14 8" xfId="8946" xr:uid="{DD997A1C-6669-41AA-8AC1-78121AFC796C}"/>
    <cellStyle name="Normal 14 8 2" xfId="18270" xr:uid="{F7E5472F-CC59-4180-A87E-171939090019}"/>
    <cellStyle name="Normal 14 8 3" xfId="27568" xr:uid="{A2A7CFF4-750A-4C97-9DB6-85E92D900CA0}"/>
    <cellStyle name="Normal 14 9" xfId="9781" xr:uid="{54686530-4CC2-4D6E-83D2-97855DB10EAB}"/>
    <cellStyle name="Normal 15" xfId="4496" xr:uid="{00000000-0005-0000-0000-0000800E0000}"/>
    <cellStyle name="Normal 15 2" xfId="9578" xr:uid="{99513E76-E7E2-49D8-ADC5-F882C61FFC79}"/>
    <cellStyle name="Normal 15 2 2" xfId="18893" xr:uid="{A9024DFF-7D29-454A-80D6-28E8533398BB}"/>
    <cellStyle name="Normal 15 2 3" xfId="28190" xr:uid="{BEA7B88C-DC31-4B81-9766-20E40C593176}"/>
    <cellStyle name="Normal 15 3" xfId="9155" xr:uid="{47700DD8-A88A-4CB4-BFAD-BA75A2D4FC8E}"/>
    <cellStyle name="Normal 15 3 2" xfId="18477" xr:uid="{6FC87770-C5D7-4C03-97CB-1FBB7055A61C}"/>
    <cellStyle name="Normal 15 3 3" xfId="27775" xr:uid="{DAE7F8CF-0C16-47D9-A5C5-0825D1BA61D4}"/>
    <cellStyle name="Normal 15 4" xfId="13824" xr:uid="{B4C1C418-1D67-45CF-A557-C15ED9F322CF}"/>
    <cellStyle name="Normal 15 5" xfId="23123" xr:uid="{A5941B7A-FB8A-45B4-9E30-CFCF6FBBD882}"/>
    <cellStyle name="Normal 16" xfId="4500" xr:uid="{00000000-0005-0000-0000-0000810E0000}"/>
    <cellStyle name="Normal 16 2" xfId="8715" xr:uid="{00000000-0005-0000-0000-0000820E0000}"/>
    <cellStyle name="Normal 16 2 2" xfId="18041" xr:uid="{6669B44A-0D28-4C8B-B67A-4D2A389D9264}"/>
    <cellStyle name="Normal 16 2 3" xfId="27340" xr:uid="{CE46AB2A-11E5-401B-B6C4-22C95A61C8BD}"/>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B7C8B09A-A233-406C-A6A9-648EC2A17E53}"/>
    <cellStyle name="Normal 16 3 2 2 2 2 2 3" xfId="27359" xr:uid="{C7E61092-31BC-4ED5-A37B-75579C0B0662}"/>
    <cellStyle name="Normal 16 3 2 2 2 2 3" xfId="18057" xr:uid="{2228B68B-4FD7-4BC4-9CBE-B9554CFECE9F}"/>
    <cellStyle name="Normal 16 3 2 2 2 2 4" xfId="27356" xr:uid="{8FC784CF-9D49-43E7-84DB-278E989F77DB}"/>
    <cellStyle name="Normal 16 3 2 2 2 3" xfId="18054" xr:uid="{1722BD2A-04DF-408B-9051-C0FBC8EF842F}"/>
    <cellStyle name="Normal 16 3 2 2 2 4" xfId="27353" xr:uid="{185B6AD9-F424-487E-8E13-DF17F717AFC2}"/>
    <cellStyle name="Normal 16 3 2 2 3" xfId="18050" xr:uid="{DC365BD5-A54A-4C78-9594-C1CDDD6EDE67}"/>
    <cellStyle name="Normal 16 3 2 2 4" xfId="27349" xr:uid="{9FAFCEFC-CBB9-4A98-9299-55D18547810C}"/>
    <cellStyle name="Normal 16 3 2 3" xfId="18047" xr:uid="{9022C94D-7062-4BC8-92F1-66F45A3EBB64}"/>
    <cellStyle name="Normal 16 3 2 4" xfId="27346" xr:uid="{5641AD88-C1DA-4CD4-AA5D-834D27E19A83}"/>
    <cellStyle name="Normal 16 3 3" xfId="18044" xr:uid="{AAB8BC37-E251-4D6D-B0CA-EFDA088FCCD1}"/>
    <cellStyle name="Normal 16 3 4" xfId="27343" xr:uid="{D2D15847-DEEC-4071-B822-5BBF26F4D964}"/>
    <cellStyle name="Normal 16 4" xfId="9612" xr:uid="{8729F6E8-3534-4DAE-B0B2-B2AF3CDCD313}"/>
    <cellStyle name="Normal 16 5" xfId="13827" xr:uid="{90A8CB52-69F7-4D90-B978-CD4AA0CCB47E}"/>
    <cellStyle name="Normal 16 6" xfId="23126" xr:uid="{C5CC4DF4-A020-4225-A87D-7B833CD60DA0}"/>
    <cellStyle name="Normal 17" xfId="8728" xr:uid="{3FF0972C-833B-4475-99D8-1A6907499E71}"/>
    <cellStyle name="Normal 17 2" xfId="9157" xr:uid="{6C872296-5E17-4821-9139-E52AD113B06C}"/>
    <cellStyle name="Normal 17 3" xfId="9154" xr:uid="{DC3FF210-EC1F-47CE-8CCE-F8F5460671B1}"/>
    <cellStyle name="Normal 17 4" xfId="18053" xr:uid="{09FAEB7E-06A3-4759-B9C1-6E95AC816259}"/>
    <cellStyle name="Normal 17 5" xfId="27352" xr:uid="{4A8B2314-71C5-4915-9112-99A4C6974700}"/>
    <cellStyle name="Normal 18" xfId="9153" xr:uid="{EF04732C-9519-4C21-BD73-A108E18EA17F}"/>
    <cellStyle name="Normal 19" xfId="8739" xr:uid="{D907EBA7-1F94-4726-9ABB-7E7835FFF57E}"/>
    <cellStyle name="Normal 19 2" xfId="18063" xr:uid="{C81A849B-0B6A-43A2-ACE7-2BABA54520E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7A5FB0AC-C19F-46D6-8FBE-AD1856B2B747}"/>
    <cellStyle name="Normal 2 4 10 3" xfId="27370" xr:uid="{976A0E33-043B-49B6-989B-62892EE5465D}"/>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C9510B73-54DA-4477-AB6A-7489FDAF371F}"/>
    <cellStyle name="Normal 2 4 2 10 2 2 3" xfId="27096" xr:uid="{5788CADE-B17F-4CEE-B5D4-844EA7586B98}"/>
    <cellStyle name="Normal 2 4 2 10 2 3" xfId="13580" xr:uid="{2383650B-8185-424A-8FFD-A87E77835CFA}"/>
    <cellStyle name="Normal 2 4 2 10 2 4" xfId="22879" xr:uid="{A363734C-2E45-4728-AFDC-EC6A0D5EA595}"/>
    <cellStyle name="Normal 2 4 2 10 3" xfId="6326" xr:uid="{00000000-0005-0000-0000-0000910E0000}"/>
    <cellStyle name="Normal 2 4 2 10 3 2" xfId="15652" xr:uid="{5A9F8F55-5346-4CDF-800D-6A6F2D1A9EF5}"/>
    <cellStyle name="Normal 2 4 2 10 3 3" xfId="24951" xr:uid="{490CC119-2F9A-407E-8298-7F462FD71E43}"/>
    <cellStyle name="Normal 2 4 2 10 4" xfId="11435" xr:uid="{41B506E2-514A-4E6F-BBDC-C92D983DB6B9}"/>
    <cellStyle name="Normal 2 4 2 10 5" xfId="20734" xr:uid="{82087A52-2CE1-45BF-8B89-A48CC42E5BA6}"/>
    <cellStyle name="Normal 2 4 2 11" xfId="2456" xr:uid="{00000000-0005-0000-0000-0000920E0000}"/>
    <cellStyle name="Normal 2 4 2 11 2" xfId="6739" xr:uid="{00000000-0005-0000-0000-0000930E0000}"/>
    <cellStyle name="Normal 2 4 2 11 2 2" xfId="16065" xr:uid="{4BE13DAB-FB07-4F00-888E-F13AE659F256}"/>
    <cellStyle name="Normal 2 4 2 11 2 3" xfId="25364" xr:uid="{F6CC7403-783F-428E-8A2C-64A5F71BFD2E}"/>
    <cellStyle name="Normal 2 4 2 11 3" xfId="11848" xr:uid="{C43BD132-0216-4EEB-8211-AEAC0FF6EEFB}"/>
    <cellStyle name="Normal 2 4 2 11 4" xfId="21147" xr:uid="{E2E49E0A-EC5E-41AF-8C31-1B90259AC168}"/>
    <cellStyle name="Normal 2 4 2 12" xfId="4673" xr:uid="{00000000-0005-0000-0000-0000940E0000}"/>
    <cellStyle name="Normal 2 4 2 12 2" xfId="13999" xr:uid="{84FF8005-5686-4638-9D05-14CFF1F49431}"/>
    <cellStyle name="Normal 2 4 2 12 3" xfId="23298" xr:uid="{04BFE0BF-0F70-4F81-AC6B-7D5827DE88D1}"/>
    <cellStyle name="Normal 2 4 2 13" xfId="8757" xr:uid="{563A76DD-F7DD-49F0-A61E-0419F4C31301}"/>
    <cellStyle name="Normal 2 4 2 13 2" xfId="18081" xr:uid="{7A794764-AB33-4461-818D-14AFCCE8B718}"/>
    <cellStyle name="Normal 2 4 2 13 3" xfId="27379" xr:uid="{B8BFCD9F-EBCE-4B69-A0D9-FED1D7B34D7A}"/>
    <cellStyle name="Normal 2 4 2 14" xfId="9782" xr:uid="{94139070-355D-438D-9873-8267296E4715}"/>
    <cellStyle name="Normal 2 4 2 15" xfId="19081" xr:uid="{0B45D949-DACF-484B-9F90-383C5931415C}"/>
    <cellStyle name="Normal 2 4 2 2" xfId="280" xr:uid="{00000000-0005-0000-0000-0000950E0000}"/>
    <cellStyle name="Normal 2 4 2 3" xfId="281" xr:uid="{00000000-0005-0000-0000-0000960E0000}"/>
    <cellStyle name="Normal 2 4 2 3 10" xfId="4674" xr:uid="{00000000-0005-0000-0000-0000970E0000}"/>
    <cellStyle name="Normal 2 4 2 3 10 2" xfId="14000" xr:uid="{C5F2F5E4-CCBD-4E21-8011-5C1E5B0010A4}"/>
    <cellStyle name="Normal 2 4 2 3 10 3" xfId="23299" xr:uid="{069FB92A-2195-4AB0-88E0-1081D28FE79A}"/>
    <cellStyle name="Normal 2 4 2 3 11" xfId="8788" xr:uid="{EAD3D227-C8EF-4F54-8D24-EE1EA1F017BB}"/>
    <cellStyle name="Normal 2 4 2 3 11 2" xfId="18112" xr:uid="{D306E6B6-6FBE-4EA4-85E8-93B3F2F6AF38}"/>
    <cellStyle name="Normal 2 4 2 3 11 3" xfId="27410" xr:uid="{AC4220CD-7800-4181-8828-47D51A0029F4}"/>
    <cellStyle name="Normal 2 4 2 3 12" xfId="9783" xr:uid="{1052B94F-723C-47B7-B1DC-BD51D66248AE}"/>
    <cellStyle name="Normal 2 4 2 3 13" xfId="19082" xr:uid="{1A05FF4D-5D2C-4F2E-A7BD-485ADD9C17A6}"/>
    <cellStyle name="Normal 2 4 2 3 2" xfId="282" xr:uid="{00000000-0005-0000-0000-0000980E0000}"/>
    <cellStyle name="Normal 2 4 2 3 2 10" xfId="8813" xr:uid="{C03AE35D-2438-4E07-AE9C-6D04EC6DA2B7}"/>
    <cellStyle name="Normal 2 4 2 3 2 10 2" xfId="18137" xr:uid="{073D20A3-DCE9-4FAA-95FF-3C4EB1C1B676}"/>
    <cellStyle name="Normal 2 4 2 3 2 10 3" xfId="27435" xr:uid="{D9D6057E-4A6F-412D-A7DA-EC24480F6409}"/>
    <cellStyle name="Normal 2 4 2 3 2 11" xfId="9784" xr:uid="{07889068-1C39-40E0-9060-51C53BBEBA3B}"/>
    <cellStyle name="Normal 2 4 2 3 2 12" xfId="19083" xr:uid="{E66B3FB9-DF78-4637-B545-3548E188C792}"/>
    <cellStyle name="Normal 2 4 2 3 2 2" xfId="283" xr:uid="{00000000-0005-0000-0000-0000990E0000}"/>
    <cellStyle name="Normal 2 4 2 3 2 2 10" xfId="9785" xr:uid="{1CDF68AB-E9F5-4A67-87BB-2B12BBF0723F}"/>
    <cellStyle name="Normal 2 4 2 3 2 2 11" xfId="19084" xr:uid="{09F7D2D9-A793-44B6-B3DA-ECE5252F68E5}"/>
    <cellStyle name="Normal 2 4 2 3 2 2 2" xfId="284" xr:uid="{00000000-0005-0000-0000-00009A0E0000}"/>
    <cellStyle name="Normal 2 4 2 3 2 2 2 10" xfId="19085" xr:uid="{17941DFF-548D-4847-A1A6-02EC35FC01B8}"/>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8107215B-9FAA-45C6-935B-44358EC68887}"/>
    <cellStyle name="Normal 2 4 2 3 2 2 2 2 2 2 3" xfId="25861" xr:uid="{5FA499EC-6208-4B99-B42D-4B75AAFB33C8}"/>
    <cellStyle name="Normal 2 4 2 3 2 2 2 2 2 3" xfId="12345" xr:uid="{EEA23F55-CB3D-4D19-8C3E-33EC78B93CF8}"/>
    <cellStyle name="Normal 2 4 2 3 2 2 2 2 2 4" xfId="21644" xr:uid="{428CA76F-9D2D-457D-A87E-8DFEEFD36FAA}"/>
    <cellStyle name="Normal 2 4 2 3 2 2 2 2 3" xfId="5091" xr:uid="{00000000-0005-0000-0000-00009E0E0000}"/>
    <cellStyle name="Normal 2 4 2 3 2 2 2 2 3 2" xfId="14417" xr:uid="{687C2C66-AD6A-4ED4-81B4-AA5B602E9E72}"/>
    <cellStyle name="Normal 2 4 2 3 2 2 2 2 3 3" xfId="23716" xr:uid="{618B231F-1C64-4E38-B0E2-02459DF26BA1}"/>
    <cellStyle name="Normal 2 4 2 3 2 2 2 2 4" xfId="9548" xr:uid="{29E7289E-B3F4-4F63-9B9C-B531B0E50CEB}"/>
    <cellStyle name="Normal 2 4 2 3 2 2 2 2 4 2" xfId="18863" xr:uid="{8F88C0F2-CCD8-438D-8921-5A32CA8FF488}"/>
    <cellStyle name="Normal 2 4 2 3 2 2 2 2 4 3" xfId="28160" xr:uid="{045E52B9-178B-4260-9AD9-79581E2311A1}"/>
    <cellStyle name="Normal 2 4 2 3 2 2 2 2 5" xfId="10200" xr:uid="{3F614AE2-517E-4721-B06B-3D9D868DA440}"/>
    <cellStyle name="Normal 2 4 2 3 2 2 2 2 6" xfId="19499" xr:uid="{BAF153CB-481A-40F9-9C9F-94FE55AE7008}"/>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1169A960-BDB2-44C2-B6C3-AAFB857FB101}"/>
    <cellStyle name="Normal 2 4 2 3 2 2 2 3 2 2 3" xfId="26274" xr:uid="{6CFBDD61-90F2-4052-9F30-559FA20D0D2B}"/>
    <cellStyle name="Normal 2 4 2 3 2 2 2 3 2 3" xfId="12758" xr:uid="{D17E53EF-F40D-43EC-B5AD-F84F22B35D39}"/>
    <cellStyle name="Normal 2 4 2 3 2 2 2 3 2 4" xfId="22057" xr:uid="{BAFDAB5D-FC25-4E49-B4CF-D334ADE67F61}"/>
    <cellStyle name="Normal 2 4 2 3 2 2 2 3 3" xfId="5504" xr:uid="{00000000-0005-0000-0000-0000A20E0000}"/>
    <cellStyle name="Normal 2 4 2 3 2 2 2 3 3 2" xfId="14830" xr:uid="{E22DF0E0-71A6-4588-90B7-57A8CB03EF05}"/>
    <cellStyle name="Normal 2 4 2 3 2 2 2 3 3 3" xfId="24129" xr:uid="{ECDB61DD-44EB-41C7-8680-43A8851F0C4E}"/>
    <cellStyle name="Normal 2 4 2 3 2 2 2 3 4" xfId="10613" xr:uid="{796BC5F9-4E90-46A8-965A-7E0F634F3CAB}"/>
    <cellStyle name="Normal 2 4 2 3 2 2 2 3 5" xfId="19912" xr:uid="{563DFF7B-6BA0-46DC-84BB-ACBFF2C7C9AE}"/>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C6697FE6-11F5-4989-9C0F-F10D6D3828CB}"/>
    <cellStyle name="Normal 2 4 2 3 2 2 2 4 2 2 3" xfId="26687" xr:uid="{BAC720EC-7090-4A5F-BCB2-99D2D62708EA}"/>
    <cellStyle name="Normal 2 4 2 3 2 2 2 4 2 3" xfId="13171" xr:uid="{1550A540-A0EE-470E-9D2E-CCE3CE1A10BE}"/>
    <cellStyle name="Normal 2 4 2 3 2 2 2 4 2 4" xfId="22470" xr:uid="{6BEECB70-BABF-4262-9B99-2BC4C7182563}"/>
    <cellStyle name="Normal 2 4 2 3 2 2 2 4 3" xfId="5917" xr:uid="{00000000-0005-0000-0000-0000A60E0000}"/>
    <cellStyle name="Normal 2 4 2 3 2 2 2 4 3 2" xfId="15243" xr:uid="{B269029D-A66C-4DFB-9C30-6E702DA44A17}"/>
    <cellStyle name="Normal 2 4 2 3 2 2 2 4 3 3" xfId="24542" xr:uid="{8C39F030-E11D-4A71-91A0-63DCB9D01146}"/>
    <cellStyle name="Normal 2 4 2 3 2 2 2 4 4" xfId="11026" xr:uid="{CCF98F46-A1CF-4941-B94F-FF9C9747D66E}"/>
    <cellStyle name="Normal 2 4 2 3 2 2 2 4 5" xfId="20325" xr:uid="{AB63D6FB-26B7-4EF2-BE95-6BEFCB6E8192}"/>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EBE0F689-C570-4EBA-9901-C47AFF41122A}"/>
    <cellStyle name="Normal 2 4 2 3 2 2 2 5 2 2 3" xfId="27100" xr:uid="{E6142FFF-7904-4E8B-9FE9-773E59BC2DE8}"/>
    <cellStyle name="Normal 2 4 2 3 2 2 2 5 2 3" xfId="13584" xr:uid="{A547F02D-D828-47FF-A567-5F5410174DB7}"/>
    <cellStyle name="Normal 2 4 2 3 2 2 2 5 2 4" xfId="22883" xr:uid="{8F0CC969-DDF9-405E-BB45-70A66E4B34A3}"/>
    <cellStyle name="Normal 2 4 2 3 2 2 2 5 3" xfId="6330" xr:uid="{00000000-0005-0000-0000-0000AA0E0000}"/>
    <cellStyle name="Normal 2 4 2 3 2 2 2 5 3 2" xfId="15656" xr:uid="{BA670A5C-715D-4EF4-8CF7-1072BCF6286F}"/>
    <cellStyle name="Normal 2 4 2 3 2 2 2 5 3 3" xfId="24955" xr:uid="{EEAD504E-2578-4BA2-9F23-E537C352CBD3}"/>
    <cellStyle name="Normal 2 4 2 3 2 2 2 5 4" xfId="11439" xr:uid="{A8224BD5-CB9B-48ED-BA79-2B6EA6EDDE7D}"/>
    <cellStyle name="Normal 2 4 2 3 2 2 2 5 5" xfId="20738" xr:uid="{64CA33BA-3B8D-400F-B7C8-A05BD7B07BAF}"/>
    <cellStyle name="Normal 2 4 2 3 2 2 2 6" xfId="2460" xr:uid="{00000000-0005-0000-0000-0000AB0E0000}"/>
    <cellStyle name="Normal 2 4 2 3 2 2 2 6 2" xfId="6743" xr:uid="{00000000-0005-0000-0000-0000AC0E0000}"/>
    <cellStyle name="Normal 2 4 2 3 2 2 2 6 2 2" xfId="16069" xr:uid="{3D85AE83-C326-4A05-AEE6-1B7501DC9FCB}"/>
    <cellStyle name="Normal 2 4 2 3 2 2 2 6 2 3" xfId="25368" xr:uid="{E3CE52B0-AD15-411B-9EE6-A30BCF58672B}"/>
    <cellStyle name="Normal 2 4 2 3 2 2 2 6 3" xfId="11852" xr:uid="{DCE2BCDB-3927-45EF-BB76-FC0C542CF4A6}"/>
    <cellStyle name="Normal 2 4 2 3 2 2 2 6 4" xfId="21151" xr:uid="{F5385CC7-22A2-4529-91C9-5E46F3B7A4C2}"/>
    <cellStyle name="Normal 2 4 2 3 2 2 2 7" xfId="4677" xr:uid="{00000000-0005-0000-0000-0000AD0E0000}"/>
    <cellStyle name="Normal 2 4 2 3 2 2 2 7 2" xfId="14003" xr:uid="{1F975D98-E6BF-4FC2-84F5-E876C495A9BA}"/>
    <cellStyle name="Normal 2 4 2 3 2 2 2 7 3" xfId="23302" xr:uid="{DD28382C-5E56-466D-BA98-06EBDCC84357}"/>
    <cellStyle name="Normal 2 4 2 3 2 2 2 8" xfId="9123" xr:uid="{9F0183A9-880D-46D9-BB7D-5696E4723F5F}"/>
    <cellStyle name="Normal 2 4 2 3 2 2 2 8 2" xfId="18447" xr:uid="{22F92D05-0DEE-492E-822C-AC99E46EE91D}"/>
    <cellStyle name="Normal 2 4 2 3 2 2 2 8 3" xfId="27745" xr:uid="{BBA43B8C-B9DD-4C9D-815D-D065F89790B9}"/>
    <cellStyle name="Normal 2 4 2 3 2 2 2 9" xfId="9786" xr:uid="{0114965A-7ABC-4C28-93F5-0D71FF868CAB}"/>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3FA271EF-140A-4729-9F9C-C5A92B8C67A4}"/>
    <cellStyle name="Normal 2 4 2 3 2 2 3 2 2 3" xfId="25860" xr:uid="{85889D3F-A818-424A-B6B9-F57F9E4D05A5}"/>
    <cellStyle name="Normal 2 4 2 3 2 2 3 2 3" xfId="12344" xr:uid="{330151C0-1910-4061-A59B-E90A43373821}"/>
    <cellStyle name="Normal 2 4 2 3 2 2 3 2 4" xfId="21643" xr:uid="{3CDDB670-3B48-443C-B899-653C58487F20}"/>
    <cellStyle name="Normal 2 4 2 3 2 2 3 3" xfId="5090" xr:uid="{00000000-0005-0000-0000-0000B10E0000}"/>
    <cellStyle name="Normal 2 4 2 3 2 2 3 3 2" xfId="14416" xr:uid="{C750E8FF-A3E2-47C4-9194-AEBF58A91DE5}"/>
    <cellStyle name="Normal 2 4 2 3 2 2 3 3 3" xfId="23715" xr:uid="{00D547DE-C4F5-4F40-B9A3-C5BF6E7EDF68}"/>
    <cellStyle name="Normal 2 4 2 3 2 2 3 4" xfId="9341" xr:uid="{4F113FF5-050D-47D1-A7D5-F829C93D993D}"/>
    <cellStyle name="Normal 2 4 2 3 2 2 3 4 2" xfId="18656" xr:uid="{2B6B3242-78A1-4676-83DD-28FEA1D74D4D}"/>
    <cellStyle name="Normal 2 4 2 3 2 2 3 4 3" xfId="27953" xr:uid="{346ABF4D-9A3E-473E-A066-839A14AB51F5}"/>
    <cellStyle name="Normal 2 4 2 3 2 2 3 5" xfId="10199" xr:uid="{1A75E187-4654-4CF9-B6CB-8B52BF54A62B}"/>
    <cellStyle name="Normal 2 4 2 3 2 2 3 6" xfId="19498" xr:uid="{E0A61EE2-D415-432D-ADEE-D18099BE3D9A}"/>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0BDC57DA-7102-437D-B89E-00F9AAE4D241}"/>
    <cellStyle name="Normal 2 4 2 3 2 2 4 2 2 3" xfId="26273" xr:uid="{CEADE827-A304-435F-87EE-7A8FF36EAAF7}"/>
    <cellStyle name="Normal 2 4 2 3 2 2 4 2 3" xfId="12757" xr:uid="{703494B1-4D13-4CDD-9FD9-37A8D68920EF}"/>
    <cellStyle name="Normal 2 4 2 3 2 2 4 2 4" xfId="22056" xr:uid="{ED01FA30-7B27-4489-B8F7-85C593B08A64}"/>
    <cellStyle name="Normal 2 4 2 3 2 2 4 3" xfId="5503" xr:uid="{00000000-0005-0000-0000-0000B50E0000}"/>
    <cellStyle name="Normal 2 4 2 3 2 2 4 3 2" xfId="14829" xr:uid="{B99DE73A-37F3-4510-8D72-59200320672C}"/>
    <cellStyle name="Normal 2 4 2 3 2 2 4 3 3" xfId="24128" xr:uid="{E2E5E698-717B-4952-9707-282F9E3B71AA}"/>
    <cellStyle name="Normal 2 4 2 3 2 2 4 4" xfId="10612" xr:uid="{EC5C0975-2492-491C-8AB2-4A30223CFE04}"/>
    <cellStyle name="Normal 2 4 2 3 2 2 4 5" xfId="19911" xr:uid="{486C686B-8594-4D33-A115-008C91F8122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7143762B-9520-4BAB-9779-CDE3AEE9976A}"/>
    <cellStyle name="Normal 2 4 2 3 2 2 5 2 2 3" xfId="26686" xr:uid="{D12DDAFB-7285-452F-BDEB-A230805F1A2C}"/>
    <cellStyle name="Normal 2 4 2 3 2 2 5 2 3" xfId="13170" xr:uid="{53A7CE97-C2C1-4B45-9030-1D290AD19430}"/>
    <cellStyle name="Normal 2 4 2 3 2 2 5 2 4" xfId="22469" xr:uid="{C43C2C02-CFBA-4146-B01C-62CE00384630}"/>
    <cellStyle name="Normal 2 4 2 3 2 2 5 3" xfId="5916" xr:uid="{00000000-0005-0000-0000-0000B90E0000}"/>
    <cellStyle name="Normal 2 4 2 3 2 2 5 3 2" xfId="15242" xr:uid="{0BFA7321-D50D-450C-9F33-90C79FEC59E4}"/>
    <cellStyle name="Normal 2 4 2 3 2 2 5 3 3" xfId="24541" xr:uid="{321B095B-25C2-483E-A903-1C92E3F1629A}"/>
    <cellStyle name="Normal 2 4 2 3 2 2 5 4" xfId="11025" xr:uid="{BDDA6B5B-1E93-439E-A59F-CD696133566F}"/>
    <cellStyle name="Normal 2 4 2 3 2 2 5 5" xfId="20324" xr:uid="{082411CF-7F66-40A4-8753-D82FCFD59AF1}"/>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2EE97467-03C7-42D8-B21F-5BF86335C5E4}"/>
    <cellStyle name="Normal 2 4 2 3 2 2 6 2 2 3" xfId="27099" xr:uid="{05337D05-3796-48A8-ADDD-8D31B67D4D6D}"/>
    <cellStyle name="Normal 2 4 2 3 2 2 6 2 3" xfId="13583" xr:uid="{B93F95B9-A460-4DC0-9938-0675892784DC}"/>
    <cellStyle name="Normal 2 4 2 3 2 2 6 2 4" xfId="22882" xr:uid="{A29832FC-F664-426C-9003-B3845E8FBECA}"/>
    <cellStyle name="Normal 2 4 2 3 2 2 6 3" xfId="6329" xr:uid="{00000000-0005-0000-0000-0000BD0E0000}"/>
    <cellStyle name="Normal 2 4 2 3 2 2 6 3 2" xfId="15655" xr:uid="{DEA2BD25-D9F6-49EA-81D2-965C549E9FE0}"/>
    <cellStyle name="Normal 2 4 2 3 2 2 6 3 3" xfId="24954" xr:uid="{F8373037-6A2F-4F29-8D2C-337F38617E62}"/>
    <cellStyle name="Normal 2 4 2 3 2 2 6 4" xfId="11438" xr:uid="{BA7CC86B-C56E-4C5A-9167-CB4DEBCB9DDD}"/>
    <cellStyle name="Normal 2 4 2 3 2 2 6 5" xfId="20737" xr:uid="{8359F2E6-3BCF-41C4-88BD-D509FDC6882E}"/>
    <cellStyle name="Normal 2 4 2 3 2 2 7" xfId="2459" xr:uid="{00000000-0005-0000-0000-0000BE0E0000}"/>
    <cellStyle name="Normal 2 4 2 3 2 2 7 2" xfId="6742" xr:uid="{00000000-0005-0000-0000-0000BF0E0000}"/>
    <cellStyle name="Normal 2 4 2 3 2 2 7 2 2" xfId="16068" xr:uid="{20FE1F95-A6FF-471E-9BAB-CFAA836AACC5}"/>
    <cellStyle name="Normal 2 4 2 3 2 2 7 2 3" xfId="25367" xr:uid="{495682C9-8E25-42B6-91EE-556B8BBC9271}"/>
    <cellStyle name="Normal 2 4 2 3 2 2 7 3" xfId="11851" xr:uid="{24F798C9-02E7-4D11-856C-6829F2C742F2}"/>
    <cellStyle name="Normal 2 4 2 3 2 2 7 4" xfId="21150" xr:uid="{199BA817-6B0E-4581-8B40-4F07B9222A2A}"/>
    <cellStyle name="Normal 2 4 2 3 2 2 8" xfId="4676" xr:uid="{00000000-0005-0000-0000-0000C00E0000}"/>
    <cellStyle name="Normal 2 4 2 3 2 2 8 2" xfId="14002" xr:uid="{EC336246-FC5B-4BEC-BA6D-476FB86EF8B3}"/>
    <cellStyle name="Normal 2 4 2 3 2 2 8 3" xfId="23301" xr:uid="{5902F5A5-8D2A-4D08-8B7F-621840A3B8AC}"/>
    <cellStyle name="Normal 2 4 2 3 2 2 9" xfId="8916" xr:uid="{1EF18CC7-44BB-43EB-8DB6-D193CEF128C1}"/>
    <cellStyle name="Normal 2 4 2 3 2 2 9 2" xfId="18240" xr:uid="{C5F32153-4FC6-47E1-BED3-DB7A6390EBB5}"/>
    <cellStyle name="Normal 2 4 2 3 2 2 9 3" xfId="27538" xr:uid="{CB1043F5-286A-4D2F-A085-586337AFF560}"/>
    <cellStyle name="Normal 2 4 2 3 2 3" xfId="285" xr:uid="{00000000-0005-0000-0000-0000C10E0000}"/>
    <cellStyle name="Normal 2 4 2 3 2 3 10" xfId="19086" xr:uid="{5DBFE830-7187-4AE5-B683-3A812023DAA9}"/>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3D7D5031-E91E-40D7-B4DC-920BFB903B1C}"/>
    <cellStyle name="Normal 2 4 2 3 2 3 2 2 2 3" xfId="25862" xr:uid="{6A771CF0-66EC-46C5-BDD5-537205D9B6A5}"/>
    <cellStyle name="Normal 2 4 2 3 2 3 2 2 3" xfId="12346" xr:uid="{58AB8A08-CBD1-4FF2-A29D-51ED96508A2F}"/>
    <cellStyle name="Normal 2 4 2 3 2 3 2 2 4" xfId="21645" xr:uid="{59341BD6-A98D-40DF-A793-A9BD446C6EDE}"/>
    <cellStyle name="Normal 2 4 2 3 2 3 2 3" xfId="5092" xr:uid="{00000000-0005-0000-0000-0000C50E0000}"/>
    <cellStyle name="Normal 2 4 2 3 2 3 2 3 2" xfId="14418" xr:uid="{02E35563-D36B-47EE-8AAE-952936FC9780}"/>
    <cellStyle name="Normal 2 4 2 3 2 3 2 3 3" xfId="23717" xr:uid="{DF0985B2-5417-4CBE-83C9-4BBCE551401E}"/>
    <cellStyle name="Normal 2 4 2 3 2 3 2 4" xfId="9445" xr:uid="{67F9E33C-8554-469D-8D7A-1147F632F3B0}"/>
    <cellStyle name="Normal 2 4 2 3 2 3 2 4 2" xfId="18760" xr:uid="{0516F4B6-021D-4E02-9380-3A20D8A3C929}"/>
    <cellStyle name="Normal 2 4 2 3 2 3 2 4 3" xfId="28057" xr:uid="{25F9F5D3-7555-4BF2-9769-61C3DF0C7EA9}"/>
    <cellStyle name="Normal 2 4 2 3 2 3 2 5" xfId="10201" xr:uid="{71BE100A-E2D5-4D07-B59B-98432DD530A4}"/>
    <cellStyle name="Normal 2 4 2 3 2 3 2 6" xfId="19500" xr:uid="{52F26C99-F010-4C9A-AA00-0FB0E35F78EE}"/>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90FC9DE3-69F9-4478-8138-D4EA5ABAA140}"/>
    <cellStyle name="Normal 2 4 2 3 2 3 3 2 2 3" xfId="26275" xr:uid="{06D6FAFF-6B61-4C71-8666-5A37472AFD2F}"/>
    <cellStyle name="Normal 2 4 2 3 2 3 3 2 3" xfId="12759" xr:uid="{622FC921-7549-4DB1-980A-064035A3F2F9}"/>
    <cellStyle name="Normal 2 4 2 3 2 3 3 2 4" xfId="22058" xr:uid="{6D945B0B-76BD-4721-BD53-39C583F3D146}"/>
    <cellStyle name="Normal 2 4 2 3 2 3 3 3" xfId="5505" xr:uid="{00000000-0005-0000-0000-0000C90E0000}"/>
    <cellStyle name="Normal 2 4 2 3 2 3 3 3 2" xfId="14831" xr:uid="{E6596A9E-B82F-4415-A991-0CC1201DC736}"/>
    <cellStyle name="Normal 2 4 2 3 2 3 3 3 3" xfId="24130" xr:uid="{882396D9-6F53-4F05-93B1-5C8568227FE6}"/>
    <cellStyle name="Normal 2 4 2 3 2 3 3 4" xfId="10614" xr:uid="{6BB7D335-5B53-4E6F-80BB-AF5316737E85}"/>
    <cellStyle name="Normal 2 4 2 3 2 3 3 5" xfId="19913" xr:uid="{E0A166FF-FC67-4DE4-826A-A66F9E2C1662}"/>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A4A7A872-BE10-40C2-BAE0-2EA0F8496F99}"/>
    <cellStyle name="Normal 2 4 2 3 2 3 4 2 2 3" xfId="26688" xr:uid="{A09E6488-FE06-4FE6-BB45-3D8A2593E7DD}"/>
    <cellStyle name="Normal 2 4 2 3 2 3 4 2 3" xfId="13172" xr:uid="{2825EE59-ACFB-4C47-BAC9-B6C5542A9012}"/>
    <cellStyle name="Normal 2 4 2 3 2 3 4 2 4" xfId="22471" xr:uid="{1ADC4681-89FF-4FDA-8F35-84AE7D5BB1D9}"/>
    <cellStyle name="Normal 2 4 2 3 2 3 4 3" xfId="5918" xr:uid="{00000000-0005-0000-0000-0000CD0E0000}"/>
    <cellStyle name="Normal 2 4 2 3 2 3 4 3 2" xfId="15244" xr:uid="{F83F744B-D377-4315-BB19-8E79DCB512A4}"/>
    <cellStyle name="Normal 2 4 2 3 2 3 4 3 3" xfId="24543" xr:uid="{54836E82-9B81-403A-BB02-E3BDF3600D71}"/>
    <cellStyle name="Normal 2 4 2 3 2 3 4 4" xfId="11027" xr:uid="{C6C209EA-2F37-4243-AF91-86AF2A0512BE}"/>
    <cellStyle name="Normal 2 4 2 3 2 3 4 5" xfId="20326" xr:uid="{09520901-1E61-4D76-B141-9FECA4062E7A}"/>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F8B6AC3F-8AE8-47C5-92D9-C5B3DF942533}"/>
    <cellStyle name="Normal 2 4 2 3 2 3 5 2 2 3" xfId="27101" xr:uid="{E62BE9E5-CF6B-4243-92D8-E802E24EE84B}"/>
    <cellStyle name="Normal 2 4 2 3 2 3 5 2 3" xfId="13585" xr:uid="{984D69E6-7488-4918-9F0E-0787E7196EFC}"/>
    <cellStyle name="Normal 2 4 2 3 2 3 5 2 4" xfId="22884" xr:uid="{DAA8F488-9D2E-4DFD-88EB-8725BEF69E73}"/>
    <cellStyle name="Normal 2 4 2 3 2 3 5 3" xfId="6331" xr:uid="{00000000-0005-0000-0000-0000D10E0000}"/>
    <cellStyle name="Normal 2 4 2 3 2 3 5 3 2" xfId="15657" xr:uid="{447C8F6F-A623-4EDE-B954-B872FFAE96DD}"/>
    <cellStyle name="Normal 2 4 2 3 2 3 5 3 3" xfId="24956" xr:uid="{89A89300-4D9E-425A-8AD1-B9E2724B4911}"/>
    <cellStyle name="Normal 2 4 2 3 2 3 5 4" xfId="11440" xr:uid="{09C0D0FB-4A8C-49DA-8418-2041B2F30871}"/>
    <cellStyle name="Normal 2 4 2 3 2 3 5 5" xfId="20739" xr:uid="{CD14D074-B921-468D-A830-363100CC1917}"/>
    <cellStyle name="Normal 2 4 2 3 2 3 6" xfId="2461" xr:uid="{00000000-0005-0000-0000-0000D20E0000}"/>
    <cellStyle name="Normal 2 4 2 3 2 3 6 2" xfId="6744" xr:uid="{00000000-0005-0000-0000-0000D30E0000}"/>
    <cellStyle name="Normal 2 4 2 3 2 3 6 2 2" xfId="16070" xr:uid="{EEB3DFB4-726B-4EED-B4D4-1311CD8D2797}"/>
    <cellStyle name="Normal 2 4 2 3 2 3 6 2 3" xfId="25369" xr:uid="{37CC1DD9-D9C4-4B20-8C7A-385CA3D18415}"/>
    <cellStyle name="Normal 2 4 2 3 2 3 6 3" xfId="11853" xr:uid="{DA26F750-30B1-45FB-8931-5D922A55769B}"/>
    <cellStyle name="Normal 2 4 2 3 2 3 6 4" xfId="21152" xr:uid="{7612D175-DF67-4F3D-B2E6-3EC9ACB6D128}"/>
    <cellStyle name="Normal 2 4 2 3 2 3 7" xfId="4678" xr:uid="{00000000-0005-0000-0000-0000D40E0000}"/>
    <cellStyle name="Normal 2 4 2 3 2 3 7 2" xfId="14004" xr:uid="{EED3D9F5-4A54-4925-8234-3849CF0F7D4B}"/>
    <cellStyle name="Normal 2 4 2 3 2 3 7 3" xfId="23303" xr:uid="{C3EAE1AE-EEAE-4E81-8E2B-1540B481BB4C}"/>
    <cellStyle name="Normal 2 4 2 3 2 3 8" xfId="9020" xr:uid="{5718F785-8E2C-4B45-91D1-4597173D90A6}"/>
    <cellStyle name="Normal 2 4 2 3 2 3 8 2" xfId="18344" xr:uid="{3EC17C1F-7856-4DB6-B82D-F0318FF34BED}"/>
    <cellStyle name="Normal 2 4 2 3 2 3 8 3" xfId="27642" xr:uid="{9955B548-6B65-4DED-BDA5-2A2B0AD2FFA5}"/>
    <cellStyle name="Normal 2 4 2 3 2 3 9" xfId="9787" xr:uid="{71338AEF-D057-4801-BCC0-674FD9D175D8}"/>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3ADB98D6-50D8-4668-9CA5-AE60F2E70925}"/>
    <cellStyle name="Normal 2 4 2 3 2 4 2 2 3" xfId="25859" xr:uid="{66975698-3C55-40A8-9C3B-B192E589FCF0}"/>
    <cellStyle name="Normal 2 4 2 3 2 4 2 3" xfId="12343" xr:uid="{D90F6473-4C8B-48A0-B60A-9A0BE5754BDA}"/>
    <cellStyle name="Normal 2 4 2 3 2 4 2 4" xfId="21642" xr:uid="{CF51CC12-97F0-4749-AD63-06B67179FA00}"/>
    <cellStyle name="Normal 2 4 2 3 2 4 3" xfId="5089" xr:uid="{00000000-0005-0000-0000-0000D80E0000}"/>
    <cellStyle name="Normal 2 4 2 3 2 4 3 2" xfId="14415" xr:uid="{8873DCF1-2307-4213-9F2E-BB48CE7E9727}"/>
    <cellStyle name="Normal 2 4 2 3 2 4 3 3" xfId="23714" xr:uid="{8D77E131-F693-41C6-89A0-88EE52EA1E1F}"/>
    <cellStyle name="Normal 2 4 2 3 2 4 4" xfId="9238" xr:uid="{BC6E5A3D-C256-46E9-A109-D643C24AA206}"/>
    <cellStyle name="Normal 2 4 2 3 2 4 4 2" xfId="18553" xr:uid="{C7CA80FF-78F5-441F-B949-470F6A56BBBC}"/>
    <cellStyle name="Normal 2 4 2 3 2 4 4 3" xfId="27850" xr:uid="{66BC51AA-475A-498A-810A-53A7735D9D2B}"/>
    <cellStyle name="Normal 2 4 2 3 2 4 5" xfId="10198" xr:uid="{9ED47288-DE81-4378-B818-11272A0B329E}"/>
    <cellStyle name="Normal 2 4 2 3 2 4 6" xfId="19497" xr:uid="{3B1E9E37-C0A3-4A7C-B0EB-ACCD696B4B89}"/>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2CDBE065-F622-46EE-AB12-CB2DE259B0B7}"/>
    <cellStyle name="Normal 2 4 2 3 2 5 2 2 3" xfId="26272" xr:uid="{74CAC253-7126-4045-B411-B1456B7909A0}"/>
    <cellStyle name="Normal 2 4 2 3 2 5 2 3" xfId="12756" xr:uid="{DF99C518-5C4B-4F65-BAB0-2896F43CF0E7}"/>
    <cellStyle name="Normal 2 4 2 3 2 5 2 4" xfId="22055" xr:uid="{5666FE56-A99B-48E8-A7EF-1B132B95C28A}"/>
    <cellStyle name="Normal 2 4 2 3 2 5 3" xfId="5502" xr:uid="{00000000-0005-0000-0000-0000DC0E0000}"/>
    <cellStyle name="Normal 2 4 2 3 2 5 3 2" xfId="14828" xr:uid="{597008BF-F593-4A53-B917-FA781743E180}"/>
    <cellStyle name="Normal 2 4 2 3 2 5 3 3" xfId="24127" xr:uid="{43F2D033-6DD0-4D87-91F8-4E8A0095F278}"/>
    <cellStyle name="Normal 2 4 2 3 2 5 4" xfId="10611" xr:uid="{3FA90972-BA89-4A0E-B327-7BE13A16D3EF}"/>
    <cellStyle name="Normal 2 4 2 3 2 5 5" xfId="19910" xr:uid="{59D056D4-24F1-4429-B54D-B584CD222479}"/>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268D0B46-D3C3-47B8-B688-6A8F9FD0A218}"/>
    <cellStyle name="Normal 2 4 2 3 2 6 2 2 3" xfId="26685" xr:uid="{3E73DC5A-CD7D-438C-8945-5B75B80EED78}"/>
    <cellStyle name="Normal 2 4 2 3 2 6 2 3" xfId="13169" xr:uid="{9A371072-3DE3-415A-A4E2-EA5509971CF6}"/>
    <cellStyle name="Normal 2 4 2 3 2 6 2 4" xfId="22468" xr:uid="{07376171-5225-44A2-AEF8-CCD1FCDD6CAB}"/>
    <cellStyle name="Normal 2 4 2 3 2 6 3" xfId="5915" xr:uid="{00000000-0005-0000-0000-0000E00E0000}"/>
    <cellStyle name="Normal 2 4 2 3 2 6 3 2" xfId="15241" xr:uid="{A1FEFE55-C4A2-4AF1-98F7-E7197202B54E}"/>
    <cellStyle name="Normal 2 4 2 3 2 6 3 3" xfId="24540" xr:uid="{47C83A67-AB2E-4542-908A-6DFB12153259}"/>
    <cellStyle name="Normal 2 4 2 3 2 6 4" xfId="11024" xr:uid="{4CBB1A9D-2510-4804-B4F8-5DCEE18282EA}"/>
    <cellStyle name="Normal 2 4 2 3 2 6 5" xfId="20323" xr:uid="{0054DF4A-CBA9-4147-ACF4-73A5FCBD950B}"/>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86B3BDC1-F169-4425-A28C-44E170CE9D53}"/>
    <cellStyle name="Normal 2 4 2 3 2 7 2 2 3" xfId="27098" xr:uid="{F3E8BC75-A80C-4AFB-A00F-D0735C10659B}"/>
    <cellStyle name="Normal 2 4 2 3 2 7 2 3" xfId="13582" xr:uid="{FC804930-2884-4A6C-9976-EBAF06DFC80A}"/>
    <cellStyle name="Normal 2 4 2 3 2 7 2 4" xfId="22881" xr:uid="{873C5BDA-475B-443D-A78B-AD4388B7E0FC}"/>
    <cellStyle name="Normal 2 4 2 3 2 7 3" xfId="6328" xr:uid="{00000000-0005-0000-0000-0000E40E0000}"/>
    <cellStyle name="Normal 2 4 2 3 2 7 3 2" xfId="15654" xr:uid="{29895814-9551-4AF2-9B56-F7B3A39F3879}"/>
    <cellStyle name="Normal 2 4 2 3 2 7 3 3" xfId="24953" xr:uid="{F95524D0-77EB-40CD-98DF-C6BBEB6562A2}"/>
    <cellStyle name="Normal 2 4 2 3 2 7 4" xfId="11437" xr:uid="{5F6FECEB-B9D1-4190-9FD9-1446EC85BFBB}"/>
    <cellStyle name="Normal 2 4 2 3 2 7 5" xfId="20736" xr:uid="{6418ECC5-9440-4F1E-8272-F42C1CEBFF77}"/>
    <cellStyle name="Normal 2 4 2 3 2 8" xfId="2458" xr:uid="{00000000-0005-0000-0000-0000E50E0000}"/>
    <cellStyle name="Normal 2 4 2 3 2 8 2" xfId="6741" xr:uid="{00000000-0005-0000-0000-0000E60E0000}"/>
    <cellStyle name="Normal 2 4 2 3 2 8 2 2" xfId="16067" xr:uid="{8EB97D9F-0FA4-46B3-B44E-092C0BC1B3A5}"/>
    <cellStyle name="Normal 2 4 2 3 2 8 2 3" xfId="25366" xr:uid="{91864C14-5CD5-484D-AD6F-7F66A5EFA284}"/>
    <cellStyle name="Normal 2 4 2 3 2 8 3" xfId="11850" xr:uid="{C7A1265D-754D-4E95-A6CE-D929E25345DE}"/>
    <cellStyle name="Normal 2 4 2 3 2 8 4" xfId="21149" xr:uid="{2780D3E5-72F3-4AE0-830D-BF922D2CD496}"/>
    <cellStyle name="Normal 2 4 2 3 2 9" xfId="4675" xr:uid="{00000000-0005-0000-0000-0000E70E0000}"/>
    <cellStyle name="Normal 2 4 2 3 2 9 2" xfId="14001" xr:uid="{CD9867CB-ACC1-488D-A193-D48AB582B248}"/>
    <cellStyle name="Normal 2 4 2 3 2 9 3" xfId="23300" xr:uid="{0E75B7CA-8185-4B65-988F-934C8FB33219}"/>
    <cellStyle name="Normal 2 4 2 3 3" xfId="286" xr:uid="{00000000-0005-0000-0000-0000E80E0000}"/>
    <cellStyle name="Normal 2 4 2 3 3 10" xfId="9788" xr:uid="{42069498-D526-4FA0-9B46-F6145272F082}"/>
    <cellStyle name="Normal 2 4 2 3 3 11" xfId="19087" xr:uid="{3002715B-08BA-41AB-9C0E-872B8EC4744F}"/>
    <cellStyle name="Normal 2 4 2 3 3 2" xfId="287" xr:uid="{00000000-0005-0000-0000-0000E90E0000}"/>
    <cellStyle name="Normal 2 4 2 3 3 2 10" xfId="19088" xr:uid="{08AE61A5-C6AD-477E-9906-B5FDC6C6FB0D}"/>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948D5A60-8038-404F-AC42-6407169D93F4}"/>
    <cellStyle name="Normal 2 4 2 3 3 2 2 2 2 3" xfId="25864" xr:uid="{D75E8293-3F2C-496E-9936-1319AD0CA819}"/>
    <cellStyle name="Normal 2 4 2 3 3 2 2 2 3" xfId="12348" xr:uid="{B61E9B0B-FA02-4FC4-A933-876BCE73F99E}"/>
    <cellStyle name="Normal 2 4 2 3 3 2 2 2 4" xfId="21647" xr:uid="{2052E9E5-4ECE-46FF-BB4A-830074BE2020}"/>
    <cellStyle name="Normal 2 4 2 3 3 2 2 3" xfId="5094" xr:uid="{00000000-0005-0000-0000-0000ED0E0000}"/>
    <cellStyle name="Normal 2 4 2 3 3 2 2 3 2" xfId="14420" xr:uid="{147A1988-A919-4008-A16A-E221062D7180}"/>
    <cellStyle name="Normal 2 4 2 3 3 2 2 3 3" xfId="23719" xr:uid="{A00BEDFA-A6D5-4511-B1E6-089F31C6BE64}"/>
    <cellStyle name="Normal 2 4 2 3 3 2 2 4" xfId="9523" xr:uid="{49BCB42B-3FEB-4D87-8E20-52FE775F87DD}"/>
    <cellStyle name="Normal 2 4 2 3 3 2 2 4 2" xfId="18838" xr:uid="{88EADD68-9FC0-4CAE-BCFF-D25095A58F80}"/>
    <cellStyle name="Normal 2 4 2 3 3 2 2 4 3" xfId="28135" xr:uid="{5E376E4E-CFD5-42D6-847D-5E5727733B3C}"/>
    <cellStyle name="Normal 2 4 2 3 3 2 2 5" xfId="10203" xr:uid="{E3A4A09B-08A9-4C45-96C0-902BCEB8555B}"/>
    <cellStyle name="Normal 2 4 2 3 3 2 2 6" xfId="19502" xr:uid="{4F6AF053-51C3-4463-ABAB-0428D092B515}"/>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B50310DA-582B-4801-A20C-5D4DC55D71BA}"/>
    <cellStyle name="Normal 2 4 2 3 3 2 3 2 2 3" xfId="26277" xr:uid="{4D5D18BA-7CFF-4DB9-AD14-5EE6166D7E8F}"/>
    <cellStyle name="Normal 2 4 2 3 3 2 3 2 3" xfId="12761" xr:uid="{D161C4A0-B93A-48B6-9657-B4F687F39DC6}"/>
    <cellStyle name="Normal 2 4 2 3 3 2 3 2 4" xfId="22060" xr:uid="{E627D2A7-992C-4F22-AF5D-9E2AAE38E6A3}"/>
    <cellStyle name="Normal 2 4 2 3 3 2 3 3" xfId="5507" xr:uid="{00000000-0005-0000-0000-0000F10E0000}"/>
    <cellStyle name="Normal 2 4 2 3 3 2 3 3 2" xfId="14833" xr:uid="{0B5523A1-7349-4111-96E8-EA8893EAAE2E}"/>
    <cellStyle name="Normal 2 4 2 3 3 2 3 3 3" xfId="24132" xr:uid="{72489173-16A2-42BE-9E6E-33B609B9E70C}"/>
    <cellStyle name="Normal 2 4 2 3 3 2 3 4" xfId="10616" xr:uid="{7347B37D-EF99-4DC9-A5BA-93D97FBA0695}"/>
    <cellStyle name="Normal 2 4 2 3 3 2 3 5" xfId="19915" xr:uid="{FBA75E2E-A1DC-43A6-A7D0-6BF0B8B7CB49}"/>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C3AF9BD0-60F8-4012-B967-267C315529F4}"/>
    <cellStyle name="Normal 2 4 2 3 3 2 4 2 2 3" xfId="26690" xr:uid="{F0D852E7-238C-4482-94A7-2F68692E8F76}"/>
    <cellStyle name="Normal 2 4 2 3 3 2 4 2 3" xfId="13174" xr:uid="{175AA3A9-96F4-4267-9203-49788D1894BF}"/>
    <cellStyle name="Normal 2 4 2 3 3 2 4 2 4" xfId="22473" xr:uid="{B0F74A34-F958-475A-9425-5383E267AB2D}"/>
    <cellStyle name="Normal 2 4 2 3 3 2 4 3" xfId="5920" xr:uid="{00000000-0005-0000-0000-0000F50E0000}"/>
    <cellStyle name="Normal 2 4 2 3 3 2 4 3 2" xfId="15246" xr:uid="{3D37BAB5-CD17-42F3-8919-2753495FF9C3}"/>
    <cellStyle name="Normal 2 4 2 3 3 2 4 3 3" xfId="24545" xr:uid="{E66B8BB2-1559-498F-83EF-20BB70C5496F}"/>
    <cellStyle name="Normal 2 4 2 3 3 2 4 4" xfId="11029" xr:uid="{951D53F1-5257-4107-8C27-6B9C05334B6D}"/>
    <cellStyle name="Normal 2 4 2 3 3 2 4 5" xfId="20328" xr:uid="{9656B610-69D3-4CBB-8BCD-20FF6709D3E7}"/>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96563FC3-9737-4FAD-8957-75503FF3293D}"/>
    <cellStyle name="Normal 2 4 2 3 3 2 5 2 2 3" xfId="27103" xr:uid="{0A1F8E12-56EE-4DEF-BA00-F3568064284D}"/>
    <cellStyle name="Normal 2 4 2 3 3 2 5 2 3" xfId="13587" xr:uid="{2719D48D-9CEC-4734-819F-87A3FE2E48A0}"/>
    <cellStyle name="Normal 2 4 2 3 3 2 5 2 4" xfId="22886" xr:uid="{3E15C76D-F1A8-425D-B01B-8B90FC6DF75F}"/>
    <cellStyle name="Normal 2 4 2 3 3 2 5 3" xfId="6333" xr:uid="{00000000-0005-0000-0000-0000F90E0000}"/>
    <cellStyle name="Normal 2 4 2 3 3 2 5 3 2" xfId="15659" xr:uid="{C1916702-6F4A-44AA-9489-ECAA5EC052C2}"/>
    <cellStyle name="Normal 2 4 2 3 3 2 5 3 3" xfId="24958" xr:uid="{9A3E28C6-9845-4A11-81F9-6919A2E8D2BE}"/>
    <cellStyle name="Normal 2 4 2 3 3 2 5 4" xfId="11442" xr:uid="{E165A4D1-3A17-456A-811C-9CD8B4540BFA}"/>
    <cellStyle name="Normal 2 4 2 3 3 2 5 5" xfId="20741" xr:uid="{61B0F9DC-9973-4E05-A91C-838A894D5D17}"/>
    <cellStyle name="Normal 2 4 2 3 3 2 6" xfId="2463" xr:uid="{00000000-0005-0000-0000-0000FA0E0000}"/>
    <cellStyle name="Normal 2 4 2 3 3 2 6 2" xfId="6746" xr:uid="{00000000-0005-0000-0000-0000FB0E0000}"/>
    <cellStyle name="Normal 2 4 2 3 3 2 6 2 2" xfId="16072" xr:uid="{AA9A786A-1784-4FE5-8A86-11123A668EEA}"/>
    <cellStyle name="Normal 2 4 2 3 3 2 6 2 3" xfId="25371" xr:uid="{445CF29C-805C-4488-B321-F84BD7FA2BB3}"/>
    <cellStyle name="Normal 2 4 2 3 3 2 6 3" xfId="11855" xr:uid="{1FCC65C1-98D9-4C08-BB3B-2926E67751E8}"/>
    <cellStyle name="Normal 2 4 2 3 3 2 6 4" xfId="21154" xr:uid="{882ADCCF-815C-49D2-9798-B06161A91B9A}"/>
    <cellStyle name="Normal 2 4 2 3 3 2 7" xfId="4680" xr:uid="{00000000-0005-0000-0000-0000FC0E0000}"/>
    <cellStyle name="Normal 2 4 2 3 3 2 7 2" xfId="14006" xr:uid="{86C3195B-0F4F-46D5-980D-D508667D269A}"/>
    <cellStyle name="Normal 2 4 2 3 3 2 7 3" xfId="23305" xr:uid="{BFD5F034-EB6D-4083-830F-3AD942D6881E}"/>
    <cellStyle name="Normal 2 4 2 3 3 2 8" xfId="9098" xr:uid="{15335B31-FFDD-479D-88EC-FAB83DC4E6EC}"/>
    <cellStyle name="Normal 2 4 2 3 3 2 8 2" xfId="18422" xr:uid="{B9D878E9-2A4F-446A-9A00-3E583EFB22A3}"/>
    <cellStyle name="Normal 2 4 2 3 3 2 8 3" xfId="27720" xr:uid="{9F0FB369-2C89-4F90-A54A-517FB4A59D18}"/>
    <cellStyle name="Normal 2 4 2 3 3 2 9" xfId="9789" xr:uid="{C0A37459-6686-444E-9714-14F05FDA7B5B}"/>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BBFC6393-37CC-47C0-80FA-EF352F502C87}"/>
    <cellStyle name="Normal 2 4 2 3 3 3 2 2 3" xfId="25863" xr:uid="{CC9FACAD-D974-4980-A42F-D36BD1AD7B33}"/>
    <cellStyle name="Normal 2 4 2 3 3 3 2 3" xfId="12347" xr:uid="{AC13F541-DAD4-4D83-B3B1-2E5F9DE9177F}"/>
    <cellStyle name="Normal 2 4 2 3 3 3 2 4" xfId="21646" xr:uid="{D158D7EB-5614-4466-AA0A-D41FE295E109}"/>
    <cellStyle name="Normal 2 4 2 3 3 3 3" xfId="5093" xr:uid="{00000000-0005-0000-0000-0000000F0000}"/>
    <cellStyle name="Normal 2 4 2 3 3 3 3 2" xfId="14419" xr:uid="{1ED8DD6C-701C-4FC7-9251-A95439D5A1F4}"/>
    <cellStyle name="Normal 2 4 2 3 3 3 3 3" xfId="23718" xr:uid="{92521307-3E29-4DC1-B435-200D4FFFAE76}"/>
    <cellStyle name="Normal 2 4 2 3 3 3 4" xfId="9316" xr:uid="{C8C83D09-5A3A-4C90-8A04-9D7CD8C85B11}"/>
    <cellStyle name="Normal 2 4 2 3 3 3 4 2" xfId="18631" xr:uid="{2663D86C-307B-4644-A96C-807717A71481}"/>
    <cellStyle name="Normal 2 4 2 3 3 3 4 3" xfId="27928" xr:uid="{669C3536-EC2E-48CD-B122-06BCA314FF36}"/>
    <cellStyle name="Normal 2 4 2 3 3 3 5" xfId="10202" xr:uid="{E3BBE3B8-7DB8-408F-8FCD-50E7683F4516}"/>
    <cellStyle name="Normal 2 4 2 3 3 3 6" xfId="19501" xr:uid="{5709E1D8-D6AB-4AF5-8626-75A1438F9DE8}"/>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F380DF51-2D1F-4CA5-927B-7FFCA96DF5A9}"/>
    <cellStyle name="Normal 2 4 2 3 3 4 2 2 3" xfId="26276" xr:uid="{B50A8658-0ED5-436C-AB16-3E24BC2D2436}"/>
    <cellStyle name="Normal 2 4 2 3 3 4 2 3" xfId="12760" xr:uid="{2F31908D-EE41-41B0-894C-C0577D4882CD}"/>
    <cellStyle name="Normal 2 4 2 3 3 4 2 4" xfId="22059" xr:uid="{36FD47DC-EFC8-439B-AB60-E052B6495B29}"/>
    <cellStyle name="Normal 2 4 2 3 3 4 3" xfId="5506" xr:uid="{00000000-0005-0000-0000-0000040F0000}"/>
    <cellStyle name="Normal 2 4 2 3 3 4 3 2" xfId="14832" xr:uid="{1EFA3A9D-E2AA-466E-AFC4-E76A4CB996BD}"/>
    <cellStyle name="Normal 2 4 2 3 3 4 3 3" xfId="24131" xr:uid="{B9174E3F-5366-46C4-A69F-5644328F407D}"/>
    <cellStyle name="Normal 2 4 2 3 3 4 4" xfId="10615" xr:uid="{DAAAEAFB-D535-4B9C-8865-37D67BC31C25}"/>
    <cellStyle name="Normal 2 4 2 3 3 4 5" xfId="19914" xr:uid="{3845E23A-3A38-42D1-8407-E31ADACAA283}"/>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870042CE-0836-4224-8BF7-1101594970E5}"/>
    <cellStyle name="Normal 2 4 2 3 3 5 2 2 3" xfId="26689" xr:uid="{8EC96BCB-59DE-492D-AA46-A8CA9FB96193}"/>
    <cellStyle name="Normal 2 4 2 3 3 5 2 3" xfId="13173" xr:uid="{0DF9E3A5-513C-4DFB-91E3-9E0D5FEE25F7}"/>
    <cellStyle name="Normal 2 4 2 3 3 5 2 4" xfId="22472" xr:uid="{20616605-F8B7-422D-8C41-97A693CB851F}"/>
    <cellStyle name="Normal 2 4 2 3 3 5 3" xfId="5919" xr:uid="{00000000-0005-0000-0000-0000080F0000}"/>
    <cellStyle name="Normal 2 4 2 3 3 5 3 2" xfId="15245" xr:uid="{122AF6CB-6E13-4197-B99E-F62BD117180C}"/>
    <cellStyle name="Normal 2 4 2 3 3 5 3 3" xfId="24544" xr:uid="{5548E096-E384-4458-B224-ED46E9F81C56}"/>
    <cellStyle name="Normal 2 4 2 3 3 5 4" xfId="11028" xr:uid="{F8E323D8-A9FA-4650-B3BE-A74E46BD4E8F}"/>
    <cellStyle name="Normal 2 4 2 3 3 5 5" xfId="20327" xr:uid="{B1648257-AEDD-42F4-A68C-6DAA0D0C3C4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24554214-8D2E-4ED9-9C64-4A1C1AFAD54C}"/>
    <cellStyle name="Normal 2 4 2 3 3 6 2 2 3" xfId="27102" xr:uid="{49FABBE3-C39B-4CA2-966B-2E7603038595}"/>
    <cellStyle name="Normal 2 4 2 3 3 6 2 3" xfId="13586" xr:uid="{D3A5BCB8-E586-4FD3-87A6-14762E88ADC0}"/>
    <cellStyle name="Normal 2 4 2 3 3 6 2 4" xfId="22885" xr:uid="{E32064CF-564C-4DDE-B8C6-FF30B3A15A5E}"/>
    <cellStyle name="Normal 2 4 2 3 3 6 3" xfId="6332" xr:uid="{00000000-0005-0000-0000-00000C0F0000}"/>
    <cellStyle name="Normal 2 4 2 3 3 6 3 2" xfId="15658" xr:uid="{7D829CDC-B163-489B-96C2-F889A4B06381}"/>
    <cellStyle name="Normal 2 4 2 3 3 6 3 3" xfId="24957" xr:uid="{5202F0F1-4800-41E0-9D22-A1118ECEED5C}"/>
    <cellStyle name="Normal 2 4 2 3 3 6 4" xfId="11441" xr:uid="{DCBC7A83-20E8-4D89-833B-9B758B8CB996}"/>
    <cellStyle name="Normal 2 4 2 3 3 6 5" xfId="20740" xr:uid="{B0BC45CE-0476-4C3B-A8C4-9088A7E749D7}"/>
    <cellStyle name="Normal 2 4 2 3 3 7" xfId="2462" xr:uid="{00000000-0005-0000-0000-00000D0F0000}"/>
    <cellStyle name="Normal 2 4 2 3 3 7 2" xfId="6745" xr:uid="{00000000-0005-0000-0000-00000E0F0000}"/>
    <cellStyle name="Normal 2 4 2 3 3 7 2 2" xfId="16071" xr:uid="{C4337A32-3B7A-45EA-9677-884001507743}"/>
    <cellStyle name="Normal 2 4 2 3 3 7 2 3" xfId="25370" xr:uid="{FF410CE5-C1F4-47DD-A2E0-74849DDD7224}"/>
    <cellStyle name="Normal 2 4 2 3 3 7 3" xfId="11854" xr:uid="{CE1F111C-E8D4-4F98-A017-6B2F3077E664}"/>
    <cellStyle name="Normal 2 4 2 3 3 7 4" xfId="21153" xr:uid="{134015D3-8272-46FB-A8B4-DCFAFE79E477}"/>
    <cellStyle name="Normal 2 4 2 3 3 8" xfId="4679" xr:uid="{00000000-0005-0000-0000-00000F0F0000}"/>
    <cellStyle name="Normal 2 4 2 3 3 8 2" xfId="14005" xr:uid="{61A2642A-6947-4F13-BEDD-090E13ABA3BA}"/>
    <cellStyle name="Normal 2 4 2 3 3 8 3" xfId="23304" xr:uid="{5D0CA98E-FB6D-492A-87C0-BB506BD4714C}"/>
    <cellStyle name="Normal 2 4 2 3 3 9" xfId="8891" xr:uid="{D2DF60A1-A34B-4A3F-B29E-E581EFBA8360}"/>
    <cellStyle name="Normal 2 4 2 3 3 9 2" xfId="18215" xr:uid="{609335A5-D393-4B24-B836-369F5787AE11}"/>
    <cellStyle name="Normal 2 4 2 3 3 9 3" xfId="27513" xr:uid="{04D436A2-5572-42CA-ADAB-731F1DB931FB}"/>
    <cellStyle name="Normal 2 4 2 3 4" xfId="288" xr:uid="{00000000-0005-0000-0000-0000100F0000}"/>
    <cellStyle name="Normal 2 4 2 3 4 10" xfId="19089" xr:uid="{5626F577-998E-4BF8-A183-83A83C0D00E6}"/>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06EC6848-1A4F-4A8F-9663-0C592EC0137B}"/>
    <cellStyle name="Normal 2 4 2 3 4 2 2 2 3" xfId="25865" xr:uid="{F37977CB-CB9D-4C6B-9B42-A4CCE89AB8A1}"/>
    <cellStyle name="Normal 2 4 2 3 4 2 2 3" xfId="12349" xr:uid="{F221E3B6-B0D9-436D-AF00-9FC60AB25F89}"/>
    <cellStyle name="Normal 2 4 2 3 4 2 2 4" xfId="21648" xr:uid="{38B94331-5543-4BB4-B906-68C6614E2446}"/>
    <cellStyle name="Normal 2 4 2 3 4 2 3" xfId="5095" xr:uid="{00000000-0005-0000-0000-0000140F0000}"/>
    <cellStyle name="Normal 2 4 2 3 4 2 3 2" xfId="14421" xr:uid="{3104A9C8-4CC3-4A9C-B50F-CFA062683A18}"/>
    <cellStyle name="Normal 2 4 2 3 4 2 3 3" xfId="23720" xr:uid="{DD28764D-40D0-4A0A-B2AF-5FF19088B829}"/>
    <cellStyle name="Normal 2 4 2 3 4 2 4" xfId="9420" xr:uid="{49E252B3-99BC-416A-A0CB-FE2641ECFDE3}"/>
    <cellStyle name="Normal 2 4 2 3 4 2 4 2" xfId="18735" xr:uid="{0E4DDFA0-EF90-4AC9-A4E4-B0596D951CF6}"/>
    <cellStyle name="Normal 2 4 2 3 4 2 4 3" xfId="28032" xr:uid="{6E895A07-757F-4CA4-ACC0-75B67D4AFB7A}"/>
    <cellStyle name="Normal 2 4 2 3 4 2 5" xfId="10204" xr:uid="{065DE9FD-DF46-4804-ADB6-73A06A0486C6}"/>
    <cellStyle name="Normal 2 4 2 3 4 2 6" xfId="19503" xr:uid="{8ADDE2C8-5C85-4470-A122-8EFA226A0F6B}"/>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DF29F886-900D-4454-ABF3-15E44EDA5E93}"/>
    <cellStyle name="Normal 2 4 2 3 4 3 2 2 3" xfId="26278" xr:uid="{9208B185-2EA2-4427-9F83-1D7930D76175}"/>
    <cellStyle name="Normal 2 4 2 3 4 3 2 3" xfId="12762" xr:uid="{A39F9F94-1A34-4C27-8C10-E7A95E0488D1}"/>
    <cellStyle name="Normal 2 4 2 3 4 3 2 4" xfId="22061" xr:uid="{F8162B21-0B10-4B96-8831-EEFD164B8E16}"/>
    <cellStyle name="Normal 2 4 2 3 4 3 3" xfId="5508" xr:uid="{00000000-0005-0000-0000-0000180F0000}"/>
    <cellStyle name="Normal 2 4 2 3 4 3 3 2" xfId="14834" xr:uid="{9A8B54CA-34AE-4022-A9CD-2F7AB972FB02}"/>
    <cellStyle name="Normal 2 4 2 3 4 3 3 3" xfId="24133" xr:uid="{8E93507E-FA57-4EDC-8E26-532FF0ED8D1F}"/>
    <cellStyle name="Normal 2 4 2 3 4 3 4" xfId="10617" xr:uid="{7118BCCF-35FF-4010-A7AD-5BFFE751D1A3}"/>
    <cellStyle name="Normal 2 4 2 3 4 3 5" xfId="19916" xr:uid="{39B8840F-1EBC-4E14-9E81-A8347F95F1E8}"/>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AC3D8D7D-1F1F-46CB-B970-965FB85F08C6}"/>
    <cellStyle name="Normal 2 4 2 3 4 4 2 2 3" xfId="26691" xr:uid="{E08CCBFF-9208-4941-A234-E66672974B61}"/>
    <cellStyle name="Normal 2 4 2 3 4 4 2 3" xfId="13175" xr:uid="{5F8E9AB0-DEF5-4C86-BAD4-D7752CD7D687}"/>
    <cellStyle name="Normal 2 4 2 3 4 4 2 4" xfId="22474" xr:uid="{841888D9-8863-4A6A-9541-D216962BB27D}"/>
    <cellStyle name="Normal 2 4 2 3 4 4 3" xfId="5921" xr:uid="{00000000-0005-0000-0000-00001C0F0000}"/>
    <cellStyle name="Normal 2 4 2 3 4 4 3 2" xfId="15247" xr:uid="{5DE44A52-1DB3-40F2-B75A-F002ECD0D3D1}"/>
    <cellStyle name="Normal 2 4 2 3 4 4 3 3" xfId="24546" xr:uid="{316C8AAA-1B55-475F-A9F9-A99240ECB1EB}"/>
    <cellStyle name="Normal 2 4 2 3 4 4 4" xfId="11030" xr:uid="{693F31F7-840D-44F6-B237-C3063A64E4E2}"/>
    <cellStyle name="Normal 2 4 2 3 4 4 5" xfId="20329" xr:uid="{08E77478-933B-4611-832F-65C5CE6A6187}"/>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99DB0C17-AEE9-4798-8ACD-AF041E21D836}"/>
    <cellStyle name="Normal 2 4 2 3 4 5 2 2 3" xfId="27104" xr:uid="{DCFE7CF9-2463-4B56-B8A4-7AE82060B872}"/>
    <cellStyle name="Normal 2 4 2 3 4 5 2 3" xfId="13588" xr:uid="{AA997A33-1A9A-4F4D-A599-18160711AD1D}"/>
    <cellStyle name="Normal 2 4 2 3 4 5 2 4" xfId="22887" xr:uid="{07AF111C-9002-4DD5-97D9-0C85C0BFFD9D}"/>
    <cellStyle name="Normal 2 4 2 3 4 5 3" xfId="6334" xr:uid="{00000000-0005-0000-0000-0000200F0000}"/>
    <cellStyle name="Normal 2 4 2 3 4 5 3 2" xfId="15660" xr:uid="{AA40BE32-5F59-4B05-93D8-CF7E22DAEC90}"/>
    <cellStyle name="Normal 2 4 2 3 4 5 3 3" xfId="24959" xr:uid="{33F51D72-EA65-4D9E-97F8-3DB7F3289FAE}"/>
    <cellStyle name="Normal 2 4 2 3 4 5 4" xfId="11443" xr:uid="{6FE4996C-8A58-42E1-940F-C7790B223BDA}"/>
    <cellStyle name="Normal 2 4 2 3 4 5 5" xfId="20742" xr:uid="{178A3DFE-CBC4-4A6F-B2A2-03380F1489E3}"/>
    <cellStyle name="Normal 2 4 2 3 4 6" xfId="2464" xr:uid="{00000000-0005-0000-0000-0000210F0000}"/>
    <cellStyle name="Normal 2 4 2 3 4 6 2" xfId="6747" xr:uid="{00000000-0005-0000-0000-0000220F0000}"/>
    <cellStyle name="Normal 2 4 2 3 4 6 2 2" xfId="16073" xr:uid="{1ABCB1AC-3F9E-4F7D-8038-254A537BE14B}"/>
    <cellStyle name="Normal 2 4 2 3 4 6 2 3" xfId="25372" xr:uid="{70EE30FA-A9E8-4BA0-BF2F-4A273E62DABE}"/>
    <cellStyle name="Normal 2 4 2 3 4 6 3" xfId="11856" xr:uid="{8B8F649B-A0B0-4302-9009-E6D46EEF9EA8}"/>
    <cellStyle name="Normal 2 4 2 3 4 6 4" xfId="21155" xr:uid="{AB5EA5E4-DC2D-4A92-9F28-1FF9C25CFC66}"/>
    <cellStyle name="Normal 2 4 2 3 4 7" xfId="4681" xr:uid="{00000000-0005-0000-0000-0000230F0000}"/>
    <cellStyle name="Normal 2 4 2 3 4 7 2" xfId="14007" xr:uid="{AC1CFEBE-4826-4F16-93C6-FD4DB4D7FF53}"/>
    <cellStyle name="Normal 2 4 2 3 4 7 3" xfId="23306" xr:uid="{1905E8C9-1C78-4596-9F6D-B72BA9B97AB3}"/>
    <cellStyle name="Normal 2 4 2 3 4 8" xfId="8995" xr:uid="{EEE25A27-4C18-4948-8341-FF27707A7A86}"/>
    <cellStyle name="Normal 2 4 2 3 4 8 2" xfId="18319" xr:uid="{1CB77A42-7843-486F-9AF5-CEEC2BD8703A}"/>
    <cellStyle name="Normal 2 4 2 3 4 8 3" xfId="27617" xr:uid="{498A07E9-D50F-47B5-8CC2-4A5F1FB8BA70}"/>
    <cellStyle name="Normal 2 4 2 3 4 9" xfId="9790" xr:uid="{28F9CF7F-66B5-4EC0-967A-7685512C658F}"/>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403D3826-A1B9-4663-89A7-57FBBE8887ED}"/>
    <cellStyle name="Normal 2 4 2 3 5 2 2 3" xfId="25858" xr:uid="{5AD1C0BB-05D6-488D-9442-3A677C91BCE0}"/>
    <cellStyle name="Normal 2 4 2 3 5 2 3" xfId="12342" xr:uid="{17FBE76B-B44E-4B6F-9546-7B4F6F1589C2}"/>
    <cellStyle name="Normal 2 4 2 3 5 2 4" xfId="21641" xr:uid="{2486523D-662B-4485-B5DD-70FB2B996FCE}"/>
    <cellStyle name="Normal 2 4 2 3 5 3" xfId="5088" xr:uid="{00000000-0005-0000-0000-0000270F0000}"/>
    <cellStyle name="Normal 2 4 2 3 5 3 2" xfId="14414" xr:uid="{DDCF8515-7596-4C6D-9735-36E601C9862C}"/>
    <cellStyle name="Normal 2 4 2 3 5 3 3" xfId="23713" xr:uid="{2D787287-BCCB-4F28-84F7-2825928C14FE}"/>
    <cellStyle name="Normal 2 4 2 3 5 4" xfId="9212" xr:uid="{39F1BF9F-C79C-4226-B2D8-665EAA6F3686}"/>
    <cellStyle name="Normal 2 4 2 3 5 4 2" xfId="18528" xr:uid="{BE5BAC06-D7F9-4A54-AD6C-A5E7696ED237}"/>
    <cellStyle name="Normal 2 4 2 3 5 4 3" xfId="27825" xr:uid="{0C3B4ED0-408F-4329-BC91-C3CDE53D1BF3}"/>
    <cellStyle name="Normal 2 4 2 3 5 5" xfId="10197" xr:uid="{15DA1CDA-FFCB-41AA-8C3F-B3FA9485899B}"/>
    <cellStyle name="Normal 2 4 2 3 5 6" xfId="19496" xr:uid="{694EAC73-D07B-419F-A866-5FD737E007AE}"/>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D2FF07AB-3920-45BF-9637-7D31C53FA633}"/>
    <cellStyle name="Normal 2 4 2 3 6 2 2 3" xfId="26271" xr:uid="{34C2776D-0B1F-42FB-9C7E-3F2541F78F83}"/>
    <cellStyle name="Normal 2 4 2 3 6 2 3" xfId="12755" xr:uid="{804941FA-6783-4166-A2F5-AAAEAD9FA880}"/>
    <cellStyle name="Normal 2 4 2 3 6 2 4" xfId="22054" xr:uid="{E272CB4C-F12C-460C-B003-228F6981C94F}"/>
    <cellStyle name="Normal 2 4 2 3 6 3" xfId="5501" xr:uid="{00000000-0005-0000-0000-00002B0F0000}"/>
    <cellStyle name="Normal 2 4 2 3 6 3 2" xfId="14827" xr:uid="{6A658C0D-9306-49B3-B6A9-D5DE7EB8249D}"/>
    <cellStyle name="Normal 2 4 2 3 6 3 3" xfId="24126" xr:uid="{640101DB-9881-4447-9129-91C0DBEFEBFF}"/>
    <cellStyle name="Normal 2 4 2 3 6 4" xfId="10610" xr:uid="{04836195-2DED-44A3-BF7C-95C0CBC218E1}"/>
    <cellStyle name="Normal 2 4 2 3 6 5" xfId="19909" xr:uid="{AB4547A8-0953-4B9C-A968-E1DC0FFD00BF}"/>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2C11849E-6657-4E82-B1B9-F7229BB55BF2}"/>
    <cellStyle name="Normal 2 4 2 3 7 2 2 3" xfId="26684" xr:uid="{6B9E80C5-5554-4C76-B903-651E54A03285}"/>
    <cellStyle name="Normal 2 4 2 3 7 2 3" xfId="13168" xr:uid="{DDBFA154-D34F-4C8B-B72A-E3B46B4C0E79}"/>
    <cellStyle name="Normal 2 4 2 3 7 2 4" xfId="22467" xr:uid="{544398AA-41E0-40CB-A647-5EA57E086778}"/>
    <cellStyle name="Normal 2 4 2 3 7 3" xfId="5914" xr:uid="{00000000-0005-0000-0000-00002F0F0000}"/>
    <cellStyle name="Normal 2 4 2 3 7 3 2" xfId="15240" xr:uid="{8D786A6B-65B1-4AAB-AF7C-80E56C572827}"/>
    <cellStyle name="Normal 2 4 2 3 7 3 3" xfId="24539" xr:uid="{E09DF8AA-A241-4AB2-9655-A76BCED3F960}"/>
    <cellStyle name="Normal 2 4 2 3 7 4" xfId="11023" xr:uid="{C3E1413F-240D-4C50-B2E4-219731B9920A}"/>
    <cellStyle name="Normal 2 4 2 3 7 5" xfId="20322" xr:uid="{7C95B627-280D-437F-95C4-4F24D1D2EC8E}"/>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4ADEADA3-1A11-4717-872C-72025CDD5958}"/>
    <cellStyle name="Normal 2 4 2 3 8 2 2 3" xfId="27097" xr:uid="{37E58DF4-8D73-4B49-AC19-601B80DAAA47}"/>
    <cellStyle name="Normal 2 4 2 3 8 2 3" xfId="13581" xr:uid="{873429B6-1C78-48A9-AA9C-1C80F25EEDCC}"/>
    <cellStyle name="Normal 2 4 2 3 8 2 4" xfId="22880" xr:uid="{64FFEA76-F6D6-4FB6-ADDD-EE0F1188B11B}"/>
    <cellStyle name="Normal 2 4 2 3 8 3" xfId="6327" xr:uid="{00000000-0005-0000-0000-0000330F0000}"/>
    <cellStyle name="Normal 2 4 2 3 8 3 2" xfId="15653" xr:uid="{695B6F41-EF43-42F1-955B-0E02B2FB4C0F}"/>
    <cellStyle name="Normal 2 4 2 3 8 3 3" xfId="24952" xr:uid="{FAFBAA81-E998-459D-953A-6E4382F60B23}"/>
    <cellStyle name="Normal 2 4 2 3 8 4" xfId="11436" xr:uid="{A3192D71-91B7-4EC0-8B6A-FC36B5A1E238}"/>
    <cellStyle name="Normal 2 4 2 3 8 5" xfId="20735" xr:uid="{14736E40-DF24-4969-8C83-6DD000BC8035}"/>
    <cellStyle name="Normal 2 4 2 3 9" xfId="2457" xr:uid="{00000000-0005-0000-0000-0000340F0000}"/>
    <cellStyle name="Normal 2 4 2 3 9 2" xfId="6740" xr:uid="{00000000-0005-0000-0000-0000350F0000}"/>
    <cellStyle name="Normal 2 4 2 3 9 2 2" xfId="16066" xr:uid="{7E202C44-7110-4A1C-B829-63F526E31524}"/>
    <cellStyle name="Normal 2 4 2 3 9 2 3" xfId="25365" xr:uid="{AB59D261-A38A-40F1-B92A-9BE1BFFF5E36}"/>
    <cellStyle name="Normal 2 4 2 3 9 3" xfId="11849" xr:uid="{A772F6E9-35B9-4AEA-8F9E-FC8EB1326046}"/>
    <cellStyle name="Normal 2 4 2 3 9 4" xfId="21148" xr:uid="{F63D8C8D-AAB3-4BD7-8C7C-CB5793D4357D}"/>
    <cellStyle name="Normal 2 4 2 4" xfId="289" xr:uid="{00000000-0005-0000-0000-0000360F0000}"/>
    <cellStyle name="Normal 2 4 2 4 10" xfId="8812" xr:uid="{C2E08BA7-2068-4F74-AFE2-E0AED0B82FE2}"/>
    <cellStyle name="Normal 2 4 2 4 10 2" xfId="18136" xr:uid="{C6B2107F-6F41-421D-8D2A-DB7D5A48CE14}"/>
    <cellStyle name="Normal 2 4 2 4 10 3" xfId="27434" xr:uid="{CA10BBBD-697D-487E-AF68-4312AAA4433F}"/>
    <cellStyle name="Normal 2 4 2 4 11" xfId="9791" xr:uid="{DCD64DE1-BEA0-4B9A-B9C2-90274A809755}"/>
    <cellStyle name="Normal 2 4 2 4 12" xfId="19090" xr:uid="{A7C72359-A3F3-4EA6-ADFE-A724ABF600CB}"/>
    <cellStyle name="Normal 2 4 2 4 2" xfId="290" xr:uid="{00000000-0005-0000-0000-0000370F0000}"/>
    <cellStyle name="Normal 2 4 2 4 2 10" xfId="9792" xr:uid="{480B9A59-4B3E-4A83-927F-462AB30E217B}"/>
    <cellStyle name="Normal 2 4 2 4 2 11" xfId="19091" xr:uid="{BF717393-997B-4B48-A9A1-3E9038D39454}"/>
    <cellStyle name="Normal 2 4 2 4 2 2" xfId="291" xr:uid="{00000000-0005-0000-0000-0000380F0000}"/>
    <cellStyle name="Normal 2 4 2 4 2 2 10" xfId="19092" xr:uid="{51F0C1C9-7740-4EDB-82DE-8287A537BFDD}"/>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6617B736-3B69-42E8-BD2B-5D37DF288917}"/>
    <cellStyle name="Normal 2 4 2 4 2 2 2 2 2 3" xfId="25868" xr:uid="{BCAB77C9-851B-46B5-9097-5EB2006431B2}"/>
    <cellStyle name="Normal 2 4 2 4 2 2 2 2 3" xfId="12352" xr:uid="{4191390C-5CA1-4DD6-85B4-4FCD155651E6}"/>
    <cellStyle name="Normal 2 4 2 4 2 2 2 2 4" xfId="21651" xr:uid="{A63F9EA5-E823-4122-812E-2FFEE2CA8158}"/>
    <cellStyle name="Normal 2 4 2 4 2 2 2 3" xfId="5098" xr:uid="{00000000-0005-0000-0000-00003C0F0000}"/>
    <cellStyle name="Normal 2 4 2 4 2 2 2 3 2" xfId="14424" xr:uid="{5332A6CC-53EC-4CAC-9EF7-8DE042D2BA63}"/>
    <cellStyle name="Normal 2 4 2 4 2 2 2 3 3" xfId="23723" xr:uid="{A968FD06-030F-48A8-A985-D339A7750ABB}"/>
    <cellStyle name="Normal 2 4 2 4 2 2 2 4" xfId="9547" xr:uid="{F8909421-8B16-4168-8B85-A5523C430C3C}"/>
    <cellStyle name="Normal 2 4 2 4 2 2 2 4 2" xfId="18862" xr:uid="{2AB69407-0A8D-4E16-8094-0745FDF5AA8E}"/>
    <cellStyle name="Normal 2 4 2 4 2 2 2 4 3" xfId="28159" xr:uid="{791883C3-1C68-4B25-A427-12F07E4304AF}"/>
    <cellStyle name="Normal 2 4 2 4 2 2 2 5" xfId="10207" xr:uid="{6D16323B-F7D5-49F9-83DE-393E1EB8D036}"/>
    <cellStyle name="Normal 2 4 2 4 2 2 2 6" xfId="19506" xr:uid="{9D7DD5D4-291D-4AF6-A434-B48DB24B45AB}"/>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64116719-45A1-4589-81E0-F34054E3E857}"/>
    <cellStyle name="Normal 2 4 2 4 2 2 3 2 2 3" xfId="26281" xr:uid="{E039BB84-1C12-4E67-B361-F2C39C5BFBB0}"/>
    <cellStyle name="Normal 2 4 2 4 2 2 3 2 3" xfId="12765" xr:uid="{D6E5817C-B6F8-4739-8C64-A23E66630F47}"/>
    <cellStyle name="Normal 2 4 2 4 2 2 3 2 4" xfId="22064" xr:uid="{B1705068-E5A5-4AF5-939F-959C27A59B8C}"/>
    <cellStyle name="Normal 2 4 2 4 2 2 3 3" xfId="5511" xr:uid="{00000000-0005-0000-0000-0000400F0000}"/>
    <cellStyle name="Normal 2 4 2 4 2 2 3 3 2" xfId="14837" xr:uid="{FF5C2C2B-8159-4E00-BD7D-E876CF69EF95}"/>
    <cellStyle name="Normal 2 4 2 4 2 2 3 3 3" xfId="24136" xr:uid="{1CA8B606-AA71-4035-A553-DD4CA02DB77A}"/>
    <cellStyle name="Normal 2 4 2 4 2 2 3 4" xfId="10620" xr:uid="{95545B68-89E4-4B14-9D8B-D724EA2501A5}"/>
    <cellStyle name="Normal 2 4 2 4 2 2 3 5" xfId="19919" xr:uid="{887DF09D-AA69-47BA-AEF8-1D6E307E7602}"/>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73E2BE6D-A1DC-4CA0-A9CE-C2C47DD36E81}"/>
    <cellStyle name="Normal 2 4 2 4 2 2 4 2 2 3" xfId="26694" xr:uid="{B6328EA1-942F-4C61-A768-F601016597DC}"/>
    <cellStyle name="Normal 2 4 2 4 2 2 4 2 3" xfId="13178" xr:uid="{7F5DCFFB-F0E3-4DF3-BAA8-B5D77031E8C8}"/>
    <cellStyle name="Normal 2 4 2 4 2 2 4 2 4" xfId="22477" xr:uid="{86D9C597-6AC3-4D5F-9B85-4CF64100F6BC}"/>
    <cellStyle name="Normal 2 4 2 4 2 2 4 3" xfId="5924" xr:uid="{00000000-0005-0000-0000-0000440F0000}"/>
    <cellStyle name="Normal 2 4 2 4 2 2 4 3 2" xfId="15250" xr:uid="{30F48794-07BD-4E1E-A02B-B0C2E00DF076}"/>
    <cellStyle name="Normal 2 4 2 4 2 2 4 3 3" xfId="24549" xr:uid="{02F3E8BE-AB84-4F19-8249-6A3A45141FF3}"/>
    <cellStyle name="Normal 2 4 2 4 2 2 4 4" xfId="11033" xr:uid="{80824673-3826-444B-9B89-0F0AE7343CD1}"/>
    <cellStyle name="Normal 2 4 2 4 2 2 4 5" xfId="20332" xr:uid="{9A4A1BF3-2DDB-4897-BF4B-EF956775E79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75E7737F-78BD-4F0E-81EC-A6241F91D56F}"/>
    <cellStyle name="Normal 2 4 2 4 2 2 5 2 2 3" xfId="27107" xr:uid="{462070E3-89D2-4650-B280-829EBB00D2C1}"/>
    <cellStyle name="Normal 2 4 2 4 2 2 5 2 3" xfId="13591" xr:uid="{6CC1258C-5118-461B-BA5E-B96AF74A0E29}"/>
    <cellStyle name="Normal 2 4 2 4 2 2 5 2 4" xfId="22890" xr:uid="{2751B64E-CC4C-44AA-886F-E972F69AB2F5}"/>
    <cellStyle name="Normal 2 4 2 4 2 2 5 3" xfId="6337" xr:uid="{00000000-0005-0000-0000-0000480F0000}"/>
    <cellStyle name="Normal 2 4 2 4 2 2 5 3 2" xfId="15663" xr:uid="{DF1A1932-51A9-499C-94FA-E2A81A7FB84B}"/>
    <cellStyle name="Normal 2 4 2 4 2 2 5 3 3" xfId="24962" xr:uid="{082CD585-A0A0-4DB0-9746-EAC98249B06A}"/>
    <cellStyle name="Normal 2 4 2 4 2 2 5 4" xfId="11446" xr:uid="{0F0C5B77-9CC6-43B1-AD34-B69BDBD2E7DD}"/>
    <cellStyle name="Normal 2 4 2 4 2 2 5 5" xfId="20745" xr:uid="{C7A2472B-EF8A-409E-B9B7-0C8AA7E40324}"/>
    <cellStyle name="Normal 2 4 2 4 2 2 6" xfId="2467" xr:uid="{00000000-0005-0000-0000-0000490F0000}"/>
    <cellStyle name="Normal 2 4 2 4 2 2 6 2" xfId="6750" xr:uid="{00000000-0005-0000-0000-00004A0F0000}"/>
    <cellStyle name="Normal 2 4 2 4 2 2 6 2 2" xfId="16076" xr:uid="{D57D1667-E4BF-4E24-B1C4-62A5A9F81DB3}"/>
    <cellStyle name="Normal 2 4 2 4 2 2 6 2 3" xfId="25375" xr:uid="{FFDD24AB-2ED0-4C2A-AFDF-36863859A2C5}"/>
    <cellStyle name="Normal 2 4 2 4 2 2 6 3" xfId="11859" xr:uid="{35156FF3-7A03-4789-B92C-189606ADF43E}"/>
    <cellStyle name="Normal 2 4 2 4 2 2 6 4" xfId="21158" xr:uid="{8ED39B78-64FB-4AD0-ABE2-B2E89E4FB804}"/>
    <cellStyle name="Normal 2 4 2 4 2 2 7" xfId="4684" xr:uid="{00000000-0005-0000-0000-00004B0F0000}"/>
    <cellStyle name="Normal 2 4 2 4 2 2 7 2" xfId="14010" xr:uid="{72DFFED3-F03E-4894-877D-6DA2DCC6A82B}"/>
    <cellStyle name="Normal 2 4 2 4 2 2 7 3" xfId="23309" xr:uid="{042AC74D-9B4B-4DAB-B8BC-60E02F8ED24B}"/>
    <cellStyle name="Normal 2 4 2 4 2 2 8" xfId="9122" xr:uid="{861CB008-611F-4F3F-9D09-5BCA5A4CB255}"/>
    <cellStyle name="Normal 2 4 2 4 2 2 8 2" xfId="18446" xr:uid="{38FF006D-CFAA-4258-BDC0-06DF4FBB6C14}"/>
    <cellStyle name="Normal 2 4 2 4 2 2 8 3" xfId="27744" xr:uid="{52B8FE04-EF3B-4015-8176-7F576285778F}"/>
    <cellStyle name="Normal 2 4 2 4 2 2 9" xfId="9793" xr:uid="{2E48479C-E74A-4BAD-95A0-BCD4FAE05134}"/>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7A79FA5E-55BD-403C-B3F1-206A3D04EFB9}"/>
    <cellStyle name="Normal 2 4 2 4 2 3 2 2 3" xfId="25867" xr:uid="{C157C635-6267-40B3-9E90-DC45DF1FF2B8}"/>
    <cellStyle name="Normal 2 4 2 4 2 3 2 3" xfId="12351" xr:uid="{8179F046-4A6B-4CE8-A867-6494413B2BBA}"/>
    <cellStyle name="Normal 2 4 2 4 2 3 2 4" xfId="21650" xr:uid="{AA3CE9C3-B540-480F-8F55-F1973B397DDD}"/>
    <cellStyle name="Normal 2 4 2 4 2 3 3" xfId="5097" xr:uid="{00000000-0005-0000-0000-00004F0F0000}"/>
    <cellStyle name="Normal 2 4 2 4 2 3 3 2" xfId="14423" xr:uid="{9A746E1F-A0FE-4C42-92ED-1A3F34929D63}"/>
    <cellStyle name="Normal 2 4 2 4 2 3 3 3" xfId="23722" xr:uid="{17DC973F-2493-4889-8D43-6FFA34207BF4}"/>
    <cellStyle name="Normal 2 4 2 4 2 3 4" xfId="9340" xr:uid="{2D1F2F91-F6E8-42AC-98D0-B8667E0ECE37}"/>
    <cellStyle name="Normal 2 4 2 4 2 3 4 2" xfId="18655" xr:uid="{1D530C80-7B7D-4315-9749-B5D09F04DB7F}"/>
    <cellStyle name="Normal 2 4 2 4 2 3 4 3" xfId="27952" xr:uid="{0BB45939-0021-456B-8B11-2C3FD6953533}"/>
    <cellStyle name="Normal 2 4 2 4 2 3 5" xfId="10206" xr:uid="{CFD94E99-BC71-4A0A-957E-9573B5628E69}"/>
    <cellStyle name="Normal 2 4 2 4 2 3 6" xfId="19505" xr:uid="{2AE2820B-6AE1-4599-AD37-29C4B8A83039}"/>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5F0EF63B-7CD6-4E2A-9A63-3BDCB5DA393C}"/>
    <cellStyle name="Normal 2 4 2 4 2 4 2 2 3" xfId="26280" xr:uid="{E29C76F2-CC0A-40CA-A9F9-4E5300347E6F}"/>
    <cellStyle name="Normal 2 4 2 4 2 4 2 3" xfId="12764" xr:uid="{ECEC76B3-27C6-4293-89F5-BC4567E62CD4}"/>
    <cellStyle name="Normal 2 4 2 4 2 4 2 4" xfId="22063" xr:uid="{F4FD722A-90C7-4C51-B819-5455321F2F39}"/>
    <cellStyle name="Normal 2 4 2 4 2 4 3" xfId="5510" xr:uid="{00000000-0005-0000-0000-0000530F0000}"/>
    <cellStyle name="Normal 2 4 2 4 2 4 3 2" xfId="14836" xr:uid="{840A4AD4-DFB6-469F-B7C2-0D44642CB800}"/>
    <cellStyle name="Normal 2 4 2 4 2 4 3 3" xfId="24135" xr:uid="{A338ABD6-9D90-4573-8C7C-0A65FD662E72}"/>
    <cellStyle name="Normal 2 4 2 4 2 4 4" xfId="10619" xr:uid="{3745DC3C-8ACA-43F6-96CD-E1DA4052631B}"/>
    <cellStyle name="Normal 2 4 2 4 2 4 5" xfId="19918" xr:uid="{B6DB90D2-2148-4B49-AF6F-90D83D361DFB}"/>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C03E1E0C-FAB6-4DB3-AAB6-35DDCA878F26}"/>
    <cellStyle name="Normal 2 4 2 4 2 5 2 2 3" xfId="26693" xr:uid="{0E340852-F929-4003-BC2F-0A693BF53D9D}"/>
    <cellStyle name="Normal 2 4 2 4 2 5 2 3" xfId="13177" xr:uid="{6ECED2A6-7EDF-4EC4-8EBE-0B1105DBA1C7}"/>
    <cellStyle name="Normal 2 4 2 4 2 5 2 4" xfId="22476" xr:uid="{4C0E5151-BEF7-450B-9DEB-75AED29A35AB}"/>
    <cellStyle name="Normal 2 4 2 4 2 5 3" xfId="5923" xr:uid="{00000000-0005-0000-0000-0000570F0000}"/>
    <cellStyle name="Normal 2 4 2 4 2 5 3 2" xfId="15249" xr:uid="{5CB5CCC9-4B5C-4E6B-B400-99A4FC169630}"/>
    <cellStyle name="Normal 2 4 2 4 2 5 3 3" xfId="24548" xr:uid="{30466C8D-C29B-4A99-BE2E-D047FDD16F9B}"/>
    <cellStyle name="Normal 2 4 2 4 2 5 4" xfId="11032" xr:uid="{F35C5FEA-2B9F-4FD9-A982-ACB08D5C955A}"/>
    <cellStyle name="Normal 2 4 2 4 2 5 5" xfId="20331" xr:uid="{4133D2CF-777C-4FE1-ACFE-27DB6AA5722F}"/>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7FEE05EC-8378-49BC-BDF5-4FB7100BED93}"/>
    <cellStyle name="Normal 2 4 2 4 2 6 2 2 3" xfId="27106" xr:uid="{7EE4D552-F06C-4C3C-84C0-76215D1D70B2}"/>
    <cellStyle name="Normal 2 4 2 4 2 6 2 3" xfId="13590" xr:uid="{4909448D-9A1A-4D52-9698-5F6FD1BE59C3}"/>
    <cellStyle name="Normal 2 4 2 4 2 6 2 4" xfId="22889" xr:uid="{487BB494-5D8E-4E2B-BA61-F10010A9E685}"/>
    <cellStyle name="Normal 2 4 2 4 2 6 3" xfId="6336" xr:uid="{00000000-0005-0000-0000-00005B0F0000}"/>
    <cellStyle name="Normal 2 4 2 4 2 6 3 2" xfId="15662" xr:uid="{8ABC28EB-7AB1-464D-8DB8-564754514B03}"/>
    <cellStyle name="Normal 2 4 2 4 2 6 3 3" xfId="24961" xr:uid="{7D7B1B1D-BA06-4FE4-BE64-C630AFC8F896}"/>
    <cellStyle name="Normal 2 4 2 4 2 6 4" xfId="11445" xr:uid="{B51DE329-913E-4437-8A74-930387CCE3DD}"/>
    <cellStyle name="Normal 2 4 2 4 2 6 5" xfId="20744" xr:uid="{ADA36643-32E9-4DEA-BF8C-166352A43330}"/>
    <cellStyle name="Normal 2 4 2 4 2 7" xfId="2466" xr:uid="{00000000-0005-0000-0000-00005C0F0000}"/>
    <cellStyle name="Normal 2 4 2 4 2 7 2" xfId="6749" xr:uid="{00000000-0005-0000-0000-00005D0F0000}"/>
    <cellStyle name="Normal 2 4 2 4 2 7 2 2" xfId="16075" xr:uid="{657482CE-03FA-48F1-866C-A3FBF22F8938}"/>
    <cellStyle name="Normal 2 4 2 4 2 7 2 3" xfId="25374" xr:uid="{1628A7FB-EC10-41E1-9928-B21A2B6513AC}"/>
    <cellStyle name="Normal 2 4 2 4 2 7 3" xfId="11858" xr:uid="{A6B01E47-F375-46E6-BD42-B5DB17EDE1CD}"/>
    <cellStyle name="Normal 2 4 2 4 2 7 4" xfId="21157" xr:uid="{0E920E8C-CBFC-405E-8BC1-2C95485EA1E4}"/>
    <cellStyle name="Normal 2 4 2 4 2 8" xfId="4683" xr:uid="{00000000-0005-0000-0000-00005E0F0000}"/>
    <cellStyle name="Normal 2 4 2 4 2 8 2" xfId="14009" xr:uid="{B5AA87E1-E3D6-4340-9D24-72380CFB87D6}"/>
    <cellStyle name="Normal 2 4 2 4 2 8 3" xfId="23308" xr:uid="{C1893E9C-E687-4413-B88C-B921ED549A1E}"/>
    <cellStyle name="Normal 2 4 2 4 2 9" xfId="8915" xr:uid="{2BEB15AA-2AFA-47D4-AC0E-63DAF2CFE119}"/>
    <cellStyle name="Normal 2 4 2 4 2 9 2" xfId="18239" xr:uid="{4F4865FF-28A1-49C5-BD63-9EBCBEA18118}"/>
    <cellStyle name="Normal 2 4 2 4 2 9 3" xfId="27537" xr:uid="{58517FEE-C2F2-4E71-AB56-FC431F216FBC}"/>
    <cellStyle name="Normal 2 4 2 4 3" xfId="292" xr:uid="{00000000-0005-0000-0000-00005F0F0000}"/>
    <cellStyle name="Normal 2 4 2 4 3 10" xfId="19093" xr:uid="{C0ACD3AB-31DA-4246-98FB-C6C9D0F62F6E}"/>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91D400DB-698D-45B0-821C-749E89650685}"/>
    <cellStyle name="Normal 2 4 2 4 3 2 2 2 3" xfId="25869" xr:uid="{045A610F-F9F1-4260-B652-8343010F4249}"/>
    <cellStyle name="Normal 2 4 2 4 3 2 2 3" xfId="12353" xr:uid="{E7B4C061-7EE4-4B69-84EB-FE1CCEEE90C0}"/>
    <cellStyle name="Normal 2 4 2 4 3 2 2 4" xfId="21652" xr:uid="{F16E105C-6616-4286-8A38-3636BC62BC50}"/>
    <cellStyle name="Normal 2 4 2 4 3 2 3" xfId="5099" xr:uid="{00000000-0005-0000-0000-0000630F0000}"/>
    <cellStyle name="Normal 2 4 2 4 3 2 3 2" xfId="14425" xr:uid="{62C37FB6-2CB6-4119-B649-D824C7F5A0E1}"/>
    <cellStyle name="Normal 2 4 2 4 3 2 3 3" xfId="23724" xr:uid="{60CFCF43-A5FC-43E0-966F-93E768FB5811}"/>
    <cellStyle name="Normal 2 4 2 4 3 2 4" xfId="9444" xr:uid="{807939DF-E7C0-4015-A3D8-AE9E56020172}"/>
    <cellStyle name="Normal 2 4 2 4 3 2 4 2" xfId="18759" xr:uid="{E5604FDD-2839-48A6-BD53-225AA649B54A}"/>
    <cellStyle name="Normal 2 4 2 4 3 2 4 3" xfId="28056" xr:uid="{65DBB6B8-7526-4244-A784-E88F81252E54}"/>
    <cellStyle name="Normal 2 4 2 4 3 2 5" xfId="10208" xr:uid="{34FBCA4E-8EC3-43D3-801A-332F5CFF8402}"/>
    <cellStyle name="Normal 2 4 2 4 3 2 6" xfId="19507" xr:uid="{8FE04FE4-41DE-4EC5-8AD9-A57FAEC2E21C}"/>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7C122148-4210-47C8-87E2-7C4ADA19CA86}"/>
    <cellStyle name="Normal 2 4 2 4 3 3 2 2 3" xfId="26282" xr:uid="{893537E6-E161-4DF9-B68C-AF89C8088440}"/>
    <cellStyle name="Normal 2 4 2 4 3 3 2 3" xfId="12766" xr:uid="{6E2CC79A-0785-4791-89DB-2AF27856F44E}"/>
    <cellStyle name="Normal 2 4 2 4 3 3 2 4" xfId="22065" xr:uid="{6C40DFD6-C3FD-4481-AA3C-CADB75C1A711}"/>
    <cellStyle name="Normal 2 4 2 4 3 3 3" xfId="5512" xr:uid="{00000000-0005-0000-0000-0000670F0000}"/>
    <cellStyle name="Normal 2 4 2 4 3 3 3 2" xfId="14838" xr:uid="{B476C9E1-BC04-41C2-9F25-4F5279C49AB4}"/>
    <cellStyle name="Normal 2 4 2 4 3 3 3 3" xfId="24137" xr:uid="{C28B52E9-5A52-44AD-841E-350D2F76D5F2}"/>
    <cellStyle name="Normal 2 4 2 4 3 3 4" xfId="10621" xr:uid="{FF368CFA-9B34-47A8-815D-CC381D5C1FE4}"/>
    <cellStyle name="Normal 2 4 2 4 3 3 5" xfId="19920" xr:uid="{387C9D49-A4C2-47C3-BE9A-4E48A0529A1F}"/>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5C000B20-7A54-4177-A683-EDE3D8ADC003}"/>
    <cellStyle name="Normal 2 4 2 4 3 4 2 2 3" xfId="26695" xr:uid="{BE2CACF3-6408-408B-934F-572D2712291C}"/>
    <cellStyle name="Normal 2 4 2 4 3 4 2 3" xfId="13179" xr:uid="{BE37192F-815F-4337-8AF0-12C1B70A3F4E}"/>
    <cellStyle name="Normal 2 4 2 4 3 4 2 4" xfId="22478" xr:uid="{16735F05-D04A-4629-B760-CD03A83E8CB1}"/>
    <cellStyle name="Normal 2 4 2 4 3 4 3" xfId="5925" xr:uid="{00000000-0005-0000-0000-00006B0F0000}"/>
    <cellStyle name="Normal 2 4 2 4 3 4 3 2" xfId="15251" xr:uid="{42091D59-2149-4E60-8955-7B395AFDCB4D}"/>
    <cellStyle name="Normal 2 4 2 4 3 4 3 3" xfId="24550" xr:uid="{1C9A069B-6350-4293-B9E5-F945F375BD5E}"/>
    <cellStyle name="Normal 2 4 2 4 3 4 4" xfId="11034" xr:uid="{E880D8AD-C19A-4E8E-B1F5-26489C8D3FCA}"/>
    <cellStyle name="Normal 2 4 2 4 3 4 5" xfId="20333" xr:uid="{D274B559-2057-4AE9-ADA6-1B11E5E957AD}"/>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CC08E5DB-F951-4AB3-9AD1-7985ED83A2D2}"/>
    <cellStyle name="Normal 2 4 2 4 3 5 2 2 3" xfId="27108" xr:uid="{BB589F50-A6F8-4A8A-ACCD-DAAF19C4DE1A}"/>
    <cellStyle name="Normal 2 4 2 4 3 5 2 3" xfId="13592" xr:uid="{77014730-DA3B-4F4D-8F5C-BE33D4D7D227}"/>
    <cellStyle name="Normal 2 4 2 4 3 5 2 4" xfId="22891" xr:uid="{2EF66025-94E6-4FEE-9266-FE0920388DF3}"/>
    <cellStyle name="Normal 2 4 2 4 3 5 3" xfId="6338" xr:uid="{00000000-0005-0000-0000-00006F0F0000}"/>
    <cellStyle name="Normal 2 4 2 4 3 5 3 2" xfId="15664" xr:uid="{96A0D355-CF82-48AA-8EEC-51A71B5F071F}"/>
    <cellStyle name="Normal 2 4 2 4 3 5 3 3" xfId="24963" xr:uid="{0F47F79E-FCEE-4F8F-8175-D361F2D7FD56}"/>
    <cellStyle name="Normal 2 4 2 4 3 5 4" xfId="11447" xr:uid="{65E39BD5-44B0-4825-BDED-5BCAE7981288}"/>
    <cellStyle name="Normal 2 4 2 4 3 5 5" xfId="20746" xr:uid="{61838807-3B5C-41C1-934D-811DF97315B7}"/>
    <cellStyle name="Normal 2 4 2 4 3 6" xfId="2468" xr:uid="{00000000-0005-0000-0000-0000700F0000}"/>
    <cellStyle name="Normal 2 4 2 4 3 6 2" xfId="6751" xr:uid="{00000000-0005-0000-0000-0000710F0000}"/>
    <cellStyle name="Normal 2 4 2 4 3 6 2 2" xfId="16077" xr:uid="{49D1CBBC-5837-49C1-9550-7D91A08629C4}"/>
    <cellStyle name="Normal 2 4 2 4 3 6 2 3" xfId="25376" xr:uid="{00E9A62E-AC00-41F3-A718-AEC2F53E69A2}"/>
    <cellStyle name="Normal 2 4 2 4 3 6 3" xfId="11860" xr:uid="{F332F3C6-67B7-4DF4-AF4F-8BF631A96FC2}"/>
    <cellStyle name="Normal 2 4 2 4 3 6 4" xfId="21159" xr:uid="{0ACB7787-DB5D-4A0B-BA06-B9B2546C3C26}"/>
    <cellStyle name="Normal 2 4 2 4 3 7" xfId="4685" xr:uid="{00000000-0005-0000-0000-0000720F0000}"/>
    <cellStyle name="Normal 2 4 2 4 3 7 2" xfId="14011" xr:uid="{39A1987D-A196-41F6-88A7-78B251D0B6C5}"/>
    <cellStyle name="Normal 2 4 2 4 3 7 3" xfId="23310" xr:uid="{6B86B364-B534-41B4-983F-69895AD89FAC}"/>
    <cellStyle name="Normal 2 4 2 4 3 8" xfId="9019" xr:uid="{1F22810F-FF7D-4FF4-861A-F2BA8F253428}"/>
    <cellStyle name="Normal 2 4 2 4 3 8 2" xfId="18343" xr:uid="{946DCC83-550E-44C6-9651-72B5446A6E40}"/>
    <cellStyle name="Normal 2 4 2 4 3 8 3" xfId="27641" xr:uid="{6EC3F696-49A8-4AF4-9021-69E54EB6061D}"/>
    <cellStyle name="Normal 2 4 2 4 3 9" xfId="9794" xr:uid="{0D8F174E-BFF9-46AE-B1DD-A2CD89B42DD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CD77F36B-31A7-4269-B947-CA59ECD51471}"/>
    <cellStyle name="Normal 2 4 2 4 4 2 2 3" xfId="25866" xr:uid="{6AD6AD17-F70E-467E-B931-76A8AC0E60C8}"/>
    <cellStyle name="Normal 2 4 2 4 4 2 3" xfId="12350" xr:uid="{638AEAB9-4481-4EAC-80E3-D959F9293EDC}"/>
    <cellStyle name="Normal 2 4 2 4 4 2 4" xfId="21649" xr:uid="{46412FCE-EF81-4460-9887-78183BDD50F9}"/>
    <cellStyle name="Normal 2 4 2 4 4 3" xfId="5096" xr:uid="{00000000-0005-0000-0000-0000760F0000}"/>
    <cellStyle name="Normal 2 4 2 4 4 3 2" xfId="14422" xr:uid="{A6F0F5E9-F72C-4CDB-8F75-3EFBC829BCED}"/>
    <cellStyle name="Normal 2 4 2 4 4 3 3" xfId="23721" xr:uid="{A3A58A8A-5844-4837-A7B8-D5FB453E001B}"/>
    <cellStyle name="Normal 2 4 2 4 4 4" xfId="9237" xr:uid="{FF4B133D-A40B-4895-9E3D-E727B18E66C8}"/>
    <cellStyle name="Normal 2 4 2 4 4 4 2" xfId="18552" xr:uid="{D70DFF4C-6CA9-4C4A-9060-345E97450FE3}"/>
    <cellStyle name="Normal 2 4 2 4 4 4 3" xfId="27849" xr:uid="{2FB6DAC2-6AB3-4E20-A252-6506FF75DF22}"/>
    <cellStyle name="Normal 2 4 2 4 4 5" xfId="10205" xr:uid="{029C591D-12FF-4AE8-890C-D25332170D9F}"/>
    <cellStyle name="Normal 2 4 2 4 4 6" xfId="19504" xr:uid="{E0D1020F-B062-479E-BB90-02E68A5E930E}"/>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EFFE144D-7E70-4530-BB52-D8A807467BC0}"/>
    <cellStyle name="Normal 2 4 2 4 5 2 2 3" xfId="26279" xr:uid="{9EAD6242-DC90-4EA1-912D-4D549E889475}"/>
    <cellStyle name="Normal 2 4 2 4 5 2 3" xfId="12763" xr:uid="{BD5B6EFA-B848-47B2-8ED3-0F05C23C1C6F}"/>
    <cellStyle name="Normal 2 4 2 4 5 2 4" xfId="22062" xr:uid="{9F79D62D-61FE-4DFA-969F-8F1B0C58B143}"/>
    <cellStyle name="Normal 2 4 2 4 5 3" xfId="5509" xr:uid="{00000000-0005-0000-0000-00007A0F0000}"/>
    <cellStyle name="Normal 2 4 2 4 5 3 2" xfId="14835" xr:uid="{90B3D59B-4CE7-4BFD-B503-C69CB547E95D}"/>
    <cellStyle name="Normal 2 4 2 4 5 3 3" xfId="24134" xr:uid="{C11918BB-30EB-420D-B448-9AC0C010BF32}"/>
    <cellStyle name="Normal 2 4 2 4 5 4" xfId="10618" xr:uid="{079BD3B4-E33A-4410-BF11-992B4558D3A2}"/>
    <cellStyle name="Normal 2 4 2 4 5 5" xfId="19917" xr:uid="{C31A98B9-AC16-422E-81FB-15E9A8CD9DE4}"/>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4B1ACAEA-8E19-4557-9B99-BA9F1B30638D}"/>
    <cellStyle name="Normal 2 4 2 4 6 2 2 3" xfId="26692" xr:uid="{096B51CD-CC65-4ECA-84B5-DC090BE777AC}"/>
    <cellStyle name="Normal 2 4 2 4 6 2 3" xfId="13176" xr:uid="{09690C9D-AD16-4F95-87B0-9766BE483ABF}"/>
    <cellStyle name="Normal 2 4 2 4 6 2 4" xfId="22475" xr:uid="{6779334B-B1FD-47D1-8536-795B22D965DB}"/>
    <cellStyle name="Normal 2 4 2 4 6 3" xfId="5922" xr:uid="{00000000-0005-0000-0000-00007E0F0000}"/>
    <cellStyle name="Normal 2 4 2 4 6 3 2" xfId="15248" xr:uid="{FF889FE0-F173-4336-96DF-A9FBAF633302}"/>
    <cellStyle name="Normal 2 4 2 4 6 3 3" xfId="24547" xr:uid="{FD158070-FDF6-4A27-B631-4C6866D2CF73}"/>
    <cellStyle name="Normal 2 4 2 4 6 4" xfId="11031" xr:uid="{70A4E09F-C233-4DD5-990B-0692AFD9902E}"/>
    <cellStyle name="Normal 2 4 2 4 6 5" xfId="20330" xr:uid="{AF925187-DCC0-48FE-AEA4-962E4357F9FA}"/>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3994154E-05F8-4437-BEAB-2C7702536110}"/>
    <cellStyle name="Normal 2 4 2 4 7 2 2 3" xfId="27105" xr:uid="{5FCF8E16-E500-456C-BBB2-0A37FCD252E5}"/>
    <cellStyle name="Normal 2 4 2 4 7 2 3" xfId="13589" xr:uid="{68614A3B-269A-4711-A47F-4A89B66E5865}"/>
    <cellStyle name="Normal 2 4 2 4 7 2 4" xfId="22888" xr:uid="{DFD581E9-437D-41A5-8677-B1C112D07EFF}"/>
    <cellStyle name="Normal 2 4 2 4 7 3" xfId="6335" xr:uid="{00000000-0005-0000-0000-0000820F0000}"/>
    <cellStyle name="Normal 2 4 2 4 7 3 2" xfId="15661" xr:uid="{9ED4D9E8-CF2E-49A6-BF77-A88EE0787F78}"/>
    <cellStyle name="Normal 2 4 2 4 7 3 3" xfId="24960" xr:uid="{B1456743-D438-4D81-A9BF-34140DB1332E}"/>
    <cellStyle name="Normal 2 4 2 4 7 4" xfId="11444" xr:uid="{FDB1FC60-F70D-4FEF-8858-37DD2CBAE957}"/>
    <cellStyle name="Normal 2 4 2 4 7 5" xfId="20743" xr:uid="{30E8E420-6D9A-4B31-8EFD-498D89E9AB83}"/>
    <cellStyle name="Normal 2 4 2 4 8" xfId="2465" xr:uid="{00000000-0005-0000-0000-0000830F0000}"/>
    <cellStyle name="Normal 2 4 2 4 8 2" xfId="6748" xr:uid="{00000000-0005-0000-0000-0000840F0000}"/>
    <cellStyle name="Normal 2 4 2 4 8 2 2" xfId="16074" xr:uid="{F2968312-3800-47A7-8085-91656812C3EE}"/>
    <cellStyle name="Normal 2 4 2 4 8 2 3" xfId="25373" xr:uid="{27DABCDE-A2EF-46FF-9022-E7CF22455135}"/>
    <cellStyle name="Normal 2 4 2 4 8 3" xfId="11857" xr:uid="{60553D62-E0F5-4599-A492-44A1C18C796B}"/>
    <cellStyle name="Normal 2 4 2 4 8 4" xfId="21156" xr:uid="{A4813E80-C371-4898-9767-1BCF0149486A}"/>
    <cellStyle name="Normal 2 4 2 4 9" xfId="4682" xr:uid="{00000000-0005-0000-0000-0000850F0000}"/>
    <cellStyle name="Normal 2 4 2 4 9 2" xfId="14008" xr:uid="{A818C056-9C16-4463-9AFE-28CF5D3DA59A}"/>
    <cellStyle name="Normal 2 4 2 4 9 3" xfId="23307" xr:uid="{F2C2815F-828A-4B7D-8814-C7E584C5EEDC}"/>
    <cellStyle name="Normal 2 4 2 5" xfId="293" xr:uid="{00000000-0005-0000-0000-0000860F0000}"/>
    <cellStyle name="Normal 2 4 2 5 10" xfId="9795" xr:uid="{58368EC7-5DA8-424B-B8D4-B0D36F836024}"/>
    <cellStyle name="Normal 2 4 2 5 11" xfId="19094" xr:uid="{4187ECA7-3EFA-49BD-8129-5B1F4EE81B49}"/>
    <cellStyle name="Normal 2 4 2 5 2" xfId="294" xr:uid="{00000000-0005-0000-0000-0000870F0000}"/>
    <cellStyle name="Normal 2 4 2 5 2 10" xfId="19095" xr:uid="{5D914C7C-9E17-4D4E-A49A-AE2BECAF67E4}"/>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8F702019-37EE-4FDD-A13E-C12CAE1B092D}"/>
    <cellStyle name="Normal 2 4 2 5 2 2 2 2 3" xfId="25871" xr:uid="{611BD8D2-A096-4DF4-9DBA-B989809539B9}"/>
    <cellStyle name="Normal 2 4 2 5 2 2 2 3" xfId="12355" xr:uid="{D8D55211-C45F-4EDC-B339-7CEB0CF7AA74}"/>
    <cellStyle name="Normal 2 4 2 5 2 2 2 4" xfId="21654" xr:uid="{01808133-9D4E-4015-A794-9DB7B7AC9AAC}"/>
    <cellStyle name="Normal 2 4 2 5 2 2 3" xfId="5101" xr:uid="{00000000-0005-0000-0000-00008B0F0000}"/>
    <cellStyle name="Normal 2 4 2 5 2 2 3 2" xfId="14427" xr:uid="{20D443FA-EBCF-4DD3-BF28-3D812715BE55}"/>
    <cellStyle name="Normal 2 4 2 5 2 2 3 3" xfId="23726" xr:uid="{2ECE0A60-D6EB-441D-A49F-8902D0A20B48}"/>
    <cellStyle name="Normal 2 4 2 5 2 2 4" xfId="9492" xr:uid="{07DC9204-2F52-408E-80EE-617A106DD9FD}"/>
    <cellStyle name="Normal 2 4 2 5 2 2 4 2" xfId="18807" xr:uid="{08F9F8F5-853A-4EC5-8FF4-55E20EF45B4A}"/>
    <cellStyle name="Normal 2 4 2 5 2 2 4 3" xfId="28104" xr:uid="{50A08AF2-87F9-4AE1-88C9-B25048D02A36}"/>
    <cellStyle name="Normal 2 4 2 5 2 2 5" xfId="10210" xr:uid="{46351653-7C8A-4CAF-BE09-DFFB617D5D77}"/>
    <cellStyle name="Normal 2 4 2 5 2 2 6" xfId="19509" xr:uid="{2E1D23D2-84C3-4332-B5E2-A2C7433AF62F}"/>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8719716E-AC7A-4E34-8A57-B390FF3F60E5}"/>
    <cellStyle name="Normal 2 4 2 5 2 3 2 2 3" xfId="26284" xr:uid="{D8A2F519-6E69-47C2-9AEA-E3B2B47E9E40}"/>
    <cellStyle name="Normal 2 4 2 5 2 3 2 3" xfId="12768" xr:uid="{52B53685-7101-46BD-812B-D897BE824787}"/>
    <cellStyle name="Normal 2 4 2 5 2 3 2 4" xfId="22067" xr:uid="{EF0B00F4-1BE1-4415-AEA8-7FD8A6E508A4}"/>
    <cellStyle name="Normal 2 4 2 5 2 3 3" xfId="5514" xr:uid="{00000000-0005-0000-0000-00008F0F0000}"/>
    <cellStyle name="Normal 2 4 2 5 2 3 3 2" xfId="14840" xr:uid="{8C389EA5-1573-41C8-A448-BF64D7FC9DCB}"/>
    <cellStyle name="Normal 2 4 2 5 2 3 3 3" xfId="24139" xr:uid="{D3AB5204-FB73-4D6F-9AEB-DC5B746E3E4C}"/>
    <cellStyle name="Normal 2 4 2 5 2 3 4" xfId="10623" xr:uid="{D4049C48-64A0-450A-8365-7FB6244D7CB7}"/>
    <cellStyle name="Normal 2 4 2 5 2 3 5" xfId="19922" xr:uid="{8320B65B-17EE-4D74-A181-394F74BF1A19}"/>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44BA1615-ABB6-485E-B885-095B4A4EEB05}"/>
    <cellStyle name="Normal 2 4 2 5 2 4 2 2 3" xfId="26697" xr:uid="{98B4D013-D9F3-4F42-945E-1974B2D3E3BC}"/>
    <cellStyle name="Normal 2 4 2 5 2 4 2 3" xfId="13181" xr:uid="{A243017C-60F2-4116-9662-041447B1E972}"/>
    <cellStyle name="Normal 2 4 2 5 2 4 2 4" xfId="22480" xr:uid="{1F9CF46C-F6CE-4818-A178-3DC0F28296E1}"/>
    <cellStyle name="Normal 2 4 2 5 2 4 3" xfId="5927" xr:uid="{00000000-0005-0000-0000-0000930F0000}"/>
    <cellStyle name="Normal 2 4 2 5 2 4 3 2" xfId="15253" xr:uid="{276412E8-BEAF-42FE-8C2C-F9890ACF80CF}"/>
    <cellStyle name="Normal 2 4 2 5 2 4 3 3" xfId="24552" xr:uid="{FF0353E8-4546-4BE8-8133-AE9F737B1F85}"/>
    <cellStyle name="Normal 2 4 2 5 2 4 4" xfId="11036" xr:uid="{0D8B83E9-409B-4E19-B553-5CC4904AEBBF}"/>
    <cellStyle name="Normal 2 4 2 5 2 4 5" xfId="20335" xr:uid="{F2075EE0-C6CE-4D15-9CEC-FF689826BC6E}"/>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4F30F181-C8A0-49DF-936B-B2BC9FD9517E}"/>
    <cellStyle name="Normal 2 4 2 5 2 5 2 2 3" xfId="27110" xr:uid="{3850F536-88CA-42E3-9D94-A19BFC9B7C9D}"/>
    <cellStyle name="Normal 2 4 2 5 2 5 2 3" xfId="13594" xr:uid="{BA53BF1B-D1DB-47B2-9792-62E2D83EAD90}"/>
    <cellStyle name="Normal 2 4 2 5 2 5 2 4" xfId="22893" xr:uid="{EF968ED4-2ECF-47E7-8B24-41B52B6BFE64}"/>
    <cellStyle name="Normal 2 4 2 5 2 5 3" xfId="6340" xr:uid="{00000000-0005-0000-0000-0000970F0000}"/>
    <cellStyle name="Normal 2 4 2 5 2 5 3 2" xfId="15666" xr:uid="{D08AD2D4-484B-41E7-8BF7-C218C20FE42C}"/>
    <cellStyle name="Normal 2 4 2 5 2 5 3 3" xfId="24965" xr:uid="{311FB017-9E64-4165-9058-63976D788FB5}"/>
    <cellStyle name="Normal 2 4 2 5 2 5 4" xfId="11449" xr:uid="{2ED91F68-ECC6-4786-9F0C-8CF3C3A28E6A}"/>
    <cellStyle name="Normal 2 4 2 5 2 5 5" xfId="20748" xr:uid="{497CF739-D21F-4BA2-B718-48A87F228B53}"/>
    <cellStyle name="Normal 2 4 2 5 2 6" xfId="2470" xr:uid="{00000000-0005-0000-0000-0000980F0000}"/>
    <cellStyle name="Normal 2 4 2 5 2 6 2" xfId="6753" xr:uid="{00000000-0005-0000-0000-0000990F0000}"/>
    <cellStyle name="Normal 2 4 2 5 2 6 2 2" xfId="16079" xr:uid="{489E3576-BDCF-43A5-9945-30875ABB7816}"/>
    <cellStyle name="Normal 2 4 2 5 2 6 2 3" xfId="25378" xr:uid="{E95F77D9-334F-4EAD-A31E-F0E7AB1A70F1}"/>
    <cellStyle name="Normal 2 4 2 5 2 6 3" xfId="11862" xr:uid="{E08FCBB5-FD02-44EB-9323-37BFF27793FF}"/>
    <cellStyle name="Normal 2 4 2 5 2 6 4" xfId="21161" xr:uid="{1E899484-E2E6-449B-8E1B-49E5B0CF17BE}"/>
    <cellStyle name="Normal 2 4 2 5 2 7" xfId="4687" xr:uid="{00000000-0005-0000-0000-00009A0F0000}"/>
    <cellStyle name="Normal 2 4 2 5 2 7 2" xfId="14013" xr:uid="{C0152DDC-642E-4022-B5B6-5CB50381098D}"/>
    <cellStyle name="Normal 2 4 2 5 2 7 3" xfId="23312" xr:uid="{8A025742-9691-4534-8279-6049A87FE5DC}"/>
    <cellStyle name="Normal 2 4 2 5 2 8" xfId="9067" xr:uid="{89D5CB5A-ADE0-44B8-BC1E-FDE984B579C9}"/>
    <cellStyle name="Normal 2 4 2 5 2 8 2" xfId="18391" xr:uid="{F6EB2716-7F1F-43BA-9495-60CD8AC188EE}"/>
    <cellStyle name="Normal 2 4 2 5 2 8 3" xfId="27689" xr:uid="{643B2A77-49D4-4A42-A4F4-E486277592FE}"/>
    <cellStyle name="Normal 2 4 2 5 2 9" xfId="9796" xr:uid="{F00D0DCC-FA92-4837-827D-917B1151287B}"/>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83BF8ABA-58FC-4194-9FF6-F9FC4F484977}"/>
    <cellStyle name="Normal 2 4 2 5 3 2 2 3" xfId="25870" xr:uid="{F9B47FB0-38EF-43B5-80C4-EF9AD9EEA215}"/>
    <cellStyle name="Normal 2 4 2 5 3 2 3" xfId="12354" xr:uid="{F1A3CA37-A63E-4BA8-91E3-8755D155B417}"/>
    <cellStyle name="Normal 2 4 2 5 3 2 4" xfId="21653" xr:uid="{E6E85C72-6464-439D-B31D-88CE2409FF4A}"/>
    <cellStyle name="Normal 2 4 2 5 3 3" xfId="5100" xr:uid="{00000000-0005-0000-0000-00009E0F0000}"/>
    <cellStyle name="Normal 2 4 2 5 3 3 2" xfId="14426" xr:uid="{23A091C6-2229-45AF-8C00-94FC1083E029}"/>
    <cellStyle name="Normal 2 4 2 5 3 3 3" xfId="23725" xr:uid="{F6D68C68-9848-4160-A1AE-FEC8B83158BE}"/>
    <cellStyle name="Normal 2 4 2 5 3 4" xfId="9285" xr:uid="{5DA39FB9-904E-46D3-8E24-58BF2F19DA5B}"/>
    <cellStyle name="Normal 2 4 2 5 3 4 2" xfId="18600" xr:uid="{0D672357-E825-48BE-960F-AE8446813595}"/>
    <cellStyle name="Normal 2 4 2 5 3 4 3" xfId="27897" xr:uid="{A98A535D-6962-4D98-813F-FA6C2C4480CD}"/>
    <cellStyle name="Normal 2 4 2 5 3 5" xfId="10209" xr:uid="{A569B94E-5C10-46B6-8E10-43FF6643C43E}"/>
    <cellStyle name="Normal 2 4 2 5 3 6" xfId="19508" xr:uid="{F97A0DC8-DCE8-40F7-BE3C-1987CEDF8F3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AE424F45-4A9E-4EE0-AFB8-ED40AA9457AB}"/>
    <cellStyle name="Normal 2 4 2 5 4 2 2 3" xfId="26283" xr:uid="{204D4718-0DD2-42AD-A953-76DFD064CC81}"/>
    <cellStyle name="Normal 2 4 2 5 4 2 3" xfId="12767" xr:uid="{19E79DF7-729B-4FEC-B82D-2F4B6411F8ED}"/>
    <cellStyle name="Normal 2 4 2 5 4 2 4" xfId="22066" xr:uid="{295B4EB7-EDF1-4522-9F0D-F65D01E26BDE}"/>
    <cellStyle name="Normal 2 4 2 5 4 3" xfId="5513" xr:uid="{00000000-0005-0000-0000-0000A20F0000}"/>
    <cellStyle name="Normal 2 4 2 5 4 3 2" xfId="14839" xr:uid="{9D36777C-A99F-422E-9E4D-3AF0940E576C}"/>
    <cellStyle name="Normal 2 4 2 5 4 3 3" xfId="24138" xr:uid="{B8FF5A2A-0EB2-4313-863B-08E22DF056E8}"/>
    <cellStyle name="Normal 2 4 2 5 4 4" xfId="10622" xr:uid="{C33595FA-083F-40AF-BEAD-6DD685EFE378}"/>
    <cellStyle name="Normal 2 4 2 5 4 5" xfId="19921" xr:uid="{411C58F5-74B8-45B6-9695-4772A5885549}"/>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FE44D7C6-A63F-4B71-9EE2-E41BE95E151C}"/>
    <cellStyle name="Normal 2 4 2 5 5 2 2 3" xfId="26696" xr:uid="{05CA821C-974F-4D8B-9CE5-B14865BCE7EC}"/>
    <cellStyle name="Normal 2 4 2 5 5 2 3" xfId="13180" xr:uid="{9AC12C78-73A5-4A55-A034-74C3938A1FF6}"/>
    <cellStyle name="Normal 2 4 2 5 5 2 4" xfId="22479" xr:uid="{8DE5D398-34B0-4AC3-897D-0B7383FBAB73}"/>
    <cellStyle name="Normal 2 4 2 5 5 3" xfId="5926" xr:uid="{00000000-0005-0000-0000-0000A60F0000}"/>
    <cellStyle name="Normal 2 4 2 5 5 3 2" xfId="15252" xr:uid="{31D142BC-C6EB-40B8-9A92-BBCB0BC2D114}"/>
    <cellStyle name="Normal 2 4 2 5 5 3 3" xfId="24551" xr:uid="{D1C178AE-BC1F-4C05-8D2A-0AE3E60683A6}"/>
    <cellStyle name="Normal 2 4 2 5 5 4" xfId="11035" xr:uid="{1F9973F6-0CAD-4676-AF96-2BA11F417C6F}"/>
    <cellStyle name="Normal 2 4 2 5 5 5" xfId="20334" xr:uid="{5D9ABA73-A552-4C0D-A01F-C0F675B585C9}"/>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094A4F7D-BAEB-48C1-8C84-F389D2E4AB1C}"/>
    <cellStyle name="Normal 2 4 2 5 6 2 2 3" xfId="27109" xr:uid="{34225FFE-17D3-416D-AE6E-015C68ECE358}"/>
    <cellStyle name="Normal 2 4 2 5 6 2 3" xfId="13593" xr:uid="{B626FD54-8DA1-4D9B-837D-9AC95898AE81}"/>
    <cellStyle name="Normal 2 4 2 5 6 2 4" xfId="22892" xr:uid="{F16D5435-9A59-4FF0-B8E2-544661A13166}"/>
    <cellStyle name="Normal 2 4 2 5 6 3" xfId="6339" xr:uid="{00000000-0005-0000-0000-0000AA0F0000}"/>
    <cellStyle name="Normal 2 4 2 5 6 3 2" xfId="15665" xr:uid="{2616121D-4B91-432C-A8EF-EA683A767436}"/>
    <cellStyle name="Normal 2 4 2 5 6 3 3" xfId="24964" xr:uid="{C56ADA5C-E630-417A-BFE4-7FB7C87B3231}"/>
    <cellStyle name="Normal 2 4 2 5 6 4" xfId="11448" xr:uid="{9A58A272-544F-4FE1-8412-9A17B31D3D95}"/>
    <cellStyle name="Normal 2 4 2 5 6 5" xfId="20747" xr:uid="{78814D8C-8ED2-472F-91F5-37DD7BD5B9E6}"/>
    <cellStyle name="Normal 2 4 2 5 7" xfId="2469" xr:uid="{00000000-0005-0000-0000-0000AB0F0000}"/>
    <cellStyle name="Normal 2 4 2 5 7 2" xfId="6752" xr:uid="{00000000-0005-0000-0000-0000AC0F0000}"/>
    <cellStyle name="Normal 2 4 2 5 7 2 2" xfId="16078" xr:uid="{9625E517-5896-4F96-9672-95BB0700224F}"/>
    <cellStyle name="Normal 2 4 2 5 7 2 3" xfId="25377" xr:uid="{C6B670D5-433E-4267-89B2-D892069884B8}"/>
    <cellStyle name="Normal 2 4 2 5 7 3" xfId="11861" xr:uid="{C48D79E4-B6ED-434A-A66B-3A5A5DB48784}"/>
    <cellStyle name="Normal 2 4 2 5 7 4" xfId="21160" xr:uid="{E5EA1316-3250-4F38-9F86-513CE6FBA8C4}"/>
    <cellStyle name="Normal 2 4 2 5 8" xfId="4686" xr:uid="{00000000-0005-0000-0000-0000AD0F0000}"/>
    <cellStyle name="Normal 2 4 2 5 8 2" xfId="14012" xr:uid="{55407C4C-08CE-49AA-B754-96081239B62D}"/>
    <cellStyle name="Normal 2 4 2 5 8 3" xfId="23311" xr:uid="{A9CFE83C-B3FB-4F17-871C-1810DFFBD499}"/>
    <cellStyle name="Normal 2 4 2 5 9" xfId="8860" xr:uid="{5FAFEFC0-3249-464B-9F12-2B1DA137C588}"/>
    <cellStyle name="Normal 2 4 2 5 9 2" xfId="18184" xr:uid="{EB0AD38B-0610-44DD-86EA-0175CDC98978}"/>
    <cellStyle name="Normal 2 4 2 5 9 3" xfId="27482" xr:uid="{0851E9D8-A35E-4EC1-AE6C-F3CBAC177789}"/>
    <cellStyle name="Normal 2 4 2 6" xfId="295" xr:uid="{00000000-0005-0000-0000-0000AE0F0000}"/>
    <cellStyle name="Normal 2 4 2 6 10" xfId="19096" xr:uid="{5FB3EDDB-7F86-4747-88F5-F18194FDAD5F}"/>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3BCA27C8-EA91-49A5-AEB2-9CD38328B01E}"/>
    <cellStyle name="Normal 2 4 2 6 2 2 2 3" xfId="25872" xr:uid="{9CDD9CB4-98B4-4F14-92ED-110E8174902B}"/>
    <cellStyle name="Normal 2 4 2 6 2 2 3" xfId="12356" xr:uid="{BF3B467F-87A9-4C24-B291-C028A6EB31B4}"/>
    <cellStyle name="Normal 2 4 2 6 2 2 4" xfId="21655" xr:uid="{076CFA78-A910-42DE-8E2A-E5FF1309B6B6}"/>
    <cellStyle name="Normal 2 4 2 6 2 3" xfId="5102" xr:uid="{00000000-0005-0000-0000-0000B20F0000}"/>
    <cellStyle name="Normal 2 4 2 6 2 3 2" xfId="14428" xr:uid="{A741DFDF-9A31-4770-8F22-AA7F77176FBB}"/>
    <cellStyle name="Normal 2 4 2 6 2 3 3" xfId="23727" xr:uid="{59B36F21-F91A-4228-BF28-8846EFD85EE2}"/>
    <cellStyle name="Normal 2 4 2 6 2 4" xfId="9401" xr:uid="{C89DD342-23DD-474B-84C5-F9DED42F169B}"/>
    <cellStyle name="Normal 2 4 2 6 2 4 2" xfId="18716" xr:uid="{292706EC-1534-4D0D-9B9F-98ED8CAC74D6}"/>
    <cellStyle name="Normal 2 4 2 6 2 4 3" xfId="28013" xr:uid="{60E6D248-3597-4BDB-8482-32B4C3C6BA0C}"/>
    <cellStyle name="Normal 2 4 2 6 2 5" xfId="10211" xr:uid="{11DF5FBA-7DB1-4255-8926-C05653F264BD}"/>
    <cellStyle name="Normal 2 4 2 6 2 6" xfId="19510" xr:uid="{4DC69B54-F8A7-4372-BFAE-340B2C2D01AD}"/>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F8761872-A222-4573-8821-309062728306}"/>
    <cellStyle name="Normal 2 4 2 6 3 2 2 3" xfId="26285" xr:uid="{3238B462-42C2-433D-A6C8-8F5680CEC6BE}"/>
    <cellStyle name="Normal 2 4 2 6 3 2 3" xfId="12769" xr:uid="{24F2D7D5-B8B6-4635-8E40-2CB8FAE92A66}"/>
    <cellStyle name="Normal 2 4 2 6 3 2 4" xfId="22068" xr:uid="{3A7CE301-3B9B-480A-89A6-E8DB825E42CB}"/>
    <cellStyle name="Normal 2 4 2 6 3 3" xfId="5515" xr:uid="{00000000-0005-0000-0000-0000B60F0000}"/>
    <cellStyle name="Normal 2 4 2 6 3 3 2" xfId="14841" xr:uid="{0F7536A3-0718-469F-9C77-CF43409B5262}"/>
    <cellStyle name="Normal 2 4 2 6 3 3 3" xfId="24140" xr:uid="{32A53AB0-34F4-4EE8-A6A4-FA2351A90D55}"/>
    <cellStyle name="Normal 2 4 2 6 3 4" xfId="10624" xr:uid="{EFB371BD-1215-451C-B9AC-25791D014910}"/>
    <cellStyle name="Normal 2 4 2 6 3 5" xfId="19923" xr:uid="{0B8E44DB-F779-4127-B151-A9F26A150B22}"/>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B09D6E0E-6E63-4DE7-9925-3CE327D73C0E}"/>
    <cellStyle name="Normal 2 4 2 6 4 2 2 3" xfId="26698" xr:uid="{585CE052-038F-4164-B954-1DBA388BDDC7}"/>
    <cellStyle name="Normal 2 4 2 6 4 2 3" xfId="13182" xr:uid="{625D719D-B78D-422A-99F0-2618961A71E9}"/>
    <cellStyle name="Normal 2 4 2 6 4 2 4" xfId="22481" xr:uid="{E1D1A9CD-63B8-4B17-9608-4C746A40642F}"/>
    <cellStyle name="Normal 2 4 2 6 4 3" xfId="5928" xr:uid="{00000000-0005-0000-0000-0000BA0F0000}"/>
    <cellStyle name="Normal 2 4 2 6 4 3 2" xfId="15254" xr:uid="{6924F193-5687-4C66-8326-06271252B56E}"/>
    <cellStyle name="Normal 2 4 2 6 4 3 3" xfId="24553" xr:uid="{046239BC-B06B-48B5-B181-63DB43C93A3E}"/>
    <cellStyle name="Normal 2 4 2 6 4 4" xfId="11037" xr:uid="{389E1585-636E-4414-99A9-9FB839E9DB30}"/>
    <cellStyle name="Normal 2 4 2 6 4 5" xfId="20336" xr:uid="{8AD09FC0-A99C-4C41-BE5A-44D90E67090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302D1FDA-8345-406F-A449-F954A3760F85}"/>
    <cellStyle name="Normal 2 4 2 6 5 2 2 3" xfId="27111" xr:uid="{663BEF08-88EC-4C09-BC26-F7A36BFA28F1}"/>
    <cellStyle name="Normal 2 4 2 6 5 2 3" xfId="13595" xr:uid="{D55B680B-CC6A-4D35-A243-0FAF2A5DF5E3}"/>
    <cellStyle name="Normal 2 4 2 6 5 2 4" xfId="22894" xr:uid="{F6EFAC2D-BD02-4382-930E-19911F335603}"/>
    <cellStyle name="Normal 2 4 2 6 5 3" xfId="6341" xr:uid="{00000000-0005-0000-0000-0000BE0F0000}"/>
    <cellStyle name="Normal 2 4 2 6 5 3 2" xfId="15667" xr:uid="{D99E9765-C9F1-40C8-A301-A15874D3F18B}"/>
    <cellStyle name="Normal 2 4 2 6 5 3 3" xfId="24966" xr:uid="{489CD5AE-37B7-437C-B879-48F87A3FC1F1}"/>
    <cellStyle name="Normal 2 4 2 6 5 4" xfId="11450" xr:uid="{081FFBAB-C147-4AFB-A92F-FF8396348EE9}"/>
    <cellStyle name="Normal 2 4 2 6 5 5" xfId="20749" xr:uid="{DCBAA67F-F0E3-4AC2-96D8-5E0498340005}"/>
    <cellStyle name="Normal 2 4 2 6 6" xfId="2471" xr:uid="{00000000-0005-0000-0000-0000BF0F0000}"/>
    <cellStyle name="Normal 2 4 2 6 6 2" xfId="6754" xr:uid="{00000000-0005-0000-0000-0000C00F0000}"/>
    <cellStyle name="Normal 2 4 2 6 6 2 2" xfId="16080" xr:uid="{2F8CA1CB-7208-4AE0-9D08-C7C8D62E5783}"/>
    <cellStyle name="Normal 2 4 2 6 6 2 3" xfId="25379" xr:uid="{0A408902-FA38-454A-98ED-99439A916EE7}"/>
    <cellStyle name="Normal 2 4 2 6 6 3" xfId="11863" xr:uid="{3E4CDFBC-DD3E-41E0-B8BD-3FCF96B50E78}"/>
    <cellStyle name="Normal 2 4 2 6 6 4" xfId="21162" xr:uid="{1EDF5D59-576D-437D-91EC-3F5974522F97}"/>
    <cellStyle name="Normal 2 4 2 6 7" xfId="4688" xr:uid="{00000000-0005-0000-0000-0000C10F0000}"/>
    <cellStyle name="Normal 2 4 2 6 7 2" xfId="14014" xr:uid="{CB7F1907-550F-4BA1-87A2-A38D7B1C42D7}"/>
    <cellStyle name="Normal 2 4 2 6 7 3" xfId="23313" xr:uid="{EC42800D-06AA-4EE5-B1BE-BF12EFD442C2}"/>
    <cellStyle name="Normal 2 4 2 6 8" xfId="8976" xr:uid="{6DEAFF8C-68CB-4364-A161-479509F453AE}"/>
    <cellStyle name="Normal 2 4 2 6 8 2" xfId="18300" xr:uid="{AB379DE8-75B7-4211-B300-BF83F957D425}"/>
    <cellStyle name="Normal 2 4 2 6 8 3" xfId="27598" xr:uid="{9C97B7B8-F40A-4201-83BF-4B3644015A56}"/>
    <cellStyle name="Normal 2 4 2 6 9" xfId="9797" xr:uid="{373C5C85-59AC-4AEE-B684-2AA208C51BF7}"/>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786ED9C8-F674-44CA-B564-FD42216C6BE2}"/>
    <cellStyle name="Normal 2 4 2 7 2 2 3" xfId="25857" xr:uid="{A4C6F7C8-5993-4A79-9282-7C857C4CD7BD}"/>
    <cellStyle name="Normal 2 4 2 7 2 3" xfId="12341" xr:uid="{789163E0-AB8A-49A7-97B2-A2574A7D857C}"/>
    <cellStyle name="Normal 2 4 2 7 2 4" xfId="21640" xr:uid="{0650ACB4-1FDC-453C-828F-79BA392DB163}"/>
    <cellStyle name="Normal 2 4 2 7 3" xfId="5087" xr:uid="{00000000-0005-0000-0000-0000C50F0000}"/>
    <cellStyle name="Normal 2 4 2 7 3 2" xfId="14413" xr:uid="{41287D97-4505-4F75-A583-663DB11D8C7E}"/>
    <cellStyle name="Normal 2 4 2 7 3 3" xfId="23712" xr:uid="{455387CE-0551-468E-A7C2-CF7398D088E8}"/>
    <cellStyle name="Normal 2 4 2 7 4" xfId="9179" xr:uid="{D1C44CED-398E-43B3-AFA3-1E7DC60C5D92}"/>
    <cellStyle name="Normal 2 4 2 7 4 2" xfId="18497" xr:uid="{3D1BE4E4-D31E-4620-85E9-11C8DF86AE9B}"/>
    <cellStyle name="Normal 2 4 2 7 4 3" xfId="27794" xr:uid="{783EE924-03C6-4915-838E-8F2974218C39}"/>
    <cellStyle name="Normal 2 4 2 7 5" xfId="10196" xr:uid="{979BFC35-F45A-4D0F-8849-CEAD9E17EE60}"/>
    <cellStyle name="Normal 2 4 2 7 6" xfId="19495" xr:uid="{BEB9AE22-1905-405E-A533-9A234F3C2CB1}"/>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E56422B0-6F01-4AF0-BB95-9E8CED1CBF97}"/>
    <cellStyle name="Normal 2 4 2 8 2 2 3" xfId="26270" xr:uid="{672D74C2-A06F-4B6C-88C1-617370F5A55C}"/>
    <cellStyle name="Normal 2 4 2 8 2 3" xfId="12754" xr:uid="{D267D1BE-E98E-490E-89E8-5E2EBDC96613}"/>
    <cellStyle name="Normal 2 4 2 8 2 4" xfId="22053" xr:uid="{15CFB1F8-49CD-48B6-A45F-3C330ADC4D2A}"/>
    <cellStyle name="Normal 2 4 2 8 3" xfId="5500" xr:uid="{00000000-0005-0000-0000-0000C90F0000}"/>
    <cellStyle name="Normal 2 4 2 8 3 2" xfId="14826" xr:uid="{242E0ECF-9469-46C5-B3D1-AB63A54F56FB}"/>
    <cellStyle name="Normal 2 4 2 8 3 3" xfId="24125" xr:uid="{303C161C-6EB8-45E8-953B-A0551E3C2818}"/>
    <cellStyle name="Normal 2 4 2 8 4" xfId="10609" xr:uid="{DD7D44A5-2B7F-4C5C-81B2-1D48C9078809}"/>
    <cellStyle name="Normal 2 4 2 8 5" xfId="19908" xr:uid="{FCF543CD-E380-4337-B2A6-96E4E704519C}"/>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16A7BF1C-9B01-47BB-AFC7-EDAC8AF3E46D}"/>
    <cellStyle name="Normal 2 4 2 9 2 2 3" xfId="26683" xr:uid="{1BA2EC18-927C-4D47-8C4C-847B4EB05496}"/>
    <cellStyle name="Normal 2 4 2 9 2 3" xfId="13167" xr:uid="{875F9E8B-7F9E-452E-9DC4-0EA032A98693}"/>
    <cellStyle name="Normal 2 4 2 9 2 4" xfId="22466" xr:uid="{DB85D00C-C2A9-4E5E-84FB-7BF1BEA24327}"/>
    <cellStyle name="Normal 2 4 2 9 3" xfId="5913" xr:uid="{00000000-0005-0000-0000-0000CD0F0000}"/>
    <cellStyle name="Normal 2 4 2 9 3 2" xfId="15239" xr:uid="{2BE6CEDD-4357-4B1E-8406-E301A9ECDF7D}"/>
    <cellStyle name="Normal 2 4 2 9 3 3" xfId="24538" xr:uid="{218F4494-3172-49D1-983E-C4DADA93F144}"/>
    <cellStyle name="Normal 2 4 2 9 4" xfId="11022" xr:uid="{DB078A7F-1F34-47A2-99EF-0FECDF17E370}"/>
    <cellStyle name="Normal 2 4 2 9 5" xfId="20321" xr:uid="{22E435FE-C8CC-4CB0-B800-9B48B93D9B1F}"/>
    <cellStyle name="Normal 2 4 3" xfId="296" xr:uid="{00000000-0005-0000-0000-0000CE0F0000}"/>
    <cellStyle name="Normal 2 4 3 10" xfId="9798" xr:uid="{F6AAFD5C-8823-40FE-B8EE-B486AC31FCCB}"/>
    <cellStyle name="Normal 2 4 3 11" xfId="19097" xr:uid="{E19F76BE-C40A-428D-B90A-403F7F4D2A56}"/>
    <cellStyle name="Normal 2 4 3 2" xfId="297" xr:uid="{00000000-0005-0000-0000-0000CF0F0000}"/>
    <cellStyle name="Normal 2 4 3 3" xfId="298" xr:uid="{00000000-0005-0000-0000-0000D00F0000}"/>
    <cellStyle name="Normal 2 4 3 3 10" xfId="8814" xr:uid="{F78EFD99-FCC5-4915-ACA3-DFC3FC0D45A5}"/>
    <cellStyle name="Normal 2 4 3 3 10 2" xfId="18138" xr:uid="{B9120075-68B8-4DAC-B086-B57D7D628812}"/>
    <cellStyle name="Normal 2 4 3 3 10 3" xfId="27436" xr:uid="{83F9EA08-EC02-45BF-ABEB-D62174EA9053}"/>
    <cellStyle name="Normal 2 4 3 3 11" xfId="9799" xr:uid="{0E49140A-15C5-42A5-BB8C-5664C88A9A5A}"/>
    <cellStyle name="Normal 2 4 3 3 12" xfId="19098" xr:uid="{2F7526F3-C12C-47FC-9E88-0BD6CD716973}"/>
    <cellStyle name="Normal 2 4 3 3 2" xfId="299" xr:uid="{00000000-0005-0000-0000-0000D10F0000}"/>
    <cellStyle name="Normal 2 4 3 3 2 10" xfId="9800" xr:uid="{32E60240-D024-4C5E-B22A-D5B9774BA83F}"/>
    <cellStyle name="Normal 2 4 3 3 2 11" xfId="19099" xr:uid="{F7636E2F-CDA3-42B7-B334-CC653A365697}"/>
    <cellStyle name="Normal 2 4 3 3 2 2" xfId="300" xr:uid="{00000000-0005-0000-0000-0000D20F0000}"/>
    <cellStyle name="Normal 2 4 3 3 2 2 10" xfId="19100" xr:uid="{28557113-688D-440E-BBFD-E86106957E76}"/>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4E32ABDB-FE4E-4A3A-904D-D77B46D5AB2A}"/>
    <cellStyle name="Normal 2 4 3 3 2 2 2 2 2 3" xfId="25876" xr:uid="{24155A70-4611-4026-8C3B-AADF5D67A569}"/>
    <cellStyle name="Normal 2 4 3 3 2 2 2 2 3" xfId="12360" xr:uid="{643DB4E3-DC9F-4750-BEA4-6FB320AF0E19}"/>
    <cellStyle name="Normal 2 4 3 3 2 2 2 2 4" xfId="21659" xr:uid="{3BA66527-48BB-4E6B-8766-2360FC80BAC4}"/>
    <cellStyle name="Normal 2 4 3 3 2 2 2 3" xfId="5106" xr:uid="{00000000-0005-0000-0000-0000D60F0000}"/>
    <cellStyle name="Normal 2 4 3 3 2 2 2 3 2" xfId="14432" xr:uid="{F0131708-E34B-4C48-A2FA-5E6BD0DA738F}"/>
    <cellStyle name="Normal 2 4 3 3 2 2 2 3 3" xfId="23731" xr:uid="{250A4375-B2E4-453C-96FC-DBA58430DB52}"/>
    <cellStyle name="Normal 2 4 3 3 2 2 2 4" xfId="9549" xr:uid="{EA88B7BC-E37D-4688-A768-0D7FE5EF9F42}"/>
    <cellStyle name="Normal 2 4 3 3 2 2 2 4 2" xfId="18864" xr:uid="{9C3B52B4-D88A-4C9B-ABB2-65EA7488EAE4}"/>
    <cellStyle name="Normal 2 4 3 3 2 2 2 4 3" xfId="28161" xr:uid="{79E0127D-E777-4A0C-9E44-7D457F7C5D47}"/>
    <cellStyle name="Normal 2 4 3 3 2 2 2 5" xfId="10215" xr:uid="{3A4A0478-486A-4692-A22E-76ECD10786FE}"/>
    <cellStyle name="Normal 2 4 3 3 2 2 2 6" xfId="19514" xr:uid="{76D2040B-F9EA-49B8-853C-6992EF717988}"/>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A52907D8-FFE8-4623-9B73-DD4AFA1D3089}"/>
    <cellStyle name="Normal 2 4 3 3 2 2 3 2 2 3" xfId="26289" xr:uid="{A53480E5-0D00-437C-8D51-4939C0CFB192}"/>
    <cellStyle name="Normal 2 4 3 3 2 2 3 2 3" xfId="12773" xr:uid="{11F211ED-43B0-430A-8227-BD4F312B8545}"/>
    <cellStyle name="Normal 2 4 3 3 2 2 3 2 4" xfId="22072" xr:uid="{84F80C92-67AB-4F6E-A4B2-471EFDC4BD74}"/>
    <cellStyle name="Normal 2 4 3 3 2 2 3 3" xfId="5519" xr:uid="{00000000-0005-0000-0000-0000DA0F0000}"/>
    <cellStyle name="Normal 2 4 3 3 2 2 3 3 2" xfId="14845" xr:uid="{60D7AAEE-646D-4B78-AD30-6B0D7F389480}"/>
    <cellStyle name="Normal 2 4 3 3 2 2 3 3 3" xfId="24144" xr:uid="{A6178445-BD57-4C26-860E-9EDCC547F749}"/>
    <cellStyle name="Normal 2 4 3 3 2 2 3 4" xfId="10628" xr:uid="{13629F42-88A1-43A3-9335-DCB60C7FCA71}"/>
    <cellStyle name="Normal 2 4 3 3 2 2 3 5" xfId="19927" xr:uid="{C9DEE6ED-4DFF-415F-BEF7-D7F57D0E204A}"/>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655F22B9-DFC6-4A66-82CA-530CC3A08E1E}"/>
    <cellStyle name="Normal 2 4 3 3 2 2 4 2 2 3" xfId="26702" xr:uid="{EEE78A8D-E89B-412A-80B0-09825641F416}"/>
    <cellStyle name="Normal 2 4 3 3 2 2 4 2 3" xfId="13186" xr:uid="{9B32D387-42AF-4AD8-B955-B3CFACB3A52D}"/>
    <cellStyle name="Normal 2 4 3 3 2 2 4 2 4" xfId="22485" xr:uid="{F5DCFCD4-AA4B-42CC-9F15-DDC9880B697C}"/>
    <cellStyle name="Normal 2 4 3 3 2 2 4 3" xfId="5932" xr:uid="{00000000-0005-0000-0000-0000DE0F0000}"/>
    <cellStyle name="Normal 2 4 3 3 2 2 4 3 2" xfId="15258" xr:uid="{1F52862C-A06B-40A4-A744-36E2A099CAE1}"/>
    <cellStyle name="Normal 2 4 3 3 2 2 4 3 3" xfId="24557" xr:uid="{D8A08D68-5F4D-44D5-A22D-CA2896B0D9CF}"/>
    <cellStyle name="Normal 2 4 3 3 2 2 4 4" xfId="11041" xr:uid="{95E53A6C-0419-4DE5-A1FC-E47A4066AB17}"/>
    <cellStyle name="Normal 2 4 3 3 2 2 4 5" xfId="20340" xr:uid="{AC17828E-4D44-474F-A200-712121DE3BA7}"/>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7EC93DA9-AB7A-418A-B6DC-0973AC001698}"/>
    <cellStyle name="Normal 2 4 3 3 2 2 5 2 2 3" xfId="27115" xr:uid="{C3D3A232-B98E-4D1E-929E-A35EF82510F9}"/>
    <cellStyle name="Normal 2 4 3 3 2 2 5 2 3" xfId="13599" xr:uid="{BF21C9B7-3656-4904-894A-702E13DF2C87}"/>
    <cellStyle name="Normal 2 4 3 3 2 2 5 2 4" xfId="22898" xr:uid="{21708A28-B6E4-4618-AA58-067D57E865C1}"/>
    <cellStyle name="Normal 2 4 3 3 2 2 5 3" xfId="6345" xr:uid="{00000000-0005-0000-0000-0000E20F0000}"/>
    <cellStyle name="Normal 2 4 3 3 2 2 5 3 2" xfId="15671" xr:uid="{E15C94DB-64B6-4520-8601-8B0B6D11D9DE}"/>
    <cellStyle name="Normal 2 4 3 3 2 2 5 3 3" xfId="24970" xr:uid="{BE6CF231-2C38-4F4C-9C34-DAB6B0BAF633}"/>
    <cellStyle name="Normal 2 4 3 3 2 2 5 4" xfId="11454" xr:uid="{D531A08F-AF49-4AC9-A9CC-4039D469787D}"/>
    <cellStyle name="Normal 2 4 3 3 2 2 5 5" xfId="20753" xr:uid="{B15FEF4C-6741-4E31-AA62-CD9C53EF79B5}"/>
    <cellStyle name="Normal 2 4 3 3 2 2 6" xfId="2475" xr:uid="{00000000-0005-0000-0000-0000E30F0000}"/>
    <cellStyle name="Normal 2 4 3 3 2 2 6 2" xfId="6758" xr:uid="{00000000-0005-0000-0000-0000E40F0000}"/>
    <cellStyle name="Normal 2 4 3 3 2 2 6 2 2" xfId="16084" xr:uid="{A58EA0A4-45FD-4B06-BCB0-0D488AF096E9}"/>
    <cellStyle name="Normal 2 4 3 3 2 2 6 2 3" xfId="25383" xr:uid="{B1E62B5C-D64F-4E2F-A7F1-E78F44B2B4B2}"/>
    <cellStyle name="Normal 2 4 3 3 2 2 6 3" xfId="11867" xr:uid="{6A1AFA78-90E1-4BA0-BDBE-F450F27625FF}"/>
    <cellStyle name="Normal 2 4 3 3 2 2 6 4" xfId="21166" xr:uid="{8E5B0C9F-70EE-46E2-BC6B-2469820DDAA0}"/>
    <cellStyle name="Normal 2 4 3 3 2 2 7" xfId="4692" xr:uid="{00000000-0005-0000-0000-0000E50F0000}"/>
    <cellStyle name="Normal 2 4 3 3 2 2 7 2" xfId="14018" xr:uid="{AA654F94-2229-4829-900E-A17B55846392}"/>
    <cellStyle name="Normal 2 4 3 3 2 2 7 3" xfId="23317" xr:uid="{325FC84A-635B-4E07-93C3-99B17ECFD9EC}"/>
    <cellStyle name="Normal 2 4 3 3 2 2 8" xfId="9124" xr:uid="{1FF2B195-09C8-4D7B-A363-E8AF809A669B}"/>
    <cellStyle name="Normal 2 4 3 3 2 2 8 2" xfId="18448" xr:uid="{D00882C8-5836-4781-B31A-140DD12A16E4}"/>
    <cellStyle name="Normal 2 4 3 3 2 2 8 3" xfId="27746" xr:uid="{241D78A5-A294-4F1E-9289-39437FE2484C}"/>
    <cellStyle name="Normal 2 4 3 3 2 2 9" xfId="9801" xr:uid="{FB39AE71-6214-40EF-B967-65949D6D53BC}"/>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A1DAB4B4-7014-45A3-A397-3C93F8969446}"/>
    <cellStyle name="Normal 2 4 3 3 2 3 2 2 3" xfId="25875" xr:uid="{1E559F1C-F513-4F53-A300-B0505F95F94A}"/>
    <cellStyle name="Normal 2 4 3 3 2 3 2 3" xfId="12359" xr:uid="{ACA72694-C2A7-4948-B3B1-0D2F08B70C2A}"/>
    <cellStyle name="Normal 2 4 3 3 2 3 2 4" xfId="21658" xr:uid="{ACCAC7EF-34C9-4F18-8F36-D94E19C05340}"/>
    <cellStyle name="Normal 2 4 3 3 2 3 3" xfId="5105" xr:uid="{00000000-0005-0000-0000-0000E90F0000}"/>
    <cellStyle name="Normal 2 4 3 3 2 3 3 2" xfId="14431" xr:uid="{6B89EAA1-810F-43A7-9F4C-25D694C97E86}"/>
    <cellStyle name="Normal 2 4 3 3 2 3 3 3" xfId="23730" xr:uid="{42B98113-08E6-4B5A-8486-E964322F1AE9}"/>
    <cellStyle name="Normal 2 4 3 3 2 3 4" xfId="9342" xr:uid="{41454CF9-47C1-4E8A-868A-8F39341308EB}"/>
    <cellStyle name="Normal 2 4 3 3 2 3 4 2" xfId="18657" xr:uid="{39F84CF7-72FD-4321-B5CE-66E8A492EDB7}"/>
    <cellStyle name="Normal 2 4 3 3 2 3 4 3" xfId="27954" xr:uid="{C5D8D2F8-193A-46BB-A893-1C79B9C9D31E}"/>
    <cellStyle name="Normal 2 4 3 3 2 3 5" xfId="10214" xr:uid="{5717BB65-23CA-41BB-A82C-4E782F8AC7A6}"/>
    <cellStyle name="Normal 2 4 3 3 2 3 6" xfId="19513" xr:uid="{98FC379D-ED1E-4A18-BC10-5A2B0D0FBEE8}"/>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22A877C4-0E82-4079-A9F5-3F22F889EDAC}"/>
    <cellStyle name="Normal 2 4 3 3 2 4 2 2 3" xfId="26288" xr:uid="{CFDFC6FC-E23F-4F51-891F-00531EABE05C}"/>
    <cellStyle name="Normal 2 4 3 3 2 4 2 3" xfId="12772" xr:uid="{A02D9D38-8D8D-47D2-AA79-0F9BF893EC81}"/>
    <cellStyle name="Normal 2 4 3 3 2 4 2 4" xfId="22071" xr:uid="{40F71726-C8C5-4FDF-B991-AE6491A68A61}"/>
    <cellStyle name="Normal 2 4 3 3 2 4 3" xfId="5518" xr:uid="{00000000-0005-0000-0000-0000ED0F0000}"/>
    <cellStyle name="Normal 2 4 3 3 2 4 3 2" xfId="14844" xr:uid="{FBC33E8E-A184-4BB1-BCAE-A8A3B9E49C00}"/>
    <cellStyle name="Normal 2 4 3 3 2 4 3 3" xfId="24143" xr:uid="{18D4FF1E-E44C-4E74-A7FC-1D317B13F0AC}"/>
    <cellStyle name="Normal 2 4 3 3 2 4 4" xfId="10627" xr:uid="{B0112D3C-527C-4BA9-9032-D901AEF5B5D3}"/>
    <cellStyle name="Normal 2 4 3 3 2 4 5" xfId="19926" xr:uid="{EEDC3B50-C3F8-44AC-9626-1CE4224A57D4}"/>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A6277015-CC0F-4254-A56B-7E6AAB8188FC}"/>
    <cellStyle name="Normal 2 4 3 3 2 5 2 2 3" xfId="26701" xr:uid="{704683DC-A991-4DB1-98A8-8D0ADF954AE0}"/>
    <cellStyle name="Normal 2 4 3 3 2 5 2 3" xfId="13185" xr:uid="{CB434E55-1675-4DC6-9CD4-0FA8893098CD}"/>
    <cellStyle name="Normal 2 4 3 3 2 5 2 4" xfId="22484" xr:uid="{092601F7-A4CF-4DFD-A155-7C82523F5672}"/>
    <cellStyle name="Normal 2 4 3 3 2 5 3" xfId="5931" xr:uid="{00000000-0005-0000-0000-0000F10F0000}"/>
    <cellStyle name="Normal 2 4 3 3 2 5 3 2" xfId="15257" xr:uid="{61E827C1-E3F5-4B7E-825A-48E1ABCDA991}"/>
    <cellStyle name="Normal 2 4 3 3 2 5 3 3" xfId="24556" xr:uid="{45CDF3A3-B9BB-43B5-AEF8-4048A7FFDE47}"/>
    <cellStyle name="Normal 2 4 3 3 2 5 4" xfId="11040" xr:uid="{A92AFA76-D7D0-435F-88AB-9FF680F6D027}"/>
    <cellStyle name="Normal 2 4 3 3 2 5 5" xfId="20339" xr:uid="{31C385C1-C3EA-4849-840F-AAF6DA75AF0F}"/>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137E0484-C2A2-4916-87C2-D58D69635E50}"/>
    <cellStyle name="Normal 2 4 3 3 2 6 2 2 3" xfId="27114" xr:uid="{8C9761CC-01E7-423B-98D7-8176127645E7}"/>
    <cellStyle name="Normal 2 4 3 3 2 6 2 3" xfId="13598" xr:uid="{18C79E71-6656-4607-A1CC-3F4DF4A50F1A}"/>
    <cellStyle name="Normal 2 4 3 3 2 6 2 4" xfId="22897" xr:uid="{5FAB3C9B-8174-47AC-BFE5-B4F5A2F3A705}"/>
    <cellStyle name="Normal 2 4 3 3 2 6 3" xfId="6344" xr:uid="{00000000-0005-0000-0000-0000F50F0000}"/>
    <cellStyle name="Normal 2 4 3 3 2 6 3 2" xfId="15670" xr:uid="{5C1F4137-B186-4AC3-BEB4-18FDA3109FA1}"/>
    <cellStyle name="Normal 2 4 3 3 2 6 3 3" xfId="24969" xr:uid="{2CBC54A9-A1AE-4BEE-879A-D809DF49990F}"/>
    <cellStyle name="Normal 2 4 3 3 2 6 4" xfId="11453" xr:uid="{25088A19-D21C-4792-A989-DD11C97E0220}"/>
    <cellStyle name="Normal 2 4 3 3 2 6 5" xfId="20752" xr:uid="{43CF68F0-A628-4A1F-BEAE-94A63FAEC681}"/>
    <cellStyle name="Normal 2 4 3 3 2 7" xfId="2474" xr:uid="{00000000-0005-0000-0000-0000F60F0000}"/>
    <cellStyle name="Normal 2 4 3 3 2 7 2" xfId="6757" xr:uid="{00000000-0005-0000-0000-0000F70F0000}"/>
    <cellStyle name="Normal 2 4 3 3 2 7 2 2" xfId="16083" xr:uid="{2A295833-9FCA-4994-B2B0-56C4F54E1096}"/>
    <cellStyle name="Normal 2 4 3 3 2 7 2 3" xfId="25382" xr:uid="{BB9454C7-4CF8-4888-A0DD-C61B975AB1FF}"/>
    <cellStyle name="Normal 2 4 3 3 2 7 3" xfId="11866" xr:uid="{B868BD9F-A4F6-4697-96CD-C5986A4E70B4}"/>
    <cellStyle name="Normal 2 4 3 3 2 7 4" xfId="21165" xr:uid="{B4AE6A1E-8695-40A2-998C-17D4B805E003}"/>
    <cellStyle name="Normal 2 4 3 3 2 8" xfId="4691" xr:uid="{00000000-0005-0000-0000-0000F80F0000}"/>
    <cellStyle name="Normal 2 4 3 3 2 8 2" xfId="14017" xr:uid="{B032F4FD-83CE-4383-AF53-F38466CF0227}"/>
    <cellStyle name="Normal 2 4 3 3 2 8 3" xfId="23316" xr:uid="{A12210DA-2D11-4A1A-B177-2D51DCB41262}"/>
    <cellStyle name="Normal 2 4 3 3 2 9" xfId="8917" xr:uid="{1E22693C-F4B1-4678-80B0-65CF6DC31586}"/>
    <cellStyle name="Normal 2 4 3 3 2 9 2" xfId="18241" xr:uid="{45FB56B1-27C4-4F00-AF78-BB8A57B73506}"/>
    <cellStyle name="Normal 2 4 3 3 2 9 3" xfId="27539" xr:uid="{E634C78E-EB3D-41B7-B889-F54FDF02FE07}"/>
    <cellStyle name="Normal 2 4 3 3 3" xfId="301" xr:uid="{00000000-0005-0000-0000-0000F90F0000}"/>
    <cellStyle name="Normal 2 4 3 3 3 10" xfId="19101" xr:uid="{8AC84D9E-7006-46C1-B5EC-06EBDB80E4D9}"/>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71B2AFC8-5124-4C2A-A2AE-C0E28495229D}"/>
    <cellStyle name="Normal 2 4 3 3 3 2 2 2 3" xfId="25877" xr:uid="{BEED5533-ACC4-4264-AFC0-C67BFA636D83}"/>
    <cellStyle name="Normal 2 4 3 3 3 2 2 3" xfId="12361" xr:uid="{0CED9573-5EBA-4151-85B2-AC9E9B9B2BB1}"/>
    <cellStyle name="Normal 2 4 3 3 3 2 2 4" xfId="21660" xr:uid="{C4A8FBD2-B625-4740-9EB4-CE8B6B955DB6}"/>
    <cellStyle name="Normal 2 4 3 3 3 2 3" xfId="5107" xr:uid="{00000000-0005-0000-0000-0000FD0F0000}"/>
    <cellStyle name="Normal 2 4 3 3 3 2 3 2" xfId="14433" xr:uid="{C98BFF17-CE34-48AD-A40A-401D61F834F2}"/>
    <cellStyle name="Normal 2 4 3 3 3 2 3 3" xfId="23732" xr:uid="{14B0B0C8-7C73-4437-8A92-52DF3B918F7B}"/>
    <cellStyle name="Normal 2 4 3 3 3 2 4" xfId="9446" xr:uid="{7ACDBBC8-943F-41CF-9832-96F56BCB3985}"/>
    <cellStyle name="Normal 2 4 3 3 3 2 4 2" xfId="18761" xr:uid="{8F50873D-2015-4800-A7FE-2BC1725C63DA}"/>
    <cellStyle name="Normal 2 4 3 3 3 2 4 3" xfId="28058" xr:uid="{4B9E0E82-7F9D-4862-9AE3-CEC336560B2D}"/>
    <cellStyle name="Normal 2 4 3 3 3 2 5" xfId="10216" xr:uid="{D21BF951-EFA3-47B9-AD66-F7D1F3F45C7F}"/>
    <cellStyle name="Normal 2 4 3 3 3 2 6" xfId="19515" xr:uid="{B590FD5F-DB7E-4F0A-BFFC-67DD8E660449}"/>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0DA7B5C4-1314-4DF5-90C8-C4E87EBDD6D8}"/>
    <cellStyle name="Normal 2 4 3 3 3 3 2 2 3" xfId="26290" xr:uid="{05A96E43-344F-4F03-826F-55238123DFF7}"/>
    <cellStyle name="Normal 2 4 3 3 3 3 2 3" xfId="12774" xr:uid="{34B39B98-A470-43A1-AD24-203BEDA07780}"/>
    <cellStyle name="Normal 2 4 3 3 3 3 2 4" xfId="22073" xr:uid="{CDB0FC32-D7F2-487D-A163-0DBA3BAADB87}"/>
    <cellStyle name="Normal 2 4 3 3 3 3 3" xfId="5520" xr:uid="{00000000-0005-0000-0000-000001100000}"/>
    <cellStyle name="Normal 2 4 3 3 3 3 3 2" xfId="14846" xr:uid="{30738D5C-D2C1-4FF1-B73C-D49BED200142}"/>
    <cellStyle name="Normal 2 4 3 3 3 3 3 3" xfId="24145" xr:uid="{40FDAF03-6FD6-4606-8066-D33E8830ED07}"/>
    <cellStyle name="Normal 2 4 3 3 3 3 4" xfId="10629" xr:uid="{09854930-EAE9-43A9-A85F-9E5EE8260100}"/>
    <cellStyle name="Normal 2 4 3 3 3 3 5" xfId="19928" xr:uid="{E77C3CF9-2E83-46FA-AD20-D5EF8EAAA0D6}"/>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11332530-DD19-413F-A9B3-99B89686FE8E}"/>
    <cellStyle name="Normal 2 4 3 3 3 4 2 2 3" xfId="26703" xr:uid="{79706960-4A94-4C83-816D-529B5114E208}"/>
    <cellStyle name="Normal 2 4 3 3 3 4 2 3" xfId="13187" xr:uid="{70A1F29E-659C-4CED-AD21-B6CDC62194AC}"/>
    <cellStyle name="Normal 2 4 3 3 3 4 2 4" xfId="22486" xr:uid="{E1C9C066-3B71-4E19-BD20-2A25FDA7340F}"/>
    <cellStyle name="Normal 2 4 3 3 3 4 3" xfId="5933" xr:uid="{00000000-0005-0000-0000-000005100000}"/>
    <cellStyle name="Normal 2 4 3 3 3 4 3 2" xfId="15259" xr:uid="{4CC92D2F-6F3E-4E8C-8CDB-527496ACFB86}"/>
    <cellStyle name="Normal 2 4 3 3 3 4 3 3" xfId="24558" xr:uid="{11E164A3-79EA-4D36-8A15-88014F2104F2}"/>
    <cellStyle name="Normal 2 4 3 3 3 4 4" xfId="11042" xr:uid="{DC0195B8-CD78-481A-8482-FE1A4FA94784}"/>
    <cellStyle name="Normal 2 4 3 3 3 4 5" xfId="20341" xr:uid="{E8C91466-2D66-4A21-8F16-453F149D65F3}"/>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F294B4C5-59E0-422C-B699-3C838C08F7ED}"/>
    <cellStyle name="Normal 2 4 3 3 3 5 2 2 3" xfId="27116" xr:uid="{35C743A3-733F-4E22-A306-9BE5907A3BBC}"/>
    <cellStyle name="Normal 2 4 3 3 3 5 2 3" xfId="13600" xr:uid="{FCD17DC9-B05C-4116-8AB3-C03410354D8E}"/>
    <cellStyle name="Normal 2 4 3 3 3 5 2 4" xfId="22899" xr:uid="{34F1EC9F-3BEA-4FD2-9ADF-5CE7A686A9B3}"/>
    <cellStyle name="Normal 2 4 3 3 3 5 3" xfId="6346" xr:uid="{00000000-0005-0000-0000-000009100000}"/>
    <cellStyle name="Normal 2 4 3 3 3 5 3 2" xfId="15672" xr:uid="{6973069A-F9A0-4D7F-9528-1F100CA9FD21}"/>
    <cellStyle name="Normal 2 4 3 3 3 5 3 3" xfId="24971" xr:uid="{991BFAB2-A8CD-45B7-A886-34CE337222BC}"/>
    <cellStyle name="Normal 2 4 3 3 3 5 4" xfId="11455" xr:uid="{5ABED578-70D4-42D6-BBC5-B6CD6F13FB66}"/>
    <cellStyle name="Normal 2 4 3 3 3 5 5" xfId="20754" xr:uid="{18C2D00A-8A59-48DF-BE7E-04EC67DBC836}"/>
    <cellStyle name="Normal 2 4 3 3 3 6" xfId="2476" xr:uid="{00000000-0005-0000-0000-00000A100000}"/>
    <cellStyle name="Normal 2 4 3 3 3 6 2" xfId="6759" xr:uid="{00000000-0005-0000-0000-00000B100000}"/>
    <cellStyle name="Normal 2 4 3 3 3 6 2 2" xfId="16085" xr:uid="{D3282BC7-C377-467A-B89C-E0642D8DED8A}"/>
    <cellStyle name="Normal 2 4 3 3 3 6 2 3" xfId="25384" xr:uid="{503D56C7-11AA-42B8-8C69-BE65BBB7DBCF}"/>
    <cellStyle name="Normal 2 4 3 3 3 6 3" xfId="11868" xr:uid="{6B510935-966B-49BF-ADDA-4F9D49F5E43D}"/>
    <cellStyle name="Normal 2 4 3 3 3 6 4" xfId="21167" xr:uid="{5FEA460E-AB1F-4892-B82F-0840517034E6}"/>
    <cellStyle name="Normal 2 4 3 3 3 7" xfId="4693" xr:uid="{00000000-0005-0000-0000-00000C100000}"/>
    <cellStyle name="Normal 2 4 3 3 3 7 2" xfId="14019" xr:uid="{4FF5D9ED-F212-42BE-9734-7B4C2D067E94}"/>
    <cellStyle name="Normal 2 4 3 3 3 7 3" xfId="23318" xr:uid="{067BF870-9AA1-4CEB-B8C8-999FD3D0AEE8}"/>
    <cellStyle name="Normal 2 4 3 3 3 8" xfId="9021" xr:uid="{4EC0F035-DC07-4262-9C58-7142AC357944}"/>
    <cellStyle name="Normal 2 4 3 3 3 8 2" xfId="18345" xr:uid="{3B33E82E-FE23-453B-86AC-B4818FB0ADBC}"/>
    <cellStyle name="Normal 2 4 3 3 3 8 3" xfId="27643" xr:uid="{871682AE-F340-4565-A5B8-868220670DCA}"/>
    <cellStyle name="Normal 2 4 3 3 3 9" xfId="9802" xr:uid="{DD963172-5DA1-4D7D-8CDE-947F98B064EE}"/>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FCCA57CE-7DA1-4728-93F7-1991922476FF}"/>
    <cellStyle name="Normal 2 4 3 3 4 2 2 3" xfId="25874" xr:uid="{569BC397-F12F-4177-872C-5368FC09BAB6}"/>
    <cellStyle name="Normal 2 4 3 3 4 2 3" xfId="12358" xr:uid="{C1467A4A-B797-4384-B9FC-73086287AFD5}"/>
    <cellStyle name="Normal 2 4 3 3 4 2 4" xfId="21657" xr:uid="{EBF1008A-FC21-433C-9BE0-6C9864E9B1DD}"/>
    <cellStyle name="Normal 2 4 3 3 4 3" xfId="5104" xr:uid="{00000000-0005-0000-0000-000010100000}"/>
    <cellStyle name="Normal 2 4 3 3 4 3 2" xfId="14430" xr:uid="{D86DF04B-EB10-4C07-A210-FCFAD54EA0F0}"/>
    <cellStyle name="Normal 2 4 3 3 4 3 3" xfId="23729" xr:uid="{6500FA9E-64A9-4C24-9471-090C81205B2B}"/>
    <cellStyle name="Normal 2 4 3 3 4 4" xfId="9239" xr:uid="{3DCBA9AF-C63D-4CA9-81B6-AC7CB7B67292}"/>
    <cellStyle name="Normal 2 4 3 3 4 4 2" xfId="18554" xr:uid="{97F29B5C-9C5A-4C53-9C0C-5CC036FF8A20}"/>
    <cellStyle name="Normal 2 4 3 3 4 4 3" xfId="27851" xr:uid="{7DF39956-DA35-437C-B286-DC4037EBC487}"/>
    <cellStyle name="Normal 2 4 3 3 4 5" xfId="10213" xr:uid="{1EB53965-9D99-4204-860A-1F9AB4D93CF5}"/>
    <cellStyle name="Normal 2 4 3 3 4 6" xfId="19512" xr:uid="{B8FDECC1-3364-4D78-A52C-49DB61E6BF11}"/>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95EB7E44-C431-40F4-B28D-88B511C2686E}"/>
    <cellStyle name="Normal 2 4 3 3 5 2 2 3" xfId="26287" xr:uid="{CF072820-7CFE-4D7E-8DD1-884EB745FF52}"/>
    <cellStyle name="Normal 2 4 3 3 5 2 3" xfId="12771" xr:uid="{C6E37796-DB19-4FC3-88AE-FEE283F20A02}"/>
    <cellStyle name="Normal 2 4 3 3 5 2 4" xfId="22070" xr:uid="{6EE5C0C2-539B-4EEC-9C4A-7186AE9FE8BB}"/>
    <cellStyle name="Normal 2 4 3 3 5 3" xfId="5517" xr:uid="{00000000-0005-0000-0000-000014100000}"/>
    <cellStyle name="Normal 2 4 3 3 5 3 2" xfId="14843" xr:uid="{FA443186-1D8E-4243-8343-169E7AEB21EE}"/>
    <cellStyle name="Normal 2 4 3 3 5 3 3" xfId="24142" xr:uid="{AFEA3220-CE9D-41F0-BF3B-2208EE48460B}"/>
    <cellStyle name="Normal 2 4 3 3 5 4" xfId="10626" xr:uid="{EDDF220D-9701-41D2-8999-44EBFF1237D1}"/>
    <cellStyle name="Normal 2 4 3 3 5 5" xfId="19925" xr:uid="{0C6F7901-6761-4A83-9043-56C5C1CF7FBC}"/>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D336A335-9D99-4D57-A104-2ED8B2857707}"/>
    <cellStyle name="Normal 2 4 3 3 6 2 2 3" xfId="26700" xr:uid="{60FF10EB-7FB9-47D7-B67F-56BE2CC3F74A}"/>
    <cellStyle name="Normal 2 4 3 3 6 2 3" xfId="13184" xr:uid="{432B5723-610F-45C8-8516-7CB815FFA565}"/>
    <cellStyle name="Normal 2 4 3 3 6 2 4" xfId="22483" xr:uid="{1B26740C-B29C-4C18-8380-574D1911F882}"/>
    <cellStyle name="Normal 2 4 3 3 6 3" xfId="5930" xr:uid="{00000000-0005-0000-0000-000018100000}"/>
    <cellStyle name="Normal 2 4 3 3 6 3 2" xfId="15256" xr:uid="{3CC58ADC-1119-4BE0-8622-8F18FBE06FF5}"/>
    <cellStyle name="Normal 2 4 3 3 6 3 3" xfId="24555" xr:uid="{D85AEA36-D73B-4A47-B3D4-08AC11514E53}"/>
    <cellStyle name="Normal 2 4 3 3 6 4" xfId="11039" xr:uid="{99F19647-D7E7-48B9-B03E-B97618C9569B}"/>
    <cellStyle name="Normal 2 4 3 3 6 5" xfId="20338" xr:uid="{95DF8C16-0679-4B90-BD4A-BDC50C959944}"/>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74712C4C-FABA-4CF1-AD1B-C56E7627DA38}"/>
    <cellStyle name="Normal 2 4 3 3 7 2 2 3" xfId="27113" xr:uid="{A7B01353-5AAE-423F-9DB9-D9EDF3A011E2}"/>
    <cellStyle name="Normal 2 4 3 3 7 2 3" xfId="13597" xr:uid="{C4671B72-2677-4B5A-BA5E-322132EB8A8F}"/>
    <cellStyle name="Normal 2 4 3 3 7 2 4" xfId="22896" xr:uid="{198C9657-F47E-41A5-80F4-836B848EF291}"/>
    <cellStyle name="Normal 2 4 3 3 7 3" xfId="6343" xr:uid="{00000000-0005-0000-0000-00001C100000}"/>
    <cellStyle name="Normal 2 4 3 3 7 3 2" xfId="15669" xr:uid="{07F0ED65-0280-422E-989E-74B8E6C67DBE}"/>
    <cellStyle name="Normal 2 4 3 3 7 3 3" xfId="24968" xr:uid="{29A49654-DCCD-4B97-9549-23F77D0E398D}"/>
    <cellStyle name="Normal 2 4 3 3 7 4" xfId="11452" xr:uid="{77E9EDB9-CFC9-40C5-813E-58007BCA5475}"/>
    <cellStyle name="Normal 2 4 3 3 7 5" xfId="20751" xr:uid="{51A4AC09-C4AF-4885-ABCC-C438C69E4C05}"/>
    <cellStyle name="Normal 2 4 3 3 8" xfId="2473" xr:uid="{00000000-0005-0000-0000-00001D100000}"/>
    <cellStyle name="Normal 2 4 3 3 8 2" xfId="6756" xr:uid="{00000000-0005-0000-0000-00001E100000}"/>
    <cellStyle name="Normal 2 4 3 3 8 2 2" xfId="16082" xr:uid="{0AD67A50-EB7C-49EB-918E-7FC3F041E6D0}"/>
    <cellStyle name="Normal 2 4 3 3 8 2 3" xfId="25381" xr:uid="{D57CBA24-5119-4547-B554-9C2DD5ADABA6}"/>
    <cellStyle name="Normal 2 4 3 3 8 3" xfId="11865" xr:uid="{70A0617B-E732-4F6D-AAE9-3B5A510E720A}"/>
    <cellStyle name="Normal 2 4 3 3 8 4" xfId="21164" xr:uid="{42C46A27-9898-424F-9688-84F0051D5F0D}"/>
    <cellStyle name="Normal 2 4 3 3 9" xfId="4690" xr:uid="{00000000-0005-0000-0000-00001F100000}"/>
    <cellStyle name="Normal 2 4 3 3 9 2" xfId="14016" xr:uid="{763B7AAA-67F1-40EF-B520-73B74D30EE88}"/>
    <cellStyle name="Normal 2 4 3 3 9 3" xfId="23315" xr:uid="{853B7A67-CE12-41D1-845B-7822DEDA3770}"/>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AE4DB9AA-E967-4B6A-B320-46EA1C83BA57}"/>
    <cellStyle name="Normal 2 4 3 4 2 2 3" xfId="25873" xr:uid="{92C75922-DCFB-47FF-BFEF-2BFD70162B1F}"/>
    <cellStyle name="Normal 2 4 3 4 2 3" xfId="12357" xr:uid="{2FC78EEF-9317-45FF-87F5-4A4EDD6BFF68}"/>
    <cellStyle name="Normal 2 4 3 4 2 4" xfId="21656" xr:uid="{F81C707E-B52E-4EA8-8A6E-DE8DAD7BA6FD}"/>
    <cellStyle name="Normal 2 4 3 4 3" xfId="5103" xr:uid="{00000000-0005-0000-0000-000023100000}"/>
    <cellStyle name="Normal 2 4 3 4 3 2" xfId="14429" xr:uid="{57729CE2-E4C6-4846-B882-7F0778F400CB}"/>
    <cellStyle name="Normal 2 4 3 4 3 3" xfId="23728" xr:uid="{55E360A0-1178-431C-AC69-0F7B52CAA032}"/>
    <cellStyle name="Normal 2 4 3 4 4" xfId="9605" xr:uid="{31B075F0-6828-4EC6-AC77-4B4B0626A722}"/>
    <cellStyle name="Normal 2 4 3 4 4 2" xfId="18906" xr:uid="{53875518-557B-416E-8538-0DA62A21E938}"/>
    <cellStyle name="Normal 2 4 3 4 4 3" xfId="28203" xr:uid="{3A821128-5BE9-482A-B647-377FE8700951}"/>
    <cellStyle name="Normal 2 4 3 4 5" xfId="10212" xr:uid="{347D61FE-90AD-452E-A856-98C6C38310EF}"/>
    <cellStyle name="Normal 2 4 3 4 6" xfId="19511" xr:uid="{3E97131E-1106-47CA-A7B2-FC78A96C31BB}"/>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78612B4F-D92F-4C80-9A1A-53C399F007E3}"/>
    <cellStyle name="Normal 2 4 3 5 2 2 3" xfId="26286" xr:uid="{A6A936DC-0515-4CC4-9DAF-32F634F7019B}"/>
    <cellStyle name="Normal 2 4 3 5 2 3" xfId="12770" xr:uid="{E3BE5707-FFC0-468B-B3CD-CCF456E08D63}"/>
    <cellStyle name="Normal 2 4 3 5 2 4" xfId="22069" xr:uid="{C5519DBD-2367-4A7E-862F-DF19E66D7828}"/>
    <cellStyle name="Normal 2 4 3 5 3" xfId="5516" xr:uid="{00000000-0005-0000-0000-000027100000}"/>
    <cellStyle name="Normal 2 4 3 5 3 2" xfId="14842" xr:uid="{DDBF3595-7E2E-4C1F-8F63-78A749BEC39F}"/>
    <cellStyle name="Normal 2 4 3 5 3 3" xfId="24141" xr:uid="{DA6439BB-4859-42AD-A5D5-0BE97169465D}"/>
    <cellStyle name="Normal 2 4 3 5 4" xfId="10625" xr:uid="{703B731B-9606-4BB5-82D4-C82346150403}"/>
    <cellStyle name="Normal 2 4 3 5 5" xfId="19924" xr:uid="{9B7D894A-538A-4618-9C1C-EAD9D9BA102D}"/>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617BC599-7B51-473D-893E-F1C2E4D77DE3}"/>
    <cellStyle name="Normal 2 4 3 6 2 2 3" xfId="26699" xr:uid="{2E2BE586-FD30-4CD2-B765-3067DF723202}"/>
    <cellStyle name="Normal 2 4 3 6 2 3" xfId="13183" xr:uid="{76F4374D-A089-4332-8146-62C96B05CC90}"/>
    <cellStyle name="Normal 2 4 3 6 2 4" xfId="22482" xr:uid="{CDD99C57-8FE2-4060-96EF-4F3CF2382838}"/>
    <cellStyle name="Normal 2 4 3 6 3" xfId="5929" xr:uid="{00000000-0005-0000-0000-00002B100000}"/>
    <cellStyle name="Normal 2 4 3 6 3 2" xfId="15255" xr:uid="{0CD87682-C23D-4F81-BC7E-0008A2E8AC51}"/>
    <cellStyle name="Normal 2 4 3 6 3 3" xfId="24554" xr:uid="{E7301A81-1043-49DB-A859-3BEC57BF9014}"/>
    <cellStyle name="Normal 2 4 3 6 4" xfId="11038" xr:uid="{8DA4932A-A051-48EF-9674-E132C3E78F1D}"/>
    <cellStyle name="Normal 2 4 3 6 5" xfId="20337" xr:uid="{71B14609-FC99-4362-B876-54680ECC806B}"/>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9286BE85-2471-4BCB-B33B-8066BF6F9C86}"/>
    <cellStyle name="Normal 2 4 3 7 2 2 3" xfId="27112" xr:uid="{A11C47E0-2813-4D7E-B272-60853554AB45}"/>
    <cellStyle name="Normal 2 4 3 7 2 3" xfId="13596" xr:uid="{35208404-CD3A-4044-9EA9-BC4E4995C808}"/>
    <cellStyle name="Normal 2 4 3 7 2 4" xfId="22895" xr:uid="{113C426B-3014-4F73-8B0F-6A63D8FABF6D}"/>
    <cellStyle name="Normal 2 4 3 7 3" xfId="6342" xr:uid="{00000000-0005-0000-0000-00002F100000}"/>
    <cellStyle name="Normal 2 4 3 7 3 2" xfId="15668" xr:uid="{19CEEB49-7BC3-4C53-93ED-1FB281CA9106}"/>
    <cellStyle name="Normal 2 4 3 7 3 3" xfId="24967" xr:uid="{48CA55EE-5A94-4939-94C5-B677E4912ECC}"/>
    <cellStyle name="Normal 2 4 3 7 4" xfId="11451" xr:uid="{27217318-35B2-44E0-A9E9-4B9DFAA9B5F7}"/>
    <cellStyle name="Normal 2 4 3 7 5" xfId="20750" xr:uid="{EBF77734-6CD6-403F-8001-C46B047EB298}"/>
    <cellStyle name="Normal 2 4 3 8" xfId="2472" xr:uid="{00000000-0005-0000-0000-000030100000}"/>
    <cellStyle name="Normal 2 4 3 8 2" xfId="6755" xr:uid="{00000000-0005-0000-0000-000031100000}"/>
    <cellStyle name="Normal 2 4 3 8 2 2" xfId="16081" xr:uid="{CE00A160-3176-4131-97A5-B7895BF8B30B}"/>
    <cellStyle name="Normal 2 4 3 8 2 3" xfId="25380" xr:uid="{32ADC2AA-FA69-4F51-924D-9FB8993CB05D}"/>
    <cellStyle name="Normal 2 4 3 8 3" xfId="11864" xr:uid="{627918B0-3179-446D-85B5-4752DC511305}"/>
    <cellStyle name="Normal 2 4 3 8 4" xfId="21163" xr:uid="{A9750B64-AFC5-44FA-83D3-4CE4B6A97796}"/>
    <cellStyle name="Normal 2 4 3 9" xfId="4689" xr:uid="{00000000-0005-0000-0000-000032100000}"/>
    <cellStyle name="Normal 2 4 3 9 2" xfId="14015" xr:uid="{17344D2D-1E44-43C6-AE7B-D2F699C5AA7C}"/>
    <cellStyle name="Normal 2 4 3 9 3" xfId="23314" xr:uid="{514294DA-3093-4C41-9D49-C4D5723EC215}"/>
    <cellStyle name="Normal 2 4 4" xfId="302" xr:uid="{00000000-0005-0000-0000-000033100000}"/>
    <cellStyle name="Normal 2 4 5" xfId="303" xr:uid="{00000000-0005-0000-0000-000034100000}"/>
    <cellStyle name="Normal 2 4 5 10" xfId="4694" xr:uid="{00000000-0005-0000-0000-000035100000}"/>
    <cellStyle name="Normal 2 4 5 10 2" xfId="14020" xr:uid="{F77D0B10-70D3-4E6A-8787-10891519547D}"/>
    <cellStyle name="Normal 2 4 5 10 3" xfId="23319" xr:uid="{5CBBD60B-C69F-4A73-AE4C-DAC5992023DB}"/>
    <cellStyle name="Normal 2 4 5 11" xfId="8780" xr:uid="{7650B30D-5C17-47F0-B17B-A5E27258C29E}"/>
    <cellStyle name="Normal 2 4 5 11 2" xfId="18104" xr:uid="{FD98B930-8AAA-4544-9FAB-6259E3E195B1}"/>
    <cellStyle name="Normal 2 4 5 11 3" xfId="27402" xr:uid="{A7869B9D-F18A-4DAD-8B3B-EA9E7A32A12D}"/>
    <cellStyle name="Normal 2 4 5 12" xfId="9803" xr:uid="{8DB8C50B-8F3E-4B17-95EA-E77E00AE70E6}"/>
    <cellStyle name="Normal 2 4 5 13" xfId="19102" xr:uid="{05F918A5-2EBB-4D16-A84D-CD4FC010D247}"/>
    <cellStyle name="Normal 2 4 5 2" xfId="304" xr:uid="{00000000-0005-0000-0000-000036100000}"/>
    <cellStyle name="Normal 2 4 5 2 10" xfId="8815" xr:uid="{40A5EFE5-2EC9-4F25-B9EC-CAF9321E00F7}"/>
    <cellStyle name="Normal 2 4 5 2 10 2" xfId="18139" xr:uid="{02D2A8E1-BDD1-4F4F-8862-7C5E7A17393D}"/>
    <cellStyle name="Normal 2 4 5 2 10 3" xfId="27437" xr:uid="{08B070A1-288C-4D4D-B283-C9294F63F14A}"/>
    <cellStyle name="Normal 2 4 5 2 11" xfId="9804" xr:uid="{C27E3F28-CF75-4A9F-B1BA-1B9A6B6FC293}"/>
    <cellStyle name="Normal 2 4 5 2 12" xfId="19103" xr:uid="{A4DA16F6-C948-4753-A2DE-1C403B493043}"/>
    <cellStyle name="Normal 2 4 5 2 2" xfId="305" xr:uid="{00000000-0005-0000-0000-000037100000}"/>
    <cellStyle name="Normal 2 4 5 2 2 10" xfId="9805" xr:uid="{9833E4D6-FABC-4A57-92AC-D5EB61759377}"/>
    <cellStyle name="Normal 2 4 5 2 2 11" xfId="19104" xr:uid="{C777D1EF-C230-4FF4-9FFF-A20A8A10E107}"/>
    <cellStyle name="Normal 2 4 5 2 2 2" xfId="306" xr:uid="{00000000-0005-0000-0000-000038100000}"/>
    <cellStyle name="Normal 2 4 5 2 2 2 10" xfId="19105" xr:uid="{48FAB1C9-5925-4861-A385-B969B0A58DEB}"/>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AEBF8245-9242-4033-A6B4-857FA868DCBC}"/>
    <cellStyle name="Normal 2 4 5 2 2 2 2 2 2 3" xfId="25881" xr:uid="{5A98724B-1FEA-49B9-A71C-78417280EAD3}"/>
    <cellStyle name="Normal 2 4 5 2 2 2 2 2 3" xfId="12365" xr:uid="{1E8118E8-4EFA-4AA5-9767-3C6809A9E33D}"/>
    <cellStyle name="Normal 2 4 5 2 2 2 2 2 4" xfId="21664" xr:uid="{63224E09-2601-4245-95A5-6996D3429EBB}"/>
    <cellStyle name="Normal 2 4 5 2 2 2 2 3" xfId="5111" xr:uid="{00000000-0005-0000-0000-00003C100000}"/>
    <cellStyle name="Normal 2 4 5 2 2 2 2 3 2" xfId="14437" xr:uid="{527D5513-891C-4755-B979-FFF15A880232}"/>
    <cellStyle name="Normal 2 4 5 2 2 2 2 3 3" xfId="23736" xr:uid="{D50999A5-FE92-4C96-98B6-D66D46D5D812}"/>
    <cellStyle name="Normal 2 4 5 2 2 2 2 4" xfId="9550" xr:uid="{8A7671EC-AB7E-4F51-9B1B-FE1F0FDC42A9}"/>
    <cellStyle name="Normal 2 4 5 2 2 2 2 4 2" xfId="18865" xr:uid="{964461AF-676C-4B3C-A55A-2DC0C100220A}"/>
    <cellStyle name="Normal 2 4 5 2 2 2 2 4 3" xfId="28162" xr:uid="{BE901271-8466-4A76-8158-1072CB62576B}"/>
    <cellStyle name="Normal 2 4 5 2 2 2 2 5" xfId="10220" xr:uid="{5896E213-58B0-437B-984E-8D50B16999A2}"/>
    <cellStyle name="Normal 2 4 5 2 2 2 2 6" xfId="19519" xr:uid="{CE96E09C-8553-40ED-B5E1-DF0EC7DA13E5}"/>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BCF3098B-1D97-4FD1-9088-F65DC2EB0485}"/>
    <cellStyle name="Normal 2 4 5 2 2 2 3 2 2 3" xfId="26294" xr:uid="{5CC8BD28-EF7A-41D8-BB64-0F615A096458}"/>
    <cellStyle name="Normal 2 4 5 2 2 2 3 2 3" xfId="12778" xr:uid="{3FD85DA0-290B-4A81-82FF-F135A5B74398}"/>
    <cellStyle name="Normal 2 4 5 2 2 2 3 2 4" xfId="22077" xr:uid="{935E00E4-CA35-4914-8489-B98F6987FFD4}"/>
    <cellStyle name="Normal 2 4 5 2 2 2 3 3" xfId="5524" xr:uid="{00000000-0005-0000-0000-000040100000}"/>
    <cellStyle name="Normal 2 4 5 2 2 2 3 3 2" xfId="14850" xr:uid="{C489F299-07B4-48C0-A4AD-8F386FE0A17D}"/>
    <cellStyle name="Normal 2 4 5 2 2 2 3 3 3" xfId="24149" xr:uid="{4CB1E7F0-94F3-43BF-B480-710E33BFD04B}"/>
    <cellStyle name="Normal 2 4 5 2 2 2 3 4" xfId="10633" xr:uid="{0FC86C59-BBD4-4FA6-9AAB-07E25BBACF68}"/>
    <cellStyle name="Normal 2 4 5 2 2 2 3 5" xfId="19932" xr:uid="{100C565F-3D5F-4416-A930-AA37D8FCB8D8}"/>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1D76311C-BF6F-4CC7-9EB5-F069A0AF8C7A}"/>
    <cellStyle name="Normal 2 4 5 2 2 2 4 2 2 3" xfId="26707" xr:uid="{0B70F842-3DF3-4A71-BEE7-2D53FEF9BCD1}"/>
    <cellStyle name="Normal 2 4 5 2 2 2 4 2 3" xfId="13191" xr:uid="{B9591B77-BF64-47AA-9748-1A3D514917EF}"/>
    <cellStyle name="Normal 2 4 5 2 2 2 4 2 4" xfId="22490" xr:uid="{36EA81FC-7864-4A15-A89F-0D8B72A03D25}"/>
    <cellStyle name="Normal 2 4 5 2 2 2 4 3" xfId="5937" xr:uid="{00000000-0005-0000-0000-000044100000}"/>
    <cellStyle name="Normal 2 4 5 2 2 2 4 3 2" xfId="15263" xr:uid="{0C4C00ED-93D6-4F22-B1A8-7B2B11CFA299}"/>
    <cellStyle name="Normal 2 4 5 2 2 2 4 3 3" xfId="24562" xr:uid="{60001131-9853-420E-929C-850554A60250}"/>
    <cellStyle name="Normal 2 4 5 2 2 2 4 4" xfId="11046" xr:uid="{9795E891-8F07-4A68-B6A7-F8FA86807D6C}"/>
    <cellStyle name="Normal 2 4 5 2 2 2 4 5" xfId="20345" xr:uid="{524550D2-B810-4CBF-934B-992783011A79}"/>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99341796-F0C5-4B92-887C-73FC9D11C7AC}"/>
    <cellStyle name="Normal 2 4 5 2 2 2 5 2 2 3" xfId="27120" xr:uid="{E1F00FF5-C52F-4194-A52B-CE76D4459109}"/>
    <cellStyle name="Normal 2 4 5 2 2 2 5 2 3" xfId="13604" xr:uid="{FB200C68-CB9F-461F-BC83-F91A8F512863}"/>
    <cellStyle name="Normal 2 4 5 2 2 2 5 2 4" xfId="22903" xr:uid="{01EF28CB-A7E7-4BCE-BE60-1FAA95FB2FCB}"/>
    <cellStyle name="Normal 2 4 5 2 2 2 5 3" xfId="6350" xr:uid="{00000000-0005-0000-0000-000048100000}"/>
    <cellStyle name="Normal 2 4 5 2 2 2 5 3 2" xfId="15676" xr:uid="{7FEE0767-EDF6-4B67-9BF0-06B9F6BE44B3}"/>
    <cellStyle name="Normal 2 4 5 2 2 2 5 3 3" xfId="24975" xr:uid="{EB44599C-D6C1-4655-8A8D-4D035FC7374E}"/>
    <cellStyle name="Normal 2 4 5 2 2 2 5 4" xfId="11459" xr:uid="{6BD611FA-5FE6-40B4-B857-2E6423CD4F3E}"/>
    <cellStyle name="Normal 2 4 5 2 2 2 5 5" xfId="20758" xr:uid="{41271C7C-B9F9-4356-9EE6-330EA94BD580}"/>
    <cellStyle name="Normal 2 4 5 2 2 2 6" xfId="2480" xr:uid="{00000000-0005-0000-0000-000049100000}"/>
    <cellStyle name="Normal 2 4 5 2 2 2 6 2" xfId="6763" xr:uid="{00000000-0005-0000-0000-00004A100000}"/>
    <cellStyle name="Normal 2 4 5 2 2 2 6 2 2" xfId="16089" xr:uid="{C2294DED-50D0-4F8A-BD4E-6D01C4CDF85D}"/>
    <cellStyle name="Normal 2 4 5 2 2 2 6 2 3" xfId="25388" xr:uid="{F439DC61-BC2C-4077-BCC4-C83FD0CADC67}"/>
    <cellStyle name="Normal 2 4 5 2 2 2 6 3" xfId="11872" xr:uid="{82FB19A8-FBBE-4E0E-BA8A-14A5712DA48C}"/>
    <cellStyle name="Normal 2 4 5 2 2 2 6 4" xfId="21171" xr:uid="{2957060F-8353-44BA-9695-5E78F4027318}"/>
    <cellStyle name="Normal 2 4 5 2 2 2 7" xfId="4697" xr:uid="{00000000-0005-0000-0000-00004B100000}"/>
    <cellStyle name="Normal 2 4 5 2 2 2 7 2" xfId="14023" xr:uid="{DEA4F50E-146F-434A-AEAE-28BB7B4D9504}"/>
    <cellStyle name="Normal 2 4 5 2 2 2 7 3" xfId="23322" xr:uid="{086376E1-7BB1-47BA-9805-8D0BE03A2896}"/>
    <cellStyle name="Normal 2 4 5 2 2 2 8" xfId="9125" xr:uid="{AE6B93A1-5C0B-49F1-AF15-6FC3FAFFE3B2}"/>
    <cellStyle name="Normal 2 4 5 2 2 2 8 2" xfId="18449" xr:uid="{FE18D438-5971-489D-BA32-4E88156F1450}"/>
    <cellStyle name="Normal 2 4 5 2 2 2 8 3" xfId="27747" xr:uid="{3FC6061E-CB5B-4CFE-AE0B-6A803429A1BB}"/>
    <cellStyle name="Normal 2 4 5 2 2 2 9" xfId="9806" xr:uid="{83B3A03C-5D03-4A6F-97D8-E225C88E9087}"/>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6397D118-6C06-4FF0-B74E-FBE775494CE7}"/>
    <cellStyle name="Normal 2 4 5 2 2 3 2 2 3" xfId="25880" xr:uid="{2256BF6C-41F9-42EC-8C89-48EEA4A84CF8}"/>
    <cellStyle name="Normal 2 4 5 2 2 3 2 3" xfId="12364" xr:uid="{D8E755B0-9EE7-41B8-ADBD-B62A274E66E1}"/>
    <cellStyle name="Normal 2 4 5 2 2 3 2 4" xfId="21663" xr:uid="{50506702-0ECD-4443-B43F-41FE99D80A8A}"/>
    <cellStyle name="Normal 2 4 5 2 2 3 3" xfId="5110" xr:uid="{00000000-0005-0000-0000-00004F100000}"/>
    <cellStyle name="Normal 2 4 5 2 2 3 3 2" xfId="14436" xr:uid="{37821DED-9C8D-4093-9EEF-A6CA2EA1EDF9}"/>
    <cellStyle name="Normal 2 4 5 2 2 3 3 3" xfId="23735" xr:uid="{78646534-95C3-470C-BD5E-CD3C99ED50E3}"/>
    <cellStyle name="Normal 2 4 5 2 2 3 4" xfId="9343" xr:uid="{FC4CD386-4202-45E2-8021-2A85CACF4E8B}"/>
    <cellStyle name="Normal 2 4 5 2 2 3 4 2" xfId="18658" xr:uid="{D275575A-D203-43FD-B5BE-122EF638A51B}"/>
    <cellStyle name="Normal 2 4 5 2 2 3 4 3" xfId="27955" xr:uid="{58F073D0-2095-4A71-8D70-B125E12D8484}"/>
    <cellStyle name="Normal 2 4 5 2 2 3 5" xfId="10219" xr:uid="{6EC64411-5EDD-4366-AC0F-69B788FD7A0E}"/>
    <cellStyle name="Normal 2 4 5 2 2 3 6" xfId="19518" xr:uid="{145EFFBA-172B-47CE-B829-CD9AD8AD6B51}"/>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75958BF7-4808-467C-9F26-99655C97FB9C}"/>
    <cellStyle name="Normal 2 4 5 2 2 4 2 2 3" xfId="26293" xr:uid="{F8986610-1F2C-4D4C-90A3-81A24B3371B5}"/>
    <cellStyle name="Normal 2 4 5 2 2 4 2 3" xfId="12777" xr:uid="{273D8FBE-1D65-4658-91E5-54C5550A6324}"/>
    <cellStyle name="Normal 2 4 5 2 2 4 2 4" xfId="22076" xr:uid="{65CED3AE-F9DD-4C6E-9355-FDED03378B78}"/>
    <cellStyle name="Normal 2 4 5 2 2 4 3" xfId="5523" xr:uid="{00000000-0005-0000-0000-000053100000}"/>
    <cellStyle name="Normal 2 4 5 2 2 4 3 2" xfId="14849" xr:uid="{7D0424D2-8F03-4A70-8C82-887AFC3C530C}"/>
    <cellStyle name="Normal 2 4 5 2 2 4 3 3" xfId="24148" xr:uid="{938187C5-1196-44EB-B613-E87781622F57}"/>
    <cellStyle name="Normal 2 4 5 2 2 4 4" xfId="10632" xr:uid="{A2B961F4-6F71-443F-A91E-D659BBEAE4CE}"/>
    <cellStyle name="Normal 2 4 5 2 2 4 5" xfId="19931" xr:uid="{7D48B4D1-32E0-4FAD-A5D3-4BDF1E2CB511}"/>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BD0B71F2-B103-4E25-8A50-D9CE3B4972BD}"/>
    <cellStyle name="Normal 2 4 5 2 2 5 2 2 3" xfId="26706" xr:uid="{383670D7-FB8B-4D8B-9490-A927BFA6A8CF}"/>
    <cellStyle name="Normal 2 4 5 2 2 5 2 3" xfId="13190" xr:uid="{BF97746F-A201-4FBB-9286-7260AC121D14}"/>
    <cellStyle name="Normal 2 4 5 2 2 5 2 4" xfId="22489" xr:uid="{A9DB8B4B-3AB7-4F3D-BAA5-BC3A797DEF89}"/>
    <cellStyle name="Normal 2 4 5 2 2 5 3" xfId="5936" xr:uid="{00000000-0005-0000-0000-000057100000}"/>
    <cellStyle name="Normal 2 4 5 2 2 5 3 2" xfId="15262" xr:uid="{F4608B93-6B04-436D-8595-71C0B06FB374}"/>
    <cellStyle name="Normal 2 4 5 2 2 5 3 3" xfId="24561" xr:uid="{3F42EF47-54FB-46D0-AED7-CA0A3685B8AA}"/>
    <cellStyle name="Normal 2 4 5 2 2 5 4" xfId="11045" xr:uid="{9D6373D6-F1E8-4F22-ACC6-26B5830E02C6}"/>
    <cellStyle name="Normal 2 4 5 2 2 5 5" xfId="20344" xr:uid="{C405918B-C14C-40CF-8992-C46D4ACD45C1}"/>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4548C83C-4EE5-4D49-BF20-3FD1678E99A7}"/>
    <cellStyle name="Normal 2 4 5 2 2 6 2 2 3" xfId="27119" xr:uid="{339079D3-0A8D-4ADE-9069-F29AF079BB5B}"/>
    <cellStyle name="Normal 2 4 5 2 2 6 2 3" xfId="13603" xr:uid="{240B77D4-3E9C-44D7-843D-4F1100718E32}"/>
    <cellStyle name="Normal 2 4 5 2 2 6 2 4" xfId="22902" xr:uid="{E0AEEB72-1D67-4078-9B5E-EDB272154904}"/>
    <cellStyle name="Normal 2 4 5 2 2 6 3" xfId="6349" xr:uid="{00000000-0005-0000-0000-00005B100000}"/>
    <cellStyle name="Normal 2 4 5 2 2 6 3 2" xfId="15675" xr:uid="{527D4A3E-6A8A-4739-A254-B00B2349D6E9}"/>
    <cellStyle name="Normal 2 4 5 2 2 6 3 3" xfId="24974" xr:uid="{E59DEDFB-272C-4E54-94B2-43CB847FD764}"/>
    <cellStyle name="Normal 2 4 5 2 2 6 4" xfId="11458" xr:uid="{34698D4A-FBC4-41E0-956D-2C28A5DC5D6E}"/>
    <cellStyle name="Normal 2 4 5 2 2 6 5" xfId="20757" xr:uid="{42E9CC1F-25C6-41B8-BC15-F577B2646FFD}"/>
    <cellStyle name="Normal 2 4 5 2 2 7" xfId="2479" xr:uid="{00000000-0005-0000-0000-00005C100000}"/>
    <cellStyle name="Normal 2 4 5 2 2 7 2" xfId="6762" xr:uid="{00000000-0005-0000-0000-00005D100000}"/>
    <cellStyle name="Normal 2 4 5 2 2 7 2 2" xfId="16088" xr:uid="{05EE34EC-1589-4C11-B9FD-1A89BE2F1D31}"/>
    <cellStyle name="Normal 2 4 5 2 2 7 2 3" xfId="25387" xr:uid="{B3377DB4-8BBD-4056-9006-206FF431C857}"/>
    <cellStyle name="Normal 2 4 5 2 2 7 3" xfId="11871" xr:uid="{A617D57A-78A3-48BB-86F5-C012F587648B}"/>
    <cellStyle name="Normal 2 4 5 2 2 7 4" xfId="21170" xr:uid="{520F360C-1C45-46F0-B400-92AAB82BE558}"/>
    <cellStyle name="Normal 2 4 5 2 2 8" xfId="4696" xr:uid="{00000000-0005-0000-0000-00005E100000}"/>
    <cellStyle name="Normal 2 4 5 2 2 8 2" xfId="14022" xr:uid="{AA31BF85-8371-4FC5-BECA-840E1BD8C92B}"/>
    <cellStyle name="Normal 2 4 5 2 2 8 3" xfId="23321" xr:uid="{E8469AC3-516F-49B1-B0F8-99E21599E532}"/>
    <cellStyle name="Normal 2 4 5 2 2 9" xfId="8918" xr:uid="{C191AFB9-5B9B-45BF-8589-0BB68E370D0F}"/>
    <cellStyle name="Normal 2 4 5 2 2 9 2" xfId="18242" xr:uid="{965CF346-16AB-4B55-B55A-97866C671552}"/>
    <cellStyle name="Normal 2 4 5 2 2 9 3" xfId="27540" xr:uid="{6035DC5A-2FBB-4BB7-BD96-51DEBEB9ED8B}"/>
    <cellStyle name="Normal 2 4 5 2 3" xfId="307" xr:uid="{00000000-0005-0000-0000-00005F100000}"/>
    <cellStyle name="Normal 2 4 5 2 3 10" xfId="19106" xr:uid="{D47DEBA4-4CCD-429F-9C92-0FFBFE153A62}"/>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5DED2C8B-756A-48CC-9A53-FC6973B245B9}"/>
    <cellStyle name="Normal 2 4 5 2 3 2 2 2 3" xfId="25882" xr:uid="{B468AEF5-A144-488B-9998-349E14889C4F}"/>
    <cellStyle name="Normal 2 4 5 2 3 2 2 3" xfId="12366" xr:uid="{E173BAC0-E5FB-40F2-A98B-DE07886540C6}"/>
    <cellStyle name="Normal 2 4 5 2 3 2 2 4" xfId="21665" xr:uid="{84C727CE-42AD-4CCE-BFDA-D984727D5F43}"/>
    <cellStyle name="Normal 2 4 5 2 3 2 3" xfId="5112" xr:uid="{00000000-0005-0000-0000-000063100000}"/>
    <cellStyle name="Normal 2 4 5 2 3 2 3 2" xfId="14438" xr:uid="{88CD1F0B-2578-4AE5-93F2-FFDE8CE8A114}"/>
    <cellStyle name="Normal 2 4 5 2 3 2 3 3" xfId="23737" xr:uid="{D880B0EE-51A3-49CD-AD4D-8F583E9FD438}"/>
    <cellStyle name="Normal 2 4 5 2 3 2 4" xfId="9447" xr:uid="{5DAE67B2-15F6-4C7F-9310-B9C816D42F72}"/>
    <cellStyle name="Normal 2 4 5 2 3 2 4 2" xfId="18762" xr:uid="{A1C1D1A3-816E-4571-B2C3-7A3B67F29F50}"/>
    <cellStyle name="Normal 2 4 5 2 3 2 4 3" xfId="28059" xr:uid="{A3E26EAB-26A5-47E2-8AE5-0205397269C7}"/>
    <cellStyle name="Normal 2 4 5 2 3 2 5" xfId="10221" xr:uid="{25C34788-1F1F-42F0-87A6-E1DC6C78B64B}"/>
    <cellStyle name="Normal 2 4 5 2 3 2 6" xfId="19520" xr:uid="{DDB83A20-28E0-4CAD-8920-6C1013096BC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013540A9-087F-4989-94B5-7B4FC89276F5}"/>
    <cellStyle name="Normal 2 4 5 2 3 3 2 2 3" xfId="26295" xr:uid="{F44DCFCC-CB1D-4EDD-9FF6-5AEC76CAE48D}"/>
    <cellStyle name="Normal 2 4 5 2 3 3 2 3" xfId="12779" xr:uid="{0DC3EDE1-AE25-4551-9687-2D96C04DA433}"/>
    <cellStyle name="Normal 2 4 5 2 3 3 2 4" xfId="22078" xr:uid="{A683932D-D5A5-438F-B2D7-062ABCB365B6}"/>
    <cellStyle name="Normal 2 4 5 2 3 3 3" xfId="5525" xr:uid="{00000000-0005-0000-0000-000067100000}"/>
    <cellStyle name="Normal 2 4 5 2 3 3 3 2" xfId="14851" xr:uid="{777827E5-4D5F-4690-81D6-81E56FEDE72D}"/>
    <cellStyle name="Normal 2 4 5 2 3 3 3 3" xfId="24150" xr:uid="{64ECC455-7B31-4B68-B9D9-9AB8A1FBE6FE}"/>
    <cellStyle name="Normal 2 4 5 2 3 3 4" xfId="10634" xr:uid="{F65672B3-3093-478A-BE9B-F72834F2AAFF}"/>
    <cellStyle name="Normal 2 4 5 2 3 3 5" xfId="19933" xr:uid="{90898E0C-C856-4742-946C-0D62A4B323ED}"/>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6EFABC3A-8F96-43EF-B0E7-EEC1FCA58F7B}"/>
    <cellStyle name="Normal 2 4 5 2 3 4 2 2 3" xfId="26708" xr:uid="{5B505D4D-AD8E-41EE-8980-859ECCD5F8E6}"/>
    <cellStyle name="Normal 2 4 5 2 3 4 2 3" xfId="13192" xr:uid="{C6B5F353-653D-4717-9F2E-D6337E7A4BE6}"/>
    <cellStyle name="Normal 2 4 5 2 3 4 2 4" xfId="22491" xr:uid="{101B7CD6-6EDA-4347-A926-3EE8EA011067}"/>
    <cellStyle name="Normal 2 4 5 2 3 4 3" xfId="5938" xr:uid="{00000000-0005-0000-0000-00006B100000}"/>
    <cellStyle name="Normal 2 4 5 2 3 4 3 2" xfId="15264" xr:uid="{DF2B3E7C-2FB9-4BF3-9781-9E7758676BAF}"/>
    <cellStyle name="Normal 2 4 5 2 3 4 3 3" xfId="24563" xr:uid="{9FB9992C-D14D-4CB8-936E-2EC3CC9762DE}"/>
    <cellStyle name="Normal 2 4 5 2 3 4 4" xfId="11047" xr:uid="{97691C3E-32A5-4B17-AEF9-13837CCCA27C}"/>
    <cellStyle name="Normal 2 4 5 2 3 4 5" xfId="20346" xr:uid="{0AD76A95-EBBF-4012-97AC-2A5D4ADE44B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5FEAC6FE-1BBA-4AE1-90DA-41E1C3072EB6}"/>
    <cellStyle name="Normal 2 4 5 2 3 5 2 2 3" xfId="27121" xr:uid="{45F5F1E8-A650-495B-AF93-CB0984F226DF}"/>
    <cellStyle name="Normal 2 4 5 2 3 5 2 3" xfId="13605" xr:uid="{4AEE9D28-BE20-41C2-A9FB-1EB0329D795B}"/>
    <cellStyle name="Normal 2 4 5 2 3 5 2 4" xfId="22904" xr:uid="{6D19311D-DC32-4400-8721-C12C5622458C}"/>
    <cellStyle name="Normal 2 4 5 2 3 5 3" xfId="6351" xr:uid="{00000000-0005-0000-0000-00006F100000}"/>
    <cellStyle name="Normal 2 4 5 2 3 5 3 2" xfId="15677" xr:uid="{E23B2E9A-DC6C-481A-B676-39BC5826670C}"/>
    <cellStyle name="Normal 2 4 5 2 3 5 3 3" xfId="24976" xr:uid="{8C34FBCA-F893-45C1-A6F3-72DAACF08699}"/>
    <cellStyle name="Normal 2 4 5 2 3 5 4" xfId="11460" xr:uid="{EB24E409-B3FB-4118-A3A1-A4DB315FE340}"/>
    <cellStyle name="Normal 2 4 5 2 3 5 5" xfId="20759" xr:uid="{409884BE-D21B-4231-AD25-AAA14CCDC52D}"/>
    <cellStyle name="Normal 2 4 5 2 3 6" xfId="2481" xr:uid="{00000000-0005-0000-0000-000070100000}"/>
    <cellStyle name="Normal 2 4 5 2 3 6 2" xfId="6764" xr:uid="{00000000-0005-0000-0000-000071100000}"/>
    <cellStyle name="Normal 2 4 5 2 3 6 2 2" xfId="16090" xr:uid="{90961332-6D1A-4900-BBC0-CD6C2EFEEF68}"/>
    <cellStyle name="Normal 2 4 5 2 3 6 2 3" xfId="25389" xr:uid="{2B0FDACD-778F-4FCF-98CE-36DB6A34CF05}"/>
    <cellStyle name="Normal 2 4 5 2 3 6 3" xfId="11873" xr:uid="{7A793F11-1096-45A4-ADCF-A2A30D955779}"/>
    <cellStyle name="Normal 2 4 5 2 3 6 4" xfId="21172" xr:uid="{D8C1A4F0-6DDC-4603-860C-B89E14163BBA}"/>
    <cellStyle name="Normal 2 4 5 2 3 7" xfId="4698" xr:uid="{00000000-0005-0000-0000-000072100000}"/>
    <cellStyle name="Normal 2 4 5 2 3 7 2" xfId="14024" xr:uid="{2782DB7F-A4C1-4136-9DAF-C50F18CD290E}"/>
    <cellStyle name="Normal 2 4 5 2 3 7 3" xfId="23323" xr:uid="{47807568-2AE2-4D71-9B56-11DD197CD571}"/>
    <cellStyle name="Normal 2 4 5 2 3 8" xfId="9022" xr:uid="{B979F5DF-A88B-437D-B1B4-B92D08856DC7}"/>
    <cellStyle name="Normal 2 4 5 2 3 8 2" xfId="18346" xr:uid="{B2867656-1425-4895-B769-66CDEDE95C87}"/>
    <cellStyle name="Normal 2 4 5 2 3 8 3" xfId="27644" xr:uid="{818D2769-9595-4CA9-9ED5-A3960F36A9F3}"/>
    <cellStyle name="Normal 2 4 5 2 3 9" xfId="9807" xr:uid="{265586FF-7047-405E-8118-8B44C5B42CE8}"/>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3E2EF817-A6E2-4D80-BB92-EA99BD5C932C}"/>
    <cellStyle name="Normal 2 4 5 2 4 2 2 3" xfId="25879" xr:uid="{7CF71B8B-867A-4104-9FF4-9742E1F6543F}"/>
    <cellStyle name="Normal 2 4 5 2 4 2 3" xfId="12363" xr:uid="{593345DD-CE9F-4783-A103-08216E8756F0}"/>
    <cellStyle name="Normal 2 4 5 2 4 2 4" xfId="21662" xr:uid="{40F57B07-DA76-48AE-AF13-E3583FF688E6}"/>
    <cellStyle name="Normal 2 4 5 2 4 3" xfId="5109" xr:uid="{00000000-0005-0000-0000-000076100000}"/>
    <cellStyle name="Normal 2 4 5 2 4 3 2" xfId="14435" xr:uid="{90F57051-68FA-45BD-8FA2-06294F77692F}"/>
    <cellStyle name="Normal 2 4 5 2 4 3 3" xfId="23734" xr:uid="{005E0BC6-F02C-4E3C-89E2-041129CA00B9}"/>
    <cellStyle name="Normal 2 4 5 2 4 4" xfId="9240" xr:uid="{16FBE981-4867-4157-8C0D-9C1339DB5B3F}"/>
    <cellStyle name="Normal 2 4 5 2 4 4 2" xfId="18555" xr:uid="{81312E53-DE9E-43BA-8CF1-05210C22F9C6}"/>
    <cellStyle name="Normal 2 4 5 2 4 4 3" xfId="27852" xr:uid="{EB459706-EB6B-443A-9E20-9E49301BF68C}"/>
    <cellStyle name="Normal 2 4 5 2 4 5" xfId="10218" xr:uid="{EA9061F5-DD75-4C6B-ABC1-A97387A63DBF}"/>
    <cellStyle name="Normal 2 4 5 2 4 6" xfId="19517" xr:uid="{E3484EBC-0DD1-4DC7-9E4C-D8C9678C3A3C}"/>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FD5B5962-F8F5-4306-B93C-192D26E6110A}"/>
    <cellStyle name="Normal 2 4 5 2 5 2 2 3" xfId="26292" xr:uid="{23D8A069-B5D4-4C70-AA55-CB236FEA965D}"/>
    <cellStyle name="Normal 2 4 5 2 5 2 3" xfId="12776" xr:uid="{4E8A6D0A-C092-4B51-A63E-A8CA253E672F}"/>
    <cellStyle name="Normal 2 4 5 2 5 2 4" xfId="22075" xr:uid="{1153F113-2C57-4463-A088-080755087943}"/>
    <cellStyle name="Normal 2 4 5 2 5 3" xfId="5522" xr:uid="{00000000-0005-0000-0000-00007A100000}"/>
    <cellStyle name="Normal 2 4 5 2 5 3 2" xfId="14848" xr:uid="{5433D2F4-2DBA-42D6-B868-2A9BB2B551D1}"/>
    <cellStyle name="Normal 2 4 5 2 5 3 3" xfId="24147" xr:uid="{3B128656-52E1-4B41-9C43-616AA3918A4D}"/>
    <cellStyle name="Normal 2 4 5 2 5 4" xfId="10631" xr:uid="{0E8EA815-A159-4EAD-8086-635D4E9629E9}"/>
    <cellStyle name="Normal 2 4 5 2 5 5" xfId="19930" xr:uid="{DB15A7B1-45FD-4A47-94B6-FA86C0B73AD3}"/>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F4A560DE-3455-4780-9644-8A0CBB6DF0F9}"/>
    <cellStyle name="Normal 2 4 5 2 6 2 2 3" xfId="26705" xr:uid="{3529510D-83C8-4407-AAFE-5692832238A8}"/>
    <cellStyle name="Normal 2 4 5 2 6 2 3" xfId="13189" xr:uid="{ADC0EDA2-A9DD-48B1-87B5-60EC9A645996}"/>
    <cellStyle name="Normal 2 4 5 2 6 2 4" xfId="22488" xr:uid="{2A1C13D8-33DD-4197-BE2C-D398CDE3E049}"/>
    <cellStyle name="Normal 2 4 5 2 6 3" xfId="5935" xr:uid="{00000000-0005-0000-0000-00007E100000}"/>
    <cellStyle name="Normal 2 4 5 2 6 3 2" xfId="15261" xr:uid="{320487F7-3D6D-4898-9512-0C2916E553A9}"/>
    <cellStyle name="Normal 2 4 5 2 6 3 3" xfId="24560" xr:uid="{A28AE585-11E7-4838-B11E-254C8E1DDEEA}"/>
    <cellStyle name="Normal 2 4 5 2 6 4" xfId="11044" xr:uid="{ED42E127-B897-4066-BCD7-AB5D26E7A69A}"/>
    <cellStyle name="Normal 2 4 5 2 6 5" xfId="20343" xr:uid="{FE7E4C2B-CCEC-426D-9976-224D330AB26F}"/>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7ACDC873-0BA8-49E2-B58F-0110565C0C3A}"/>
    <cellStyle name="Normal 2 4 5 2 7 2 2 3" xfId="27118" xr:uid="{8C834C5E-9D52-47F1-AEFE-50A86CE0560E}"/>
    <cellStyle name="Normal 2 4 5 2 7 2 3" xfId="13602" xr:uid="{322D94F0-CEC0-432C-9F66-A5AFF844BF26}"/>
    <cellStyle name="Normal 2 4 5 2 7 2 4" xfId="22901" xr:uid="{3416E55F-2EA1-421D-B8B5-95416527991E}"/>
    <cellStyle name="Normal 2 4 5 2 7 3" xfId="6348" xr:uid="{00000000-0005-0000-0000-000082100000}"/>
    <cellStyle name="Normal 2 4 5 2 7 3 2" xfId="15674" xr:uid="{594E2EF6-87EF-4407-99D0-C4B66AC4581D}"/>
    <cellStyle name="Normal 2 4 5 2 7 3 3" xfId="24973" xr:uid="{E99CAC79-EF1F-4042-9CF3-EA3F479CE619}"/>
    <cellStyle name="Normal 2 4 5 2 7 4" xfId="11457" xr:uid="{D2175F19-1D25-44EC-815D-264681076AF3}"/>
    <cellStyle name="Normal 2 4 5 2 7 5" xfId="20756" xr:uid="{5B19F8FF-0C18-4E98-9BCE-B85DA76E73A5}"/>
    <cellStyle name="Normal 2 4 5 2 8" xfId="2478" xr:uid="{00000000-0005-0000-0000-000083100000}"/>
    <cellStyle name="Normal 2 4 5 2 8 2" xfId="6761" xr:uid="{00000000-0005-0000-0000-000084100000}"/>
    <cellStyle name="Normal 2 4 5 2 8 2 2" xfId="16087" xr:uid="{B8E35CD9-B8B1-4D10-B1AA-EE66E745BF1D}"/>
    <cellStyle name="Normal 2 4 5 2 8 2 3" xfId="25386" xr:uid="{D89B1EA2-678C-4D21-8332-8414B5AE452A}"/>
    <cellStyle name="Normal 2 4 5 2 8 3" xfId="11870" xr:uid="{533921D1-791C-4778-AB86-15DC917C9760}"/>
    <cellStyle name="Normal 2 4 5 2 8 4" xfId="21169" xr:uid="{35ACBB0B-62D9-4CB5-BD15-04E58C82ACE9}"/>
    <cellStyle name="Normal 2 4 5 2 9" xfId="4695" xr:uid="{00000000-0005-0000-0000-000085100000}"/>
    <cellStyle name="Normal 2 4 5 2 9 2" xfId="14021" xr:uid="{63586359-A830-4E73-8456-F3737CD42027}"/>
    <cellStyle name="Normal 2 4 5 2 9 3" xfId="23320" xr:uid="{4612245F-66B5-45B2-8A9B-3DDF7A04024B}"/>
    <cellStyle name="Normal 2 4 5 3" xfId="308" xr:uid="{00000000-0005-0000-0000-000086100000}"/>
    <cellStyle name="Normal 2 4 5 3 10" xfId="9808" xr:uid="{F224A918-A531-4A85-8152-DF1F97289D2F}"/>
    <cellStyle name="Normal 2 4 5 3 11" xfId="19107" xr:uid="{83E45F48-1047-488A-B09F-B71261AE311A}"/>
    <cellStyle name="Normal 2 4 5 3 2" xfId="309" xr:uid="{00000000-0005-0000-0000-000087100000}"/>
    <cellStyle name="Normal 2 4 5 3 2 10" xfId="19108" xr:uid="{57EFA9E0-E046-43C9-8EA3-DE67E2B1C0E3}"/>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F478B032-360B-4CAE-9615-E91BC6BC9A7E}"/>
    <cellStyle name="Normal 2 4 5 3 2 2 2 2 3" xfId="25884" xr:uid="{8ADD2A3B-BB6E-459D-84E4-CC0F094FD7BB}"/>
    <cellStyle name="Normal 2 4 5 3 2 2 2 3" xfId="12368" xr:uid="{B89058E7-7377-443D-8DB9-3F666A8DBD17}"/>
    <cellStyle name="Normal 2 4 5 3 2 2 2 4" xfId="21667" xr:uid="{47EBDA0C-4254-42B0-9C1C-8465DE2D0D6A}"/>
    <cellStyle name="Normal 2 4 5 3 2 2 3" xfId="5114" xr:uid="{00000000-0005-0000-0000-00008B100000}"/>
    <cellStyle name="Normal 2 4 5 3 2 2 3 2" xfId="14440" xr:uid="{71507410-FDF8-4E8C-8E60-7E3436A0A31A}"/>
    <cellStyle name="Normal 2 4 5 3 2 2 3 3" xfId="23739" xr:uid="{B8809B11-5CED-4162-B2D5-44F923C94B1D}"/>
    <cellStyle name="Normal 2 4 5 3 2 2 4" xfId="9515" xr:uid="{A1D6949C-773D-44DB-B26F-4DD01D24FF00}"/>
    <cellStyle name="Normal 2 4 5 3 2 2 4 2" xfId="18830" xr:uid="{9F01B1B3-84F8-4EF4-A2F9-8027A70F6CAB}"/>
    <cellStyle name="Normal 2 4 5 3 2 2 4 3" xfId="28127" xr:uid="{C7459C75-1473-48CB-A079-4295053FA16F}"/>
    <cellStyle name="Normal 2 4 5 3 2 2 5" xfId="10223" xr:uid="{C6185091-9DCE-4CD9-AFCA-66838419F19E}"/>
    <cellStyle name="Normal 2 4 5 3 2 2 6" xfId="19522" xr:uid="{03C03163-AAEF-4E0F-AB04-27A83159A175}"/>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4004615E-55E5-486A-BC92-F88DF567B3DC}"/>
    <cellStyle name="Normal 2 4 5 3 2 3 2 2 3" xfId="26297" xr:uid="{A5C88204-3F38-45A1-B893-7A0629CFAB5C}"/>
    <cellStyle name="Normal 2 4 5 3 2 3 2 3" xfId="12781" xr:uid="{8955B04A-77D8-49D1-ADBE-277237DC5F29}"/>
    <cellStyle name="Normal 2 4 5 3 2 3 2 4" xfId="22080" xr:uid="{22E96DC5-CB25-42C1-A465-B980B11F4E63}"/>
    <cellStyle name="Normal 2 4 5 3 2 3 3" xfId="5527" xr:uid="{00000000-0005-0000-0000-00008F100000}"/>
    <cellStyle name="Normal 2 4 5 3 2 3 3 2" xfId="14853" xr:uid="{6A2B6033-DF5C-47BE-ACB9-4348C61EE27C}"/>
    <cellStyle name="Normal 2 4 5 3 2 3 3 3" xfId="24152" xr:uid="{54CA9245-65E2-4056-929A-F28702AA8DA3}"/>
    <cellStyle name="Normal 2 4 5 3 2 3 4" xfId="10636" xr:uid="{81C299B1-8D76-433C-987E-ED2C481F2D6B}"/>
    <cellStyle name="Normal 2 4 5 3 2 3 5" xfId="19935" xr:uid="{431F4DBE-3103-42E2-BE4A-15CD2C0D4F6A}"/>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6AAC9EEC-6DF2-40AD-8A0E-C3D1124A273C}"/>
    <cellStyle name="Normal 2 4 5 3 2 4 2 2 3" xfId="26710" xr:uid="{A3C5D1B8-0C7E-40DE-8BF4-3E888D4DB75A}"/>
    <cellStyle name="Normal 2 4 5 3 2 4 2 3" xfId="13194" xr:uid="{6414433A-785E-49ED-A028-B37BFED191FF}"/>
    <cellStyle name="Normal 2 4 5 3 2 4 2 4" xfId="22493" xr:uid="{854A7FD2-BAAD-4EE5-A297-E54C58892F56}"/>
    <cellStyle name="Normal 2 4 5 3 2 4 3" xfId="5940" xr:uid="{00000000-0005-0000-0000-000093100000}"/>
    <cellStyle name="Normal 2 4 5 3 2 4 3 2" xfId="15266" xr:uid="{EEB5C7AA-0674-4B6E-8998-531A2DECD925}"/>
    <cellStyle name="Normal 2 4 5 3 2 4 3 3" xfId="24565" xr:uid="{146C4A42-A425-4942-8C07-F39D1AEB0B96}"/>
    <cellStyle name="Normal 2 4 5 3 2 4 4" xfId="11049" xr:uid="{6109472C-D199-4351-9732-5DE253CBA0AE}"/>
    <cellStyle name="Normal 2 4 5 3 2 4 5" xfId="20348" xr:uid="{68D9BC38-E376-462D-9181-B8D111C7CF28}"/>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69E46162-F83E-404B-ABC6-751FE0B9E142}"/>
    <cellStyle name="Normal 2 4 5 3 2 5 2 2 3" xfId="27123" xr:uid="{E8DA42C1-3E05-4F27-9FA4-1A74EFD23A03}"/>
    <cellStyle name="Normal 2 4 5 3 2 5 2 3" xfId="13607" xr:uid="{4DB22E59-9F5F-4403-B6E4-5B5547B1F02B}"/>
    <cellStyle name="Normal 2 4 5 3 2 5 2 4" xfId="22906" xr:uid="{0E543986-B06F-450A-A7E6-5E7C791E1A48}"/>
    <cellStyle name="Normal 2 4 5 3 2 5 3" xfId="6353" xr:uid="{00000000-0005-0000-0000-000097100000}"/>
    <cellStyle name="Normal 2 4 5 3 2 5 3 2" xfId="15679" xr:uid="{64D1F7B3-872B-4DD5-BFB9-6DED833E3518}"/>
    <cellStyle name="Normal 2 4 5 3 2 5 3 3" xfId="24978" xr:uid="{9C8B3313-66E8-402D-98D9-990EC3379DCF}"/>
    <cellStyle name="Normal 2 4 5 3 2 5 4" xfId="11462" xr:uid="{FA46B2F3-D374-468B-8F3D-C7FBDEAF16EB}"/>
    <cellStyle name="Normal 2 4 5 3 2 5 5" xfId="20761" xr:uid="{0192A215-3BCA-4FB7-BC68-DBA4FE042945}"/>
    <cellStyle name="Normal 2 4 5 3 2 6" xfId="2483" xr:uid="{00000000-0005-0000-0000-000098100000}"/>
    <cellStyle name="Normal 2 4 5 3 2 6 2" xfId="6766" xr:uid="{00000000-0005-0000-0000-000099100000}"/>
    <cellStyle name="Normal 2 4 5 3 2 6 2 2" xfId="16092" xr:uid="{98065082-A126-4F60-B1C6-613CA2873C2F}"/>
    <cellStyle name="Normal 2 4 5 3 2 6 2 3" xfId="25391" xr:uid="{EEAB49BF-FBC1-4179-AE86-F15E78F82D07}"/>
    <cellStyle name="Normal 2 4 5 3 2 6 3" xfId="11875" xr:uid="{ADAC2BAA-C368-4BED-B82F-DD52940F9D8D}"/>
    <cellStyle name="Normal 2 4 5 3 2 6 4" xfId="21174" xr:uid="{27D08DC6-AE28-48AC-A17E-0A285F921AA8}"/>
    <cellStyle name="Normal 2 4 5 3 2 7" xfId="4700" xr:uid="{00000000-0005-0000-0000-00009A100000}"/>
    <cellStyle name="Normal 2 4 5 3 2 7 2" xfId="14026" xr:uid="{47B13861-9AFA-416D-B1EE-E694F3B0C246}"/>
    <cellStyle name="Normal 2 4 5 3 2 7 3" xfId="23325" xr:uid="{99FC4DA6-7B28-4AE0-AA42-22FE83E0C4A2}"/>
    <cellStyle name="Normal 2 4 5 3 2 8" xfId="9090" xr:uid="{4B64C5F8-5AC3-43D3-B94A-46850BBF79A5}"/>
    <cellStyle name="Normal 2 4 5 3 2 8 2" xfId="18414" xr:uid="{B904FA15-591A-4DDE-8644-D8BA1BB1E358}"/>
    <cellStyle name="Normal 2 4 5 3 2 8 3" xfId="27712" xr:uid="{01EC9742-85BF-473C-AE0F-56EDCA04BE05}"/>
    <cellStyle name="Normal 2 4 5 3 2 9" xfId="9809" xr:uid="{1D255016-F33D-4FB9-ADBD-E99EB10B3BC7}"/>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7618ED8F-FC41-4070-998F-C7EB4C3273A1}"/>
    <cellStyle name="Normal 2 4 5 3 3 2 2 3" xfId="25883" xr:uid="{3D00FCAF-10A4-49DF-817D-D58406CB53CA}"/>
    <cellStyle name="Normal 2 4 5 3 3 2 3" xfId="12367" xr:uid="{AC3A7B9F-15B4-41DE-933A-8B87A1BEC1F8}"/>
    <cellStyle name="Normal 2 4 5 3 3 2 4" xfId="21666" xr:uid="{90C7345B-9B8E-45F7-86DF-A504AF1C7373}"/>
    <cellStyle name="Normal 2 4 5 3 3 3" xfId="5113" xr:uid="{00000000-0005-0000-0000-00009E100000}"/>
    <cellStyle name="Normal 2 4 5 3 3 3 2" xfId="14439" xr:uid="{AB6F0A10-7DCD-4CC1-A24A-A88A139DB541}"/>
    <cellStyle name="Normal 2 4 5 3 3 3 3" xfId="23738" xr:uid="{88F62ED2-4683-47F9-BCF8-31DF83B95CDF}"/>
    <cellStyle name="Normal 2 4 5 3 3 4" xfId="9308" xr:uid="{40198FFA-4C90-42BE-90C8-42459F1A2A1C}"/>
    <cellStyle name="Normal 2 4 5 3 3 4 2" xfId="18623" xr:uid="{1A7DF7A0-1856-4253-B520-2006CBBC1E1F}"/>
    <cellStyle name="Normal 2 4 5 3 3 4 3" xfId="27920" xr:uid="{95E6F2A2-CB29-4C0A-B11B-BAC8F326CC2B}"/>
    <cellStyle name="Normal 2 4 5 3 3 5" xfId="10222" xr:uid="{706502EC-4A86-4890-958B-2802B4634D63}"/>
    <cellStyle name="Normal 2 4 5 3 3 6" xfId="19521" xr:uid="{01EA7A06-1FDC-4E6A-8AD6-579E6E5539C2}"/>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2A214B5B-2C02-420D-9E80-0B1FF3A15E32}"/>
    <cellStyle name="Normal 2 4 5 3 4 2 2 3" xfId="26296" xr:uid="{983CEFD1-F95D-4C84-971D-DD2301FBEBF3}"/>
    <cellStyle name="Normal 2 4 5 3 4 2 3" xfId="12780" xr:uid="{5069B4E5-42D8-4B60-BE86-796048ED21D6}"/>
    <cellStyle name="Normal 2 4 5 3 4 2 4" xfId="22079" xr:uid="{76209F15-834F-4DEC-BBEB-496236EB49DA}"/>
    <cellStyle name="Normal 2 4 5 3 4 3" xfId="5526" xr:uid="{00000000-0005-0000-0000-0000A2100000}"/>
    <cellStyle name="Normal 2 4 5 3 4 3 2" xfId="14852" xr:uid="{AF07F67E-3EF4-4F4A-8FA0-366DF3F44901}"/>
    <cellStyle name="Normal 2 4 5 3 4 3 3" xfId="24151" xr:uid="{9C603C99-CE2A-4520-A539-C426270F968B}"/>
    <cellStyle name="Normal 2 4 5 3 4 4" xfId="10635" xr:uid="{5F9311AC-4094-4F3D-A401-F349D8EDBC79}"/>
    <cellStyle name="Normal 2 4 5 3 4 5" xfId="19934" xr:uid="{1DE69EDA-3E92-4E19-9EB7-00D1EDC127AA}"/>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2574FDD9-9241-4FFF-B3C3-0019846BCB3A}"/>
    <cellStyle name="Normal 2 4 5 3 5 2 2 3" xfId="26709" xr:uid="{2E4469A6-CAAB-4BAF-B45A-4CF8DC52504E}"/>
    <cellStyle name="Normal 2 4 5 3 5 2 3" xfId="13193" xr:uid="{AD06A737-A8F0-4D3C-9EFA-8FD302A304EB}"/>
    <cellStyle name="Normal 2 4 5 3 5 2 4" xfId="22492" xr:uid="{41029538-49FF-463B-A382-2DCA6B91A22F}"/>
    <cellStyle name="Normal 2 4 5 3 5 3" xfId="5939" xr:uid="{00000000-0005-0000-0000-0000A6100000}"/>
    <cellStyle name="Normal 2 4 5 3 5 3 2" xfId="15265" xr:uid="{9182B49A-DC17-4146-AD60-9BBA5EB3E4A7}"/>
    <cellStyle name="Normal 2 4 5 3 5 3 3" xfId="24564" xr:uid="{DFAD0A62-8096-48E1-A0E8-3D05748859C9}"/>
    <cellStyle name="Normal 2 4 5 3 5 4" xfId="11048" xr:uid="{3A3C8C44-B8FB-4783-B55B-3D55755D5CAD}"/>
    <cellStyle name="Normal 2 4 5 3 5 5" xfId="20347" xr:uid="{B51F7CA8-4928-44D8-8C76-FBE4FE480E6C}"/>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164D3E07-4B23-44DA-BF4E-7A064F3D1C78}"/>
    <cellStyle name="Normal 2 4 5 3 6 2 2 3" xfId="27122" xr:uid="{B47DE7B4-60A6-4610-AE89-5B7B8EB10214}"/>
    <cellStyle name="Normal 2 4 5 3 6 2 3" xfId="13606" xr:uid="{67BE1889-B8F3-4135-B85A-6A05B59B164D}"/>
    <cellStyle name="Normal 2 4 5 3 6 2 4" xfId="22905" xr:uid="{866E576C-54B7-4989-9249-C06E86099C28}"/>
    <cellStyle name="Normal 2 4 5 3 6 3" xfId="6352" xr:uid="{00000000-0005-0000-0000-0000AA100000}"/>
    <cellStyle name="Normal 2 4 5 3 6 3 2" xfId="15678" xr:uid="{F8ED655D-91B6-44C8-86A4-4D00EFB1A328}"/>
    <cellStyle name="Normal 2 4 5 3 6 3 3" xfId="24977" xr:uid="{5738687D-EE55-46F5-BFB3-17E8B08CB994}"/>
    <cellStyle name="Normal 2 4 5 3 6 4" xfId="11461" xr:uid="{06370063-E690-4A12-B7DB-D01EE9209C2E}"/>
    <cellStyle name="Normal 2 4 5 3 6 5" xfId="20760" xr:uid="{68FE56C5-E6C1-4C1B-8004-DBD9D99E353E}"/>
    <cellStyle name="Normal 2 4 5 3 7" xfId="2482" xr:uid="{00000000-0005-0000-0000-0000AB100000}"/>
    <cellStyle name="Normal 2 4 5 3 7 2" xfId="6765" xr:uid="{00000000-0005-0000-0000-0000AC100000}"/>
    <cellStyle name="Normal 2 4 5 3 7 2 2" xfId="16091" xr:uid="{B65BA161-A710-459C-B6FA-AE3DA8F48DD6}"/>
    <cellStyle name="Normal 2 4 5 3 7 2 3" xfId="25390" xr:uid="{1AD9A1B0-BDB9-4CBD-839E-3C9089B0FE8D}"/>
    <cellStyle name="Normal 2 4 5 3 7 3" xfId="11874" xr:uid="{B49F6A3B-988C-4B42-8CE8-E5D416F0E730}"/>
    <cellStyle name="Normal 2 4 5 3 7 4" xfId="21173" xr:uid="{E75C7CC8-933B-4D20-AA0D-39CA14B32120}"/>
    <cellStyle name="Normal 2 4 5 3 8" xfId="4699" xr:uid="{00000000-0005-0000-0000-0000AD100000}"/>
    <cellStyle name="Normal 2 4 5 3 8 2" xfId="14025" xr:uid="{6AA309AD-0621-416F-A0AE-381DB86EFA96}"/>
    <cellStyle name="Normal 2 4 5 3 8 3" xfId="23324" xr:uid="{2C1B0F4C-0911-4C76-98E2-164B05B53574}"/>
    <cellStyle name="Normal 2 4 5 3 9" xfId="8883" xr:uid="{0A470B75-873E-4D74-A257-113E3E343E18}"/>
    <cellStyle name="Normal 2 4 5 3 9 2" xfId="18207" xr:uid="{5D040B64-59AA-41B7-9877-F77DE5AB4357}"/>
    <cellStyle name="Normal 2 4 5 3 9 3" xfId="27505" xr:uid="{C457E852-BE45-479E-B5A2-49D5F70F4557}"/>
    <cellStyle name="Normal 2 4 5 4" xfId="310" xr:uid="{00000000-0005-0000-0000-0000AE100000}"/>
    <cellStyle name="Normal 2 4 5 4 10" xfId="19109" xr:uid="{7957A1DD-F9F9-4ED7-A65F-4B002E30672D}"/>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CD93F166-73AC-4E01-AF8C-F92646345597}"/>
    <cellStyle name="Normal 2 4 5 4 2 2 2 3" xfId="25885" xr:uid="{269F7181-CC02-46F1-B3EB-0978A5A510DA}"/>
    <cellStyle name="Normal 2 4 5 4 2 2 3" xfId="12369" xr:uid="{BA6F5B8C-1EE8-4103-9DF7-79511FC20E93}"/>
    <cellStyle name="Normal 2 4 5 4 2 2 4" xfId="21668" xr:uid="{B03B50C6-E165-44F8-AF28-771CEB863301}"/>
    <cellStyle name="Normal 2 4 5 4 2 3" xfId="5115" xr:uid="{00000000-0005-0000-0000-0000B2100000}"/>
    <cellStyle name="Normal 2 4 5 4 2 3 2" xfId="14441" xr:uid="{C8439790-6231-49CD-825A-CA5D928FF955}"/>
    <cellStyle name="Normal 2 4 5 4 2 3 3" xfId="23740" xr:uid="{C9F7C292-B1C6-4465-ABF8-21B7AEA4F259}"/>
    <cellStyle name="Normal 2 4 5 4 2 4" xfId="9412" xr:uid="{0ECAC303-3EA0-4623-AA0F-854157CA32E5}"/>
    <cellStyle name="Normal 2 4 5 4 2 4 2" xfId="18727" xr:uid="{B02CE1B9-515D-49B3-A533-86B23A1F71D3}"/>
    <cellStyle name="Normal 2 4 5 4 2 4 3" xfId="28024" xr:uid="{10F52C94-9A6A-456F-97CF-D4C3C2E10784}"/>
    <cellStyle name="Normal 2 4 5 4 2 5" xfId="10224" xr:uid="{6575C1B1-6B41-4B27-BF73-F866FE91F181}"/>
    <cellStyle name="Normal 2 4 5 4 2 6" xfId="19523" xr:uid="{9A09116B-38E3-434A-BED7-900A77C1425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B9D7CC88-ED5B-4B0C-BE7D-36CDC8AC5F56}"/>
    <cellStyle name="Normal 2 4 5 4 3 2 2 3" xfId="26298" xr:uid="{92D60D58-9ED1-47AD-B67C-4FCAED7A6BF2}"/>
    <cellStyle name="Normal 2 4 5 4 3 2 3" xfId="12782" xr:uid="{4765C2F7-7DB5-4B83-AC52-84D476096839}"/>
    <cellStyle name="Normal 2 4 5 4 3 2 4" xfId="22081" xr:uid="{72EC1F67-8ABA-423F-9DD8-6FEC65D3AE6A}"/>
    <cellStyle name="Normal 2 4 5 4 3 3" xfId="5528" xr:uid="{00000000-0005-0000-0000-0000B6100000}"/>
    <cellStyle name="Normal 2 4 5 4 3 3 2" xfId="14854" xr:uid="{BCDE2798-8A38-4AB2-94F2-2B84E194E6B8}"/>
    <cellStyle name="Normal 2 4 5 4 3 3 3" xfId="24153" xr:uid="{A0AE17FF-8AE2-4E4A-BD4F-BD1DAD81C751}"/>
    <cellStyle name="Normal 2 4 5 4 3 4" xfId="10637" xr:uid="{7F1CDA91-10A9-4AD0-A12B-AE1B92A4AE86}"/>
    <cellStyle name="Normal 2 4 5 4 3 5" xfId="19936" xr:uid="{DF22E404-E238-4AC7-B554-57E3B37F02FF}"/>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E9125F1F-A980-42CB-BB52-D8667736BF83}"/>
    <cellStyle name="Normal 2 4 5 4 4 2 2 3" xfId="26711" xr:uid="{1D2112B2-795E-427C-90D4-09542787372B}"/>
    <cellStyle name="Normal 2 4 5 4 4 2 3" xfId="13195" xr:uid="{991E79A2-4F4C-4DCA-A87C-43B0F724E9FF}"/>
    <cellStyle name="Normal 2 4 5 4 4 2 4" xfId="22494" xr:uid="{335F9693-8548-4654-8C29-B1D4727E2794}"/>
    <cellStyle name="Normal 2 4 5 4 4 3" xfId="5941" xr:uid="{00000000-0005-0000-0000-0000BA100000}"/>
    <cellStyle name="Normal 2 4 5 4 4 3 2" xfId="15267" xr:uid="{251CF572-4CDA-4420-82DC-1A8386EB11BE}"/>
    <cellStyle name="Normal 2 4 5 4 4 3 3" xfId="24566" xr:uid="{5BC3A72D-BE30-4EA5-A02F-A09AE9F3B711}"/>
    <cellStyle name="Normal 2 4 5 4 4 4" xfId="11050" xr:uid="{EB003FA4-DF3E-4E39-A3C5-1580CBBC7913}"/>
    <cellStyle name="Normal 2 4 5 4 4 5" xfId="20349" xr:uid="{07558AA7-102B-4B22-81AD-6D370D951C28}"/>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346EF600-1A64-466D-8C41-DB396BB804E1}"/>
    <cellStyle name="Normal 2 4 5 4 5 2 2 3" xfId="27124" xr:uid="{38EAEFB7-0F61-443C-8DB4-F380B3C723EC}"/>
    <cellStyle name="Normal 2 4 5 4 5 2 3" xfId="13608" xr:uid="{AC13FCFC-61D3-48B4-86CD-984071E0D965}"/>
    <cellStyle name="Normal 2 4 5 4 5 2 4" xfId="22907" xr:uid="{B207CBFE-A610-4197-8DE9-902CF134B038}"/>
    <cellStyle name="Normal 2 4 5 4 5 3" xfId="6354" xr:uid="{00000000-0005-0000-0000-0000BE100000}"/>
    <cellStyle name="Normal 2 4 5 4 5 3 2" xfId="15680" xr:uid="{7C0DAA4A-7B5E-4E78-8AAF-82BC3328E99B}"/>
    <cellStyle name="Normal 2 4 5 4 5 3 3" xfId="24979" xr:uid="{159F5F22-35AE-4A2F-9685-AF3186FD5881}"/>
    <cellStyle name="Normal 2 4 5 4 5 4" xfId="11463" xr:uid="{02332780-07BA-47CD-AF7E-A0F59CC6B1D3}"/>
    <cellStyle name="Normal 2 4 5 4 5 5" xfId="20762" xr:uid="{F43081F6-F87F-4A2D-AC00-624C33EAC7BE}"/>
    <cellStyle name="Normal 2 4 5 4 6" xfId="2484" xr:uid="{00000000-0005-0000-0000-0000BF100000}"/>
    <cellStyle name="Normal 2 4 5 4 6 2" xfId="6767" xr:uid="{00000000-0005-0000-0000-0000C0100000}"/>
    <cellStyle name="Normal 2 4 5 4 6 2 2" xfId="16093" xr:uid="{E1EB3304-5BD1-404A-A076-E3B8293DC532}"/>
    <cellStyle name="Normal 2 4 5 4 6 2 3" xfId="25392" xr:uid="{8F6799CC-5D4F-487C-85DA-43C310141744}"/>
    <cellStyle name="Normal 2 4 5 4 6 3" xfId="11876" xr:uid="{0D767A6E-2D21-4C5E-BA14-22454D6673BF}"/>
    <cellStyle name="Normal 2 4 5 4 6 4" xfId="21175" xr:uid="{F413613D-00C3-4069-B2CE-BEBF3196BB20}"/>
    <cellStyle name="Normal 2 4 5 4 7" xfId="4701" xr:uid="{00000000-0005-0000-0000-0000C1100000}"/>
    <cellStyle name="Normal 2 4 5 4 7 2" xfId="14027" xr:uid="{B1E3049B-3508-4A4E-8C2B-28AAF85EF5FE}"/>
    <cellStyle name="Normal 2 4 5 4 7 3" xfId="23326" xr:uid="{61C2A599-31E9-4D2B-A171-CAD991598B91}"/>
    <cellStyle name="Normal 2 4 5 4 8" xfId="8987" xr:uid="{8DC2C01A-3078-41AD-BCFB-AA1CA8EE9C0A}"/>
    <cellStyle name="Normal 2 4 5 4 8 2" xfId="18311" xr:uid="{EC5BAEC4-E63A-4CBD-B966-1BAE156007DB}"/>
    <cellStyle name="Normal 2 4 5 4 8 3" xfId="27609" xr:uid="{483E0504-DA22-463F-8A53-AD732D6A2E81}"/>
    <cellStyle name="Normal 2 4 5 4 9" xfId="9810" xr:uid="{9418EF05-C546-4709-A6A1-48E4EF37675F}"/>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5E73BA5E-0159-4BF8-A057-13DE7682EBF9}"/>
    <cellStyle name="Normal 2 4 5 5 2 2 3" xfId="25878" xr:uid="{3F6E34BD-37EF-4AF8-A44D-26DA2DC6928C}"/>
    <cellStyle name="Normal 2 4 5 5 2 3" xfId="12362" xr:uid="{17E35BF1-4B8C-4736-94C0-93FE4B1CE153}"/>
    <cellStyle name="Normal 2 4 5 5 2 4" xfId="21661" xr:uid="{DC422B09-C122-4770-A56D-6FBF51AA6080}"/>
    <cellStyle name="Normal 2 4 5 5 3" xfId="5108" xr:uid="{00000000-0005-0000-0000-0000C5100000}"/>
    <cellStyle name="Normal 2 4 5 5 3 2" xfId="14434" xr:uid="{DAED2806-95F8-4C49-B5AA-06EB13297A9D}"/>
    <cellStyle name="Normal 2 4 5 5 3 3" xfId="23733" xr:uid="{DDDBB0C5-5E71-45C8-9FFA-ECA95A8F867A}"/>
    <cellStyle name="Normal 2 4 5 5 4" xfId="9204" xr:uid="{BE34B337-03EE-47D8-9E35-2EE6FAB30236}"/>
    <cellStyle name="Normal 2 4 5 5 4 2" xfId="18520" xr:uid="{E31BABF0-619A-4E8F-A703-EB77100B0C47}"/>
    <cellStyle name="Normal 2 4 5 5 4 3" xfId="27817" xr:uid="{C59B3C43-AC9B-43F5-8657-176400238C33}"/>
    <cellStyle name="Normal 2 4 5 5 5" xfId="10217" xr:uid="{F12E39A5-3243-4CF6-A546-EC1D1AA99761}"/>
    <cellStyle name="Normal 2 4 5 5 6" xfId="19516" xr:uid="{AB2AF53B-B746-4C38-BED2-A3FD1412F5F8}"/>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645BA7BF-281F-4700-AF5C-7F6F9AE154DF}"/>
    <cellStyle name="Normal 2 4 5 6 2 2 3" xfId="26291" xr:uid="{456103B0-456F-47C9-84B7-68524305F40E}"/>
    <cellStyle name="Normal 2 4 5 6 2 3" xfId="12775" xr:uid="{28CF68F2-BCAA-437D-836B-B11801502979}"/>
    <cellStyle name="Normal 2 4 5 6 2 4" xfId="22074" xr:uid="{FCA6F57F-4B05-4B41-984E-32C61084F472}"/>
    <cellStyle name="Normal 2 4 5 6 3" xfId="5521" xr:uid="{00000000-0005-0000-0000-0000C9100000}"/>
    <cellStyle name="Normal 2 4 5 6 3 2" xfId="14847" xr:uid="{9FC0A833-60C0-4A11-AF62-2428538ADEE0}"/>
    <cellStyle name="Normal 2 4 5 6 3 3" xfId="24146" xr:uid="{7AF51AC7-D0AE-4224-B3E2-FBB81383849A}"/>
    <cellStyle name="Normal 2 4 5 6 4" xfId="10630" xr:uid="{20D0F19A-437F-4B35-94AA-57A54182BDB6}"/>
    <cellStyle name="Normal 2 4 5 6 5" xfId="19929" xr:uid="{D7F889B7-9C11-46C4-87E4-B5AEEE6BED27}"/>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00543DE2-CC80-4E06-849B-754BAFF7EBA9}"/>
    <cellStyle name="Normal 2 4 5 7 2 2 3" xfId="26704" xr:uid="{5022CCEB-25A9-4C26-A77B-FFFCDB95D4A9}"/>
    <cellStyle name="Normal 2 4 5 7 2 3" xfId="13188" xr:uid="{C32E5B4F-2EE4-46CB-AFB8-5F730BE47E59}"/>
    <cellStyle name="Normal 2 4 5 7 2 4" xfId="22487" xr:uid="{D71AE016-FC97-4B2A-8469-FAB180D5E9D7}"/>
    <cellStyle name="Normal 2 4 5 7 3" xfId="5934" xr:uid="{00000000-0005-0000-0000-0000CD100000}"/>
    <cellStyle name="Normal 2 4 5 7 3 2" xfId="15260" xr:uid="{C1BE5629-86EC-4878-94C6-C7859127104E}"/>
    <cellStyle name="Normal 2 4 5 7 3 3" xfId="24559" xr:uid="{7FCA5E85-755B-43CF-AE57-9CD39F5EE83B}"/>
    <cellStyle name="Normal 2 4 5 7 4" xfId="11043" xr:uid="{1206D1CB-0A83-40BA-AF4F-AC533891B41A}"/>
    <cellStyle name="Normal 2 4 5 7 5" xfId="20342" xr:uid="{849816A1-1851-40E7-A399-C639A77CF81C}"/>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74733D2F-9FE2-4335-A83D-DC109E53C826}"/>
    <cellStyle name="Normal 2 4 5 8 2 2 3" xfId="27117" xr:uid="{0E65A58E-9D97-4A60-A23A-81443E868EED}"/>
    <cellStyle name="Normal 2 4 5 8 2 3" xfId="13601" xr:uid="{2595D566-E691-455D-8241-076DADB9C164}"/>
    <cellStyle name="Normal 2 4 5 8 2 4" xfId="22900" xr:uid="{8BA14578-DF7D-494F-9A68-2FA844C0E7DA}"/>
    <cellStyle name="Normal 2 4 5 8 3" xfId="6347" xr:uid="{00000000-0005-0000-0000-0000D1100000}"/>
    <cellStyle name="Normal 2 4 5 8 3 2" xfId="15673" xr:uid="{74D1E234-CBC4-48FB-9F13-CF56A24CEF8A}"/>
    <cellStyle name="Normal 2 4 5 8 3 3" xfId="24972" xr:uid="{800A267F-A8CB-46D3-83EB-82FAED727A9B}"/>
    <cellStyle name="Normal 2 4 5 8 4" xfId="11456" xr:uid="{26FBB614-BD8F-425D-A252-9474E99317E5}"/>
    <cellStyle name="Normal 2 4 5 8 5" xfId="20755" xr:uid="{A9DAD966-2EA9-4D72-9065-64155FE54DB7}"/>
    <cellStyle name="Normal 2 4 5 9" xfId="2477" xr:uid="{00000000-0005-0000-0000-0000D2100000}"/>
    <cellStyle name="Normal 2 4 5 9 2" xfId="6760" xr:uid="{00000000-0005-0000-0000-0000D3100000}"/>
    <cellStyle name="Normal 2 4 5 9 2 2" xfId="16086" xr:uid="{7D8A3DAD-EA15-4E93-A053-41FB42013DD4}"/>
    <cellStyle name="Normal 2 4 5 9 2 3" xfId="25385" xr:uid="{4D0118F1-F4EC-4EE0-B555-761F4D5D4023}"/>
    <cellStyle name="Normal 2 4 5 9 3" xfId="11869" xr:uid="{9FABD21A-92B1-455E-8AFF-773600E9FB2B}"/>
    <cellStyle name="Normal 2 4 5 9 4" xfId="21168" xr:uid="{043616D6-A6E9-49C0-A562-6B8BECA8198F}"/>
    <cellStyle name="Normal 2 4 6" xfId="311" xr:uid="{00000000-0005-0000-0000-0000D4100000}"/>
    <cellStyle name="Normal 2 4 7" xfId="312" xr:uid="{00000000-0005-0000-0000-0000D5100000}"/>
    <cellStyle name="Normal 2 4 7 10" xfId="9811" xr:uid="{2D4989E9-FF92-42F4-A7F0-863B6FDDDC3B}"/>
    <cellStyle name="Normal 2 4 7 11" xfId="19110" xr:uid="{D8410A78-8016-4036-9D28-32BE80D104C7}"/>
    <cellStyle name="Normal 2 4 7 2" xfId="313" xr:uid="{00000000-0005-0000-0000-0000D6100000}"/>
    <cellStyle name="Normal 2 4 7 2 10" xfId="19111" xr:uid="{94734B60-62F9-4EA2-A5D2-F62181703C64}"/>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24DB6A67-21E8-4DFE-8E88-F1E57AAA62B5}"/>
    <cellStyle name="Normal 2 4 7 2 2 2 2 3" xfId="25887" xr:uid="{264563DA-1624-42AF-8D51-2EF493CC2B0F}"/>
    <cellStyle name="Normal 2 4 7 2 2 2 3" xfId="12371" xr:uid="{ADF3AB9A-934E-45A8-A372-35C0FF30BE80}"/>
    <cellStyle name="Normal 2 4 7 2 2 2 4" xfId="21670" xr:uid="{D81635A6-8DA4-4A43-A968-5435FB7B87BE}"/>
    <cellStyle name="Normal 2 4 7 2 2 3" xfId="5117" xr:uid="{00000000-0005-0000-0000-0000DA100000}"/>
    <cellStyle name="Normal 2 4 7 2 2 3 2" xfId="14443" xr:uid="{AC56D5B7-DB2C-42EB-B780-FA791C6EB008}"/>
    <cellStyle name="Normal 2 4 7 2 2 3 3" xfId="23742" xr:uid="{9A565204-3BCD-4C8E-A892-4C47E50A0477}"/>
    <cellStyle name="Normal 2 4 7 2 2 4" xfId="9483" xr:uid="{3D7EFF6F-050D-4214-91CB-DF2673F23584}"/>
    <cellStyle name="Normal 2 4 7 2 2 4 2" xfId="18798" xr:uid="{881086DA-44D2-4F0A-9603-06D2F8651CA0}"/>
    <cellStyle name="Normal 2 4 7 2 2 4 3" xfId="28095" xr:uid="{9920CE92-D476-47A2-A354-8AFBD26AE8CD}"/>
    <cellStyle name="Normal 2 4 7 2 2 5" xfId="10226" xr:uid="{153C7677-7F7D-4075-8EC1-79C3D7F35957}"/>
    <cellStyle name="Normal 2 4 7 2 2 6" xfId="19525" xr:uid="{3698054B-9964-45AB-A456-D16E151DA91A}"/>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122E4B68-5ED2-4CA7-9E6C-152F35E362FB}"/>
    <cellStyle name="Normal 2 4 7 2 3 2 2 3" xfId="26300" xr:uid="{64C31A7D-F3EF-4B36-A45A-86E0A099A00D}"/>
    <cellStyle name="Normal 2 4 7 2 3 2 3" xfId="12784" xr:uid="{B9D5ADD7-A609-4DB4-844D-9184DCDB146C}"/>
    <cellStyle name="Normal 2 4 7 2 3 2 4" xfId="22083" xr:uid="{1C5F9F3F-24D5-4B7D-A74C-D56422595E01}"/>
    <cellStyle name="Normal 2 4 7 2 3 3" xfId="5530" xr:uid="{00000000-0005-0000-0000-0000DE100000}"/>
    <cellStyle name="Normal 2 4 7 2 3 3 2" xfId="14856" xr:uid="{5F11EE3A-E756-4ACA-8E95-CC7AA030C051}"/>
    <cellStyle name="Normal 2 4 7 2 3 3 3" xfId="24155" xr:uid="{562A447B-EC61-47E0-87E9-EE7BC610C93A}"/>
    <cellStyle name="Normal 2 4 7 2 3 4" xfId="10639" xr:uid="{A30CBC11-A7AC-4C3E-8740-3D4E1DB92A6C}"/>
    <cellStyle name="Normal 2 4 7 2 3 5" xfId="19938" xr:uid="{6A101F6F-A8F0-4814-8D75-1CA7EE1DB2A0}"/>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DF4A0B90-DE72-4EC2-989E-16E6A0056A46}"/>
    <cellStyle name="Normal 2 4 7 2 4 2 2 3" xfId="26713" xr:uid="{6383F35C-6E2F-4ADE-8B75-43E7063525EC}"/>
    <cellStyle name="Normal 2 4 7 2 4 2 3" xfId="13197" xr:uid="{049FAB71-D61C-4F4C-BC5C-00BE011C7ECF}"/>
    <cellStyle name="Normal 2 4 7 2 4 2 4" xfId="22496" xr:uid="{5B67AE3F-119F-432F-B574-A8AFD61FAE20}"/>
    <cellStyle name="Normal 2 4 7 2 4 3" xfId="5943" xr:uid="{00000000-0005-0000-0000-0000E2100000}"/>
    <cellStyle name="Normal 2 4 7 2 4 3 2" xfId="15269" xr:uid="{93A3E231-DABC-4EC2-AE3E-CC8806D2233A}"/>
    <cellStyle name="Normal 2 4 7 2 4 3 3" xfId="24568" xr:uid="{71CD3C65-6765-4B82-B7E3-A63693755726}"/>
    <cellStyle name="Normal 2 4 7 2 4 4" xfId="11052" xr:uid="{F7CF0142-27EC-4656-83CB-6B43089F5010}"/>
    <cellStyle name="Normal 2 4 7 2 4 5" xfId="20351" xr:uid="{D38D770E-9BDC-47C6-AC61-73ED4DE59CB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60F63CE2-3A1A-4DBE-916F-C6EF29119BB9}"/>
    <cellStyle name="Normal 2 4 7 2 5 2 2 3" xfId="27126" xr:uid="{342FD9D5-2BC5-48E1-ACD8-7D1F760B27B2}"/>
    <cellStyle name="Normal 2 4 7 2 5 2 3" xfId="13610" xr:uid="{4D41EBF9-EB37-4BC5-931A-EFF94A8B4E24}"/>
    <cellStyle name="Normal 2 4 7 2 5 2 4" xfId="22909" xr:uid="{D1E58705-7E79-43F1-9AF1-A8456181C335}"/>
    <cellStyle name="Normal 2 4 7 2 5 3" xfId="6356" xr:uid="{00000000-0005-0000-0000-0000E6100000}"/>
    <cellStyle name="Normal 2 4 7 2 5 3 2" xfId="15682" xr:uid="{3B1C95BE-0411-4465-84EF-B07B1B07C78B}"/>
    <cellStyle name="Normal 2 4 7 2 5 3 3" xfId="24981" xr:uid="{7E3B8D28-DAD5-4848-898E-233B2E197D53}"/>
    <cellStyle name="Normal 2 4 7 2 5 4" xfId="11465" xr:uid="{499716A3-2333-4FD3-B7BB-0610A965008E}"/>
    <cellStyle name="Normal 2 4 7 2 5 5" xfId="20764" xr:uid="{311F5738-6C73-4E6E-A0CC-744433E4BA92}"/>
    <cellStyle name="Normal 2 4 7 2 6" xfId="2486" xr:uid="{00000000-0005-0000-0000-0000E7100000}"/>
    <cellStyle name="Normal 2 4 7 2 6 2" xfId="6769" xr:uid="{00000000-0005-0000-0000-0000E8100000}"/>
    <cellStyle name="Normal 2 4 7 2 6 2 2" xfId="16095" xr:uid="{65185B90-C347-41D7-A6B3-50897C6E56C5}"/>
    <cellStyle name="Normal 2 4 7 2 6 2 3" xfId="25394" xr:uid="{8B2D8C2C-F7B2-49D0-A31F-B4EF0B0BECEC}"/>
    <cellStyle name="Normal 2 4 7 2 6 3" xfId="11878" xr:uid="{01137879-3742-4F5F-88B8-AB92EF2C5457}"/>
    <cellStyle name="Normal 2 4 7 2 6 4" xfId="21177" xr:uid="{1B0A51D9-D944-45B0-A0E5-0B3D83633B83}"/>
    <cellStyle name="Normal 2 4 7 2 7" xfId="4703" xr:uid="{00000000-0005-0000-0000-0000E9100000}"/>
    <cellStyle name="Normal 2 4 7 2 7 2" xfId="14029" xr:uid="{66996FD2-A7E6-466C-98B8-C05C51962BCB}"/>
    <cellStyle name="Normal 2 4 7 2 7 3" xfId="23328" xr:uid="{768CE2AB-C3AC-4AEB-985A-D228F6B81D8F}"/>
    <cellStyle name="Normal 2 4 7 2 8" xfId="9058" xr:uid="{FCEC438E-EF6A-4A00-BFE3-0DA309169A82}"/>
    <cellStyle name="Normal 2 4 7 2 8 2" xfId="18382" xr:uid="{20AF5E30-BCB0-46D9-81F6-EECB1A0EB1C7}"/>
    <cellStyle name="Normal 2 4 7 2 8 3" xfId="27680" xr:uid="{2CFC86E4-4C7D-4CB0-9EF0-8FFE70E7EE8A}"/>
    <cellStyle name="Normal 2 4 7 2 9" xfId="9812" xr:uid="{0583F05F-2791-4173-8F8A-C820BA7211B8}"/>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25FB945C-3CDC-4DFD-9655-1D8E0C465BA8}"/>
    <cellStyle name="Normal 2 4 7 3 2 2 3" xfId="25886" xr:uid="{E17D46A5-997D-40ED-A45A-65C6A6CBA0E5}"/>
    <cellStyle name="Normal 2 4 7 3 2 3" xfId="12370" xr:uid="{FD993629-1468-4E4D-A5AB-97836472E998}"/>
    <cellStyle name="Normal 2 4 7 3 2 4" xfId="21669" xr:uid="{3362D5CC-12B9-40FE-9AC6-CA41845E68CD}"/>
    <cellStyle name="Normal 2 4 7 3 3" xfId="5116" xr:uid="{00000000-0005-0000-0000-0000ED100000}"/>
    <cellStyle name="Normal 2 4 7 3 3 2" xfId="14442" xr:uid="{03AE23DB-FB1E-4905-8A54-A749BC6A99E1}"/>
    <cellStyle name="Normal 2 4 7 3 3 3" xfId="23741" xr:uid="{BAAF62BE-712C-4258-A8D2-CF79BAEE171C}"/>
    <cellStyle name="Normal 2 4 7 3 4" xfId="9276" xr:uid="{90A81E61-1719-41E4-8673-7681E805C2E0}"/>
    <cellStyle name="Normal 2 4 7 3 4 2" xfId="18591" xr:uid="{15E07096-2265-49C2-8C87-65533CD93ED0}"/>
    <cellStyle name="Normal 2 4 7 3 4 3" xfId="27888" xr:uid="{85181252-93EA-4DCD-9731-934E7FC5B316}"/>
    <cellStyle name="Normal 2 4 7 3 5" xfId="10225" xr:uid="{314AEE61-1322-4758-AF63-D3056F893AB4}"/>
    <cellStyle name="Normal 2 4 7 3 6" xfId="19524" xr:uid="{20794595-7340-4747-9531-2189063914E1}"/>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1A692731-1A74-4E40-AA86-C0F11BFC81A7}"/>
    <cellStyle name="Normal 2 4 7 4 2 2 3" xfId="26299" xr:uid="{4B8CC971-BC71-4117-8F89-FCA1A91528AB}"/>
    <cellStyle name="Normal 2 4 7 4 2 3" xfId="12783" xr:uid="{AD44B628-126D-41E8-AAC5-26B3273F0BC0}"/>
    <cellStyle name="Normal 2 4 7 4 2 4" xfId="22082" xr:uid="{6733C28E-8551-4D85-AE54-64E73CBE6130}"/>
    <cellStyle name="Normal 2 4 7 4 3" xfId="5529" xr:uid="{00000000-0005-0000-0000-0000F1100000}"/>
    <cellStyle name="Normal 2 4 7 4 3 2" xfId="14855" xr:uid="{0EBA5977-F07C-4050-9DFD-8F3F2B819E46}"/>
    <cellStyle name="Normal 2 4 7 4 3 3" xfId="24154" xr:uid="{DEB0B81B-9768-4A0F-A60E-66BF18B2525F}"/>
    <cellStyle name="Normal 2 4 7 4 4" xfId="10638" xr:uid="{FBE45446-0A75-4510-BCAF-05219968B183}"/>
    <cellStyle name="Normal 2 4 7 4 5" xfId="19937" xr:uid="{3EB860F5-ED11-4F4C-BC32-E966160965BD}"/>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29A3B06D-7F38-4E66-93C4-0E59AA5ADCF8}"/>
    <cellStyle name="Normal 2 4 7 5 2 2 3" xfId="26712" xr:uid="{4BD46964-08A8-44EA-ABA7-0AB822120D0F}"/>
    <cellStyle name="Normal 2 4 7 5 2 3" xfId="13196" xr:uid="{82F54055-A376-4F73-A01A-9D159C983020}"/>
    <cellStyle name="Normal 2 4 7 5 2 4" xfId="22495" xr:uid="{980D0827-2B44-4D7E-BED5-8DFE0233DDFE}"/>
    <cellStyle name="Normal 2 4 7 5 3" xfId="5942" xr:uid="{00000000-0005-0000-0000-0000F5100000}"/>
    <cellStyle name="Normal 2 4 7 5 3 2" xfId="15268" xr:uid="{12A8CC18-9394-4F94-8AC8-4BEC11195FCF}"/>
    <cellStyle name="Normal 2 4 7 5 3 3" xfId="24567" xr:uid="{E50C03A7-F8AF-4CEC-BFB6-145AEF00E540}"/>
    <cellStyle name="Normal 2 4 7 5 4" xfId="11051" xr:uid="{79395203-A695-4844-96D9-AC7848971757}"/>
    <cellStyle name="Normal 2 4 7 5 5" xfId="20350" xr:uid="{30437F3D-696A-4853-8670-B40EF11B8233}"/>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33D53454-90B4-46D1-9908-7191DC0758EF}"/>
    <cellStyle name="Normal 2 4 7 6 2 2 3" xfId="27125" xr:uid="{764FB9E9-B67D-4EEE-B7B3-80FA83D9A794}"/>
    <cellStyle name="Normal 2 4 7 6 2 3" xfId="13609" xr:uid="{366579AE-18B3-4C06-A5E9-E7DDBB7BCD26}"/>
    <cellStyle name="Normal 2 4 7 6 2 4" xfId="22908" xr:uid="{6E89DFFF-238A-44C9-8149-AAEF949DCD09}"/>
    <cellStyle name="Normal 2 4 7 6 3" xfId="6355" xr:uid="{00000000-0005-0000-0000-0000F9100000}"/>
    <cellStyle name="Normal 2 4 7 6 3 2" xfId="15681" xr:uid="{E5CC8214-38D4-400F-B253-5E0787D7E0F7}"/>
    <cellStyle name="Normal 2 4 7 6 3 3" xfId="24980" xr:uid="{62EB7199-9660-40DF-A097-81F4CFEC45D1}"/>
    <cellStyle name="Normal 2 4 7 6 4" xfId="11464" xr:uid="{B13E0D99-4E91-43F3-A7E4-6E6DCAE9DB14}"/>
    <cellStyle name="Normal 2 4 7 6 5" xfId="20763" xr:uid="{4A119E08-BB30-48A4-B7BE-D4DF586C9490}"/>
    <cellStyle name="Normal 2 4 7 7" xfId="2485" xr:uid="{00000000-0005-0000-0000-0000FA100000}"/>
    <cellStyle name="Normal 2 4 7 7 2" xfId="6768" xr:uid="{00000000-0005-0000-0000-0000FB100000}"/>
    <cellStyle name="Normal 2 4 7 7 2 2" xfId="16094" xr:uid="{505FD592-B1EF-407C-B797-EA473B311791}"/>
    <cellStyle name="Normal 2 4 7 7 2 3" xfId="25393" xr:uid="{EF107847-F166-4F01-B78D-7030D5EDE413}"/>
    <cellStyle name="Normal 2 4 7 7 3" xfId="11877" xr:uid="{F8BC4334-016E-4352-98E7-CF03BBC27F5C}"/>
    <cellStyle name="Normal 2 4 7 7 4" xfId="21176" xr:uid="{57B6DE1D-EB39-48E5-A7C9-D60655EAA954}"/>
    <cellStyle name="Normal 2 4 7 8" xfId="4702" xr:uid="{00000000-0005-0000-0000-0000FC100000}"/>
    <cellStyle name="Normal 2 4 7 8 2" xfId="14028" xr:uid="{71C9A340-9625-483E-AAC5-F9D14934E73B}"/>
    <cellStyle name="Normal 2 4 7 8 3" xfId="23327" xr:uid="{DD897931-1299-4102-B26C-AEE93EFDF576}"/>
    <cellStyle name="Normal 2 4 7 9" xfId="8851" xr:uid="{6946A6C1-9296-4D8F-B36F-8F7964FD7AC6}"/>
    <cellStyle name="Normal 2 4 7 9 2" xfId="18175" xr:uid="{F4F5E78A-D0DD-41AC-882F-DFC7EFD289D4}"/>
    <cellStyle name="Normal 2 4 7 9 3" xfId="27473" xr:uid="{C4EEAD0F-DE2D-4D55-ACA6-DB32EDF82D39}"/>
    <cellStyle name="Normal 2 4 8" xfId="314" xr:uid="{00000000-0005-0000-0000-0000FD100000}"/>
    <cellStyle name="Normal 2 4 8 10" xfId="19112" xr:uid="{FE44D02F-F45D-473D-A271-735FCEED376D}"/>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AFE46F36-9B57-4C19-B071-804A5A5CC61B}"/>
    <cellStyle name="Normal 2 4 8 2 2 2 3" xfId="25888" xr:uid="{AA51EC76-7953-46B2-AE8B-CA899EE89AAA}"/>
    <cellStyle name="Normal 2 4 8 2 2 3" xfId="12372" xr:uid="{669783D9-1769-4ADC-881B-A7DB639F2C4F}"/>
    <cellStyle name="Normal 2 4 8 2 2 4" xfId="21671" xr:uid="{AD97242D-015C-479F-AB01-23F7A3C41853}"/>
    <cellStyle name="Normal 2 4 8 2 3" xfId="5118" xr:uid="{00000000-0005-0000-0000-000001110000}"/>
    <cellStyle name="Normal 2 4 8 2 3 2" xfId="14444" xr:uid="{3B93BB8D-EE91-410F-96D9-F207514E2FB6}"/>
    <cellStyle name="Normal 2 4 8 2 3 3" xfId="23743" xr:uid="{A6249EFF-F19C-445A-875D-9A8CF8DFA9D7}"/>
    <cellStyle name="Normal 2 4 8 2 4" xfId="9392" xr:uid="{812B973E-E5C9-43CD-85B0-C8CA30BD9BF3}"/>
    <cellStyle name="Normal 2 4 8 2 4 2" xfId="18707" xr:uid="{9EAB5505-C683-4298-A50C-C3C81188FA11}"/>
    <cellStyle name="Normal 2 4 8 2 4 3" xfId="28004" xr:uid="{6443D19B-B511-476D-979A-42969B6049DD}"/>
    <cellStyle name="Normal 2 4 8 2 5" xfId="10227" xr:uid="{0C5B2CCD-2B79-420A-9540-3F85DE50E107}"/>
    <cellStyle name="Normal 2 4 8 2 6" xfId="19526" xr:uid="{2B5BA3F2-37C8-424E-BCEB-F0D9EA93BF37}"/>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5E99EFB1-4D66-4808-B394-2EBCDB7CB75E}"/>
    <cellStyle name="Normal 2 4 8 3 2 2 3" xfId="26301" xr:uid="{875C95AA-535D-4E6D-ACB7-F1C27DBDCB59}"/>
    <cellStyle name="Normal 2 4 8 3 2 3" xfId="12785" xr:uid="{30C0BA6E-24A5-45CA-A40C-52F130500ECD}"/>
    <cellStyle name="Normal 2 4 8 3 2 4" xfId="22084" xr:uid="{D07D6D4A-3C19-4F73-8A80-DEF13A600FC1}"/>
    <cellStyle name="Normal 2 4 8 3 3" xfId="5531" xr:uid="{00000000-0005-0000-0000-000005110000}"/>
    <cellStyle name="Normal 2 4 8 3 3 2" xfId="14857" xr:uid="{5D890CA4-097D-4CFF-BF25-7C82B6E9E945}"/>
    <cellStyle name="Normal 2 4 8 3 3 3" xfId="24156" xr:uid="{45A8C842-633C-4E7A-8D97-FD0193F80852}"/>
    <cellStyle name="Normal 2 4 8 3 4" xfId="10640" xr:uid="{35E0FABF-01A3-417D-A3B4-24429668D0B5}"/>
    <cellStyle name="Normal 2 4 8 3 5" xfId="19939" xr:uid="{4704FBF2-1F74-419C-940A-D933200D12EC}"/>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ABBF0A16-C6F1-461F-9CD5-496C76B51CA9}"/>
    <cellStyle name="Normal 2 4 8 4 2 2 3" xfId="26714" xr:uid="{0746B93D-E85E-452F-9AEB-01BA967663AE}"/>
    <cellStyle name="Normal 2 4 8 4 2 3" xfId="13198" xr:uid="{E682B703-6ED0-4C18-8B51-A0C4BB6A5F43}"/>
    <cellStyle name="Normal 2 4 8 4 2 4" xfId="22497" xr:uid="{CF2088B8-CE27-42D5-A3BB-EF88361500A5}"/>
    <cellStyle name="Normal 2 4 8 4 3" xfId="5944" xr:uid="{00000000-0005-0000-0000-000009110000}"/>
    <cellStyle name="Normal 2 4 8 4 3 2" xfId="15270" xr:uid="{0628C49A-8639-4D8B-9C3D-A7EA3A332D3E}"/>
    <cellStyle name="Normal 2 4 8 4 3 3" xfId="24569" xr:uid="{47FDBAF1-2C58-478C-8350-CA4FB2F7C710}"/>
    <cellStyle name="Normal 2 4 8 4 4" xfId="11053" xr:uid="{100A11E8-C89B-42BE-A5E5-663B018DD6A2}"/>
    <cellStyle name="Normal 2 4 8 4 5" xfId="20352" xr:uid="{46ADDA02-2502-4668-902F-131C5AD69572}"/>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8D5DF219-539E-4DDA-8B69-F56E47731E35}"/>
    <cellStyle name="Normal 2 4 8 5 2 2 3" xfId="27127" xr:uid="{62BD2714-F5C9-40C7-AE66-35EBF4A643F0}"/>
    <cellStyle name="Normal 2 4 8 5 2 3" xfId="13611" xr:uid="{7847D7C4-99A3-4BA0-AECA-BF87528FACF6}"/>
    <cellStyle name="Normal 2 4 8 5 2 4" xfId="22910" xr:uid="{BF2BDF3E-E7D2-43CD-B009-B717571E853F}"/>
    <cellStyle name="Normal 2 4 8 5 3" xfId="6357" xr:uid="{00000000-0005-0000-0000-00000D110000}"/>
    <cellStyle name="Normal 2 4 8 5 3 2" xfId="15683" xr:uid="{0CF7142C-E043-488A-BE4D-1B9D71FE58A4}"/>
    <cellStyle name="Normal 2 4 8 5 3 3" xfId="24982" xr:uid="{088FF40C-D3D8-4DE5-AB34-938687DA45E4}"/>
    <cellStyle name="Normal 2 4 8 5 4" xfId="11466" xr:uid="{4E0C810A-EE7C-4931-9AD1-43FEBCF2C72E}"/>
    <cellStyle name="Normal 2 4 8 5 5" xfId="20765" xr:uid="{00B3CC4C-7F26-4425-A394-4B5F9C25EB40}"/>
    <cellStyle name="Normal 2 4 8 6" xfId="2487" xr:uid="{00000000-0005-0000-0000-00000E110000}"/>
    <cellStyle name="Normal 2 4 8 6 2" xfId="6770" xr:uid="{00000000-0005-0000-0000-00000F110000}"/>
    <cellStyle name="Normal 2 4 8 6 2 2" xfId="16096" xr:uid="{1FB55870-49A8-426E-B51D-92EF1F8B52D8}"/>
    <cellStyle name="Normal 2 4 8 6 2 3" xfId="25395" xr:uid="{80E89FBE-9769-466B-8402-43C5A13E77DF}"/>
    <cellStyle name="Normal 2 4 8 6 3" xfId="11879" xr:uid="{AE93EC96-3A16-44CB-B470-B918EE6CA12A}"/>
    <cellStyle name="Normal 2 4 8 6 4" xfId="21178" xr:uid="{02FD1819-0977-4591-9A70-7547F6CCB417}"/>
    <cellStyle name="Normal 2 4 8 7" xfId="4704" xr:uid="{00000000-0005-0000-0000-000010110000}"/>
    <cellStyle name="Normal 2 4 8 7 2" xfId="14030" xr:uid="{CAD789FA-3D88-4209-A127-14666FCFA287}"/>
    <cellStyle name="Normal 2 4 8 7 3" xfId="23329" xr:uid="{CE637A50-40CE-4DFA-B0BD-A232B38549E1}"/>
    <cellStyle name="Normal 2 4 8 8" xfId="8967" xr:uid="{32AC97CD-D3FD-4AE1-A8B2-07BEA9D5DE52}"/>
    <cellStyle name="Normal 2 4 8 8 2" xfId="18291" xr:uid="{3CD2AD56-9A26-40F7-88D6-BE5B3A980327}"/>
    <cellStyle name="Normal 2 4 8 8 3" xfId="27589" xr:uid="{127382D6-DEC9-4364-8733-6EAFA2E0A86B}"/>
    <cellStyle name="Normal 2 4 8 9" xfId="9813" xr:uid="{AE10B42F-A7AD-4A86-99FA-253FCB819AC2}"/>
    <cellStyle name="Normal 2 4 9" xfId="9170" xr:uid="{5569C060-E090-4551-A44D-517EC3FD1834}"/>
    <cellStyle name="Normal 2 4 9 2" xfId="18488" xr:uid="{BD0C22D2-060E-4DCF-B2AB-561F7AF5ADBA}"/>
    <cellStyle name="Normal 2 4 9 3" xfId="27785" xr:uid="{FD20112A-3C22-404A-8718-48AA00815CF6}"/>
    <cellStyle name="Normal 2 5" xfId="315" xr:uid="{00000000-0005-0000-0000-000011110000}"/>
    <cellStyle name="Normal 2 5 10" xfId="4705" xr:uid="{00000000-0005-0000-0000-000012110000}"/>
    <cellStyle name="Normal 2 5 10 2" xfId="14031" xr:uid="{B30DD0F9-430E-4645-82FA-90F52D203657}"/>
    <cellStyle name="Normal 2 5 10 3" xfId="23330" xr:uid="{1894D538-2F4C-4A73-9C13-3C0DAEB5D61B}"/>
    <cellStyle name="Normal 2 5 11" xfId="9814" xr:uid="{65E6A1ED-57E5-4F78-A49C-86649612D24E}"/>
    <cellStyle name="Normal 2 5 12" xfId="19113" xr:uid="{FB212357-9396-4D01-ACB4-2FBF269C6587}"/>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2F002ECB-CA73-4E0A-BD2D-449788C5681B}"/>
    <cellStyle name="Normal 2 5 4 10 3" xfId="27438" xr:uid="{C1D0C0FE-82EA-4F31-A3F2-D6A7D5EC6570}"/>
    <cellStyle name="Normal 2 5 4 11" xfId="9815" xr:uid="{67225243-54DC-4147-AF07-2B8AA7492D5B}"/>
    <cellStyle name="Normal 2 5 4 12" xfId="19114" xr:uid="{25818842-D2E1-4238-9915-C31628AC9281}"/>
    <cellStyle name="Normal 2 5 4 2" xfId="319" xr:uid="{00000000-0005-0000-0000-000016110000}"/>
    <cellStyle name="Normal 2 5 4 2 10" xfId="9816" xr:uid="{57620BF3-D719-40FB-ACFB-626E056D2030}"/>
    <cellStyle name="Normal 2 5 4 2 11" xfId="19115" xr:uid="{61F87BA4-473D-48B2-A87D-8F7B3EC69BBB}"/>
    <cellStyle name="Normal 2 5 4 2 2" xfId="320" xr:uid="{00000000-0005-0000-0000-000017110000}"/>
    <cellStyle name="Normal 2 5 4 2 2 10" xfId="19116" xr:uid="{F7D7B0B9-9FB9-44AE-A230-D863D964E2E6}"/>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AE8E6A23-E5C7-4C61-83C6-990BD85EE85F}"/>
    <cellStyle name="Normal 2 5 4 2 2 2 2 2 3" xfId="25892" xr:uid="{835664AB-BACC-46D0-BBB6-2237146508A6}"/>
    <cellStyle name="Normal 2 5 4 2 2 2 2 3" xfId="12376" xr:uid="{3FF2A713-3870-4D73-B573-6E314B6202FB}"/>
    <cellStyle name="Normal 2 5 4 2 2 2 2 4" xfId="21675" xr:uid="{9ACC4C70-9420-4163-A12C-B8FA0C41F73D}"/>
    <cellStyle name="Normal 2 5 4 2 2 2 3" xfId="5122" xr:uid="{00000000-0005-0000-0000-00001B110000}"/>
    <cellStyle name="Normal 2 5 4 2 2 2 3 2" xfId="14448" xr:uid="{569B0834-6632-41B0-8740-D9B384A4F8D7}"/>
    <cellStyle name="Normal 2 5 4 2 2 2 3 3" xfId="23747" xr:uid="{29A170E1-378C-4358-9CD1-23AEC5E58C77}"/>
    <cellStyle name="Normal 2 5 4 2 2 2 4" xfId="9551" xr:uid="{392D7741-6781-4EA5-9C28-040053C1B05B}"/>
    <cellStyle name="Normal 2 5 4 2 2 2 4 2" xfId="18866" xr:uid="{0B6E0095-F92A-4B5A-9B85-DA081722B7FE}"/>
    <cellStyle name="Normal 2 5 4 2 2 2 4 3" xfId="28163" xr:uid="{89EFDCB9-FAB6-479D-9E44-2CC103520B3F}"/>
    <cellStyle name="Normal 2 5 4 2 2 2 5" xfId="10231" xr:uid="{D2183973-CA6B-43FF-A02A-55214E49A73A}"/>
    <cellStyle name="Normal 2 5 4 2 2 2 6" xfId="19530" xr:uid="{2CF7D1DF-D085-43E5-85C6-379D9714E46A}"/>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FAAB7F33-15CC-4C36-A3B7-18CAEFF402F8}"/>
    <cellStyle name="Normal 2 5 4 2 2 3 2 2 3" xfId="26305" xr:uid="{9366A9DE-0D28-417C-B881-40B9E4B833D5}"/>
    <cellStyle name="Normal 2 5 4 2 2 3 2 3" xfId="12789" xr:uid="{558A4538-75B7-4476-AAD0-EF178314484C}"/>
    <cellStyle name="Normal 2 5 4 2 2 3 2 4" xfId="22088" xr:uid="{1BA3DAF6-2717-43E9-B09F-2AE97E14A1F8}"/>
    <cellStyle name="Normal 2 5 4 2 2 3 3" xfId="5535" xr:uid="{00000000-0005-0000-0000-00001F110000}"/>
    <cellStyle name="Normal 2 5 4 2 2 3 3 2" xfId="14861" xr:uid="{F119A12D-5321-4C91-B60D-92DF7D8E1A09}"/>
    <cellStyle name="Normal 2 5 4 2 2 3 3 3" xfId="24160" xr:uid="{DD85AB3A-078F-45B5-9FA9-D9CE039210CE}"/>
    <cellStyle name="Normal 2 5 4 2 2 3 4" xfId="10644" xr:uid="{56C7FD03-450E-47FF-9254-3D7888C76E09}"/>
    <cellStyle name="Normal 2 5 4 2 2 3 5" xfId="19943" xr:uid="{D5B485F5-1DD0-4B41-9B22-DEAD1C027005}"/>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4D37E802-F081-46AA-B875-C29A8FAEC8F9}"/>
    <cellStyle name="Normal 2 5 4 2 2 4 2 2 3" xfId="26718" xr:uid="{3A1D44A6-5E31-498C-994B-D81116C6F4AA}"/>
    <cellStyle name="Normal 2 5 4 2 2 4 2 3" xfId="13202" xr:uid="{670C1DFC-F8CB-4008-99C2-CFA3160B65E7}"/>
    <cellStyle name="Normal 2 5 4 2 2 4 2 4" xfId="22501" xr:uid="{65402A51-6E30-4B9D-87DA-81961F6D38C8}"/>
    <cellStyle name="Normal 2 5 4 2 2 4 3" xfId="5948" xr:uid="{00000000-0005-0000-0000-000023110000}"/>
    <cellStyle name="Normal 2 5 4 2 2 4 3 2" xfId="15274" xr:uid="{B45FD82B-1BFA-469D-8D3A-616C553C8856}"/>
    <cellStyle name="Normal 2 5 4 2 2 4 3 3" xfId="24573" xr:uid="{93D7CB56-AA0F-4270-BAF5-8009A5E44085}"/>
    <cellStyle name="Normal 2 5 4 2 2 4 4" xfId="11057" xr:uid="{00CDB2D9-AB1E-47FE-A9E8-15CD82B5C46B}"/>
    <cellStyle name="Normal 2 5 4 2 2 4 5" xfId="20356" xr:uid="{50AF6E6D-74F3-4514-9FD0-410E1C9FA0C2}"/>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51143BC8-0537-4A79-BB0C-20852DBC90BF}"/>
    <cellStyle name="Normal 2 5 4 2 2 5 2 2 3" xfId="27131" xr:uid="{04FC9F98-FF1B-465D-8360-AA5B2A34E0D0}"/>
    <cellStyle name="Normal 2 5 4 2 2 5 2 3" xfId="13615" xr:uid="{DC0F0D4C-85E7-45F2-B57B-FBC18EB82C44}"/>
    <cellStyle name="Normal 2 5 4 2 2 5 2 4" xfId="22914" xr:uid="{C77B2DA4-F218-4C3E-A0A2-F8E9298BD147}"/>
    <cellStyle name="Normal 2 5 4 2 2 5 3" xfId="6361" xr:uid="{00000000-0005-0000-0000-000027110000}"/>
    <cellStyle name="Normal 2 5 4 2 2 5 3 2" xfId="15687" xr:uid="{02DC2C44-1F24-40D8-A269-147B32D47E58}"/>
    <cellStyle name="Normal 2 5 4 2 2 5 3 3" xfId="24986" xr:uid="{A5254332-D534-4344-9B48-CAF02682DEE1}"/>
    <cellStyle name="Normal 2 5 4 2 2 5 4" xfId="11470" xr:uid="{2D0C34D1-4608-4676-B1AA-EFBC6F3E1D2E}"/>
    <cellStyle name="Normal 2 5 4 2 2 5 5" xfId="20769" xr:uid="{4990293C-6875-4A1D-97C1-326EDF6B337B}"/>
    <cellStyle name="Normal 2 5 4 2 2 6" xfId="2491" xr:uid="{00000000-0005-0000-0000-000028110000}"/>
    <cellStyle name="Normal 2 5 4 2 2 6 2" xfId="6774" xr:uid="{00000000-0005-0000-0000-000029110000}"/>
    <cellStyle name="Normal 2 5 4 2 2 6 2 2" xfId="16100" xr:uid="{5F2A9A18-B24B-4BE9-9CE7-E2F14FDBAA8C}"/>
    <cellStyle name="Normal 2 5 4 2 2 6 2 3" xfId="25399" xr:uid="{65FCC4F1-83FC-4E8E-A806-D422BA372983}"/>
    <cellStyle name="Normal 2 5 4 2 2 6 3" xfId="11883" xr:uid="{EC1AA670-FE0B-4D8F-9C63-CF6F319053B1}"/>
    <cellStyle name="Normal 2 5 4 2 2 6 4" xfId="21182" xr:uid="{09944E5C-1A7B-4758-9929-C913DC021901}"/>
    <cellStyle name="Normal 2 5 4 2 2 7" xfId="4708" xr:uid="{00000000-0005-0000-0000-00002A110000}"/>
    <cellStyle name="Normal 2 5 4 2 2 7 2" xfId="14034" xr:uid="{36A5F80C-216E-48E2-9635-170A94C2859E}"/>
    <cellStyle name="Normal 2 5 4 2 2 7 3" xfId="23333" xr:uid="{D1D46F53-D87F-4D5B-A599-2EDC1649BAE1}"/>
    <cellStyle name="Normal 2 5 4 2 2 8" xfId="9126" xr:uid="{C2CF4AFD-4082-4555-941B-6E9759C32D63}"/>
    <cellStyle name="Normal 2 5 4 2 2 8 2" xfId="18450" xr:uid="{CDD36D94-0042-411C-9518-C0D1AF369C21}"/>
    <cellStyle name="Normal 2 5 4 2 2 8 3" xfId="27748" xr:uid="{C1487927-CD66-45FC-AFE8-0B7CBF2BF4EC}"/>
    <cellStyle name="Normal 2 5 4 2 2 9" xfId="9817" xr:uid="{4FA4A663-9AE3-405C-A365-C83933F8489C}"/>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926AE56D-73C7-4DD3-BC1A-77BC7C5469B5}"/>
    <cellStyle name="Normal 2 5 4 2 3 2 2 3" xfId="25891" xr:uid="{6EB7F336-FE68-487F-AF66-A000B2492769}"/>
    <cellStyle name="Normal 2 5 4 2 3 2 3" xfId="12375" xr:uid="{18B8D38C-7AB7-4873-9720-AF6D68D9F337}"/>
    <cellStyle name="Normal 2 5 4 2 3 2 4" xfId="21674" xr:uid="{DEC12B59-7511-48D6-8FD7-B74F1898BBEC}"/>
    <cellStyle name="Normal 2 5 4 2 3 3" xfId="5121" xr:uid="{00000000-0005-0000-0000-00002E110000}"/>
    <cellStyle name="Normal 2 5 4 2 3 3 2" xfId="14447" xr:uid="{761C54B0-0557-49F1-A052-B9AD50DBC467}"/>
    <cellStyle name="Normal 2 5 4 2 3 3 3" xfId="23746" xr:uid="{A86BFC7B-6490-4023-AB1B-2495A7C637ED}"/>
    <cellStyle name="Normal 2 5 4 2 3 4" xfId="9344" xr:uid="{207B8A34-09D9-4349-A9C7-5A5A998C6B6F}"/>
    <cellStyle name="Normal 2 5 4 2 3 4 2" xfId="18659" xr:uid="{E828A941-B9FA-480C-BE88-4D11911D53FC}"/>
    <cellStyle name="Normal 2 5 4 2 3 4 3" xfId="27956" xr:uid="{6384C8E3-4BB7-47CA-B418-59723E94243E}"/>
    <cellStyle name="Normal 2 5 4 2 3 5" xfId="10230" xr:uid="{E70DABC0-36F7-45FD-8D14-C1E721A03131}"/>
    <cellStyle name="Normal 2 5 4 2 3 6" xfId="19529" xr:uid="{582B17A7-3914-41FD-B3CC-37BC806417C3}"/>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BC13F7D9-6220-4DCB-A976-7F38DE5EF578}"/>
    <cellStyle name="Normal 2 5 4 2 4 2 2 3" xfId="26304" xr:uid="{FFC331A0-E0ED-4851-B6D9-B0126421048B}"/>
    <cellStyle name="Normal 2 5 4 2 4 2 3" xfId="12788" xr:uid="{CE90E558-1592-4A9F-A4D3-3481C95D9626}"/>
    <cellStyle name="Normal 2 5 4 2 4 2 4" xfId="22087" xr:uid="{B475DEB4-92A4-4AE8-865A-4578CB1B8C47}"/>
    <cellStyle name="Normal 2 5 4 2 4 3" xfId="5534" xr:uid="{00000000-0005-0000-0000-000032110000}"/>
    <cellStyle name="Normal 2 5 4 2 4 3 2" xfId="14860" xr:uid="{203E93DB-DFB3-455A-8C12-CD19AD4B6F7A}"/>
    <cellStyle name="Normal 2 5 4 2 4 3 3" xfId="24159" xr:uid="{DF9CA6F3-71F3-4329-8B58-E79A9449065A}"/>
    <cellStyle name="Normal 2 5 4 2 4 4" xfId="10643" xr:uid="{EF697920-65AB-4EC7-A8AE-78FEF1F3D7A7}"/>
    <cellStyle name="Normal 2 5 4 2 4 5" xfId="19942" xr:uid="{0CCA6292-E043-4061-81F2-16D56494B6FF}"/>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C538111A-AB8A-4E3D-8D39-D1F6C0C48748}"/>
    <cellStyle name="Normal 2 5 4 2 5 2 2 3" xfId="26717" xr:uid="{FE78ADC6-8A54-473C-99AD-E022D2F8B8D1}"/>
    <cellStyle name="Normal 2 5 4 2 5 2 3" xfId="13201" xr:uid="{49FA68E0-5D84-40A9-94D5-DD603FB36129}"/>
    <cellStyle name="Normal 2 5 4 2 5 2 4" xfId="22500" xr:uid="{12F7A325-2C7F-4AE3-99B2-A89A4DC439BA}"/>
    <cellStyle name="Normal 2 5 4 2 5 3" xfId="5947" xr:uid="{00000000-0005-0000-0000-000036110000}"/>
    <cellStyle name="Normal 2 5 4 2 5 3 2" xfId="15273" xr:uid="{D4F14BC8-47EA-444A-A123-91F58DE884B9}"/>
    <cellStyle name="Normal 2 5 4 2 5 3 3" xfId="24572" xr:uid="{813F80A6-1B7B-45BC-A0A2-DB6C7FE9272C}"/>
    <cellStyle name="Normal 2 5 4 2 5 4" xfId="11056" xr:uid="{A496C11C-5AE8-4FE0-A8ED-02A1300B14C5}"/>
    <cellStyle name="Normal 2 5 4 2 5 5" xfId="20355" xr:uid="{777B0C68-B593-4E04-857E-94B45D0BCCAD}"/>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5AF53228-0D44-4FB5-8BE1-F18F18DF1FA5}"/>
    <cellStyle name="Normal 2 5 4 2 6 2 2 3" xfId="27130" xr:uid="{9C49588F-2796-4E59-8C53-6A85F1D26474}"/>
    <cellStyle name="Normal 2 5 4 2 6 2 3" xfId="13614" xr:uid="{AD087704-4A69-40B6-AFFC-ED4297EA9B25}"/>
    <cellStyle name="Normal 2 5 4 2 6 2 4" xfId="22913" xr:uid="{B589D0F3-D6FE-409D-959D-56A12E686296}"/>
    <cellStyle name="Normal 2 5 4 2 6 3" xfId="6360" xr:uid="{00000000-0005-0000-0000-00003A110000}"/>
    <cellStyle name="Normal 2 5 4 2 6 3 2" xfId="15686" xr:uid="{9814DEDC-11A9-459D-8535-BE826594EA9E}"/>
    <cellStyle name="Normal 2 5 4 2 6 3 3" xfId="24985" xr:uid="{F227E510-C482-431C-A8F9-CF236008C246}"/>
    <cellStyle name="Normal 2 5 4 2 6 4" xfId="11469" xr:uid="{41977CA8-463B-4327-B9E2-62FFEDE2E0C0}"/>
    <cellStyle name="Normal 2 5 4 2 6 5" xfId="20768" xr:uid="{4764544E-860D-4E3D-BA22-88D496B80F91}"/>
    <cellStyle name="Normal 2 5 4 2 7" xfId="2490" xr:uid="{00000000-0005-0000-0000-00003B110000}"/>
    <cellStyle name="Normal 2 5 4 2 7 2" xfId="6773" xr:uid="{00000000-0005-0000-0000-00003C110000}"/>
    <cellStyle name="Normal 2 5 4 2 7 2 2" xfId="16099" xr:uid="{88C99242-067C-4304-8AC9-5B2DAA9518B1}"/>
    <cellStyle name="Normal 2 5 4 2 7 2 3" xfId="25398" xr:uid="{4C8125E0-8B4D-4707-AA7B-CB9DC4098F7B}"/>
    <cellStyle name="Normal 2 5 4 2 7 3" xfId="11882" xr:uid="{036E1D37-6341-4E85-8B52-FE2721D50F79}"/>
    <cellStyle name="Normal 2 5 4 2 7 4" xfId="21181" xr:uid="{B6963C98-D22F-4433-96B4-661E95A97A4F}"/>
    <cellStyle name="Normal 2 5 4 2 8" xfId="4707" xr:uid="{00000000-0005-0000-0000-00003D110000}"/>
    <cellStyle name="Normal 2 5 4 2 8 2" xfId="14033" xr:uid="{A1C3ADD1-C30E-4426-A5B5-2AADDDE3A889}"/>
    <cellStyle name="Normal 2 5 4 2 8 3" xfId="23332" xr:uid="{89DFAF47-5A7B-45B5-9729-DD05C0005ACF}"/>
    <cellStyle name="Normal 2 5 4 2 9" xfId="8919" xr:uid="{2A8C96F6-0F22-4271-BCA3-7E5B2E35A54F}"/>
    <cellStyle name="Normal 2 5 4 2 9 2" xfId="18243" xr:uid="{2F353095-B948-4DDA-86CD-AC86C3A95CB8}"/>
    <cellStyle name="Normal 2 5 4 2 9 3" xfId="27541" xr:uid="{B0D4C762-D267-44B9-BC8A-2ACB1229A048}"/>
    <cellStyle name="Normal 2 5 4 3" xfId="321" xr:uid="{00000000-0005-0000-0000-00003E110000}"/>
    <cellStyle name="Normal 2 5 4 3 10" xfId="19117" xr:uid="{84A189B7-793C-4471-A50D-A9A63FCC154B}"/>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DB89C3A1-7709-4026-8BD9-46AF37A536CB}"/>
    <cellStyle name="Normal 2 5 4 3 2 2 2 3" xfId="25893" xr:uid="{A1994F06-2930-4A3D-8FDD-7FB5A7666138}"/>
    <cellStyle name="Normal 2 5 4 3 2 2 3" xfId="12377" xr:uid="{5CBC686F-370D-4A4D-BBF1-B0CD55FA760C}"/>
    <cellStyle name="Normal 2 5 4 3 2 2 4" xfId="21676" xr:uid="{B8DB8E7B-176F-4B8F-BB95-5784DCE0E015}"/>
    <cellStyle name="Normal 2 5 4 3 2 3" xfId="5123" xr:uid="{00000000-0005-0000-0000-000042110000}"/>
    <cellStyle name="Normal 2 5 4 3 2 3 2" xfId="14449" xr:uid="{2DB17EF6-5EA4-4F3A-816A-1A9F67F5D1E3}"/>
    <cellStyle name="Normal 2 5 4 3 2 3 3" xfId="23748" xr:uid="{A987E3B5-560D-4FE4-823B-68EB4105A29A}"/>
    <cellStyle name="Normal 2 5 4 3 2 4" xfId="9448" xr:uid="{0C1738F2-697E-4430-8A3F-E67747B3EDB0}"/>
    <cellStyle name="Normal 2 5 4 3 2 4 2" xfId="18763" xr:uid="{C26CE485-32F7-41BC-900B-F548FFB10591}"/>
    <cellStyle name="Normal 2 5 4 3 2 4 3" xfId="28060" xr:uid="{C6CE832E-9488-440D-B004-DB7CCF6C1AD6}"/>
    <cellStyle name="Normal 2 5 4 3 2 5" xfId="10232" xr:uid="{C1643EE2-7A03-4B74-927C-792B1D38EA24}"/>
    <cellStyle name="Normal 2 5 4 3 2 6" xfId="19531" xr:uid="{08D9032A-65FF-4981-91AD-4C0466552DAC}"/>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6F8E81CA-B0C2-4C8F-9219-46ADF8A6C3F4}"/>
    <cellStyle name="Normal 2 5 4 3 3 2 2 3" xfId="26306" xr:uid="{D7EB93BE-085E-4A67-989B-000DD39BF7E7}"/>
    <cellStyle name="Normal 2 5 4 3 3 2 3" xfId="12790" xr:uid="{F7B29003-6A57-4D91-BBEF-11F3568F6C6F}"/>
    <cellStyle name="Normal 2 5 4 3 3 2 4" xfId="22089" xr:uid="{CFA449ED-E049-42A5-B2ED-EBA188E96069}"/>
    <cellStyle name="Normal 2 5 4 3 3 3" xfId="5536" xr:uid="{00000000-0005-0000-0000-000046110000}"/>
    <cellStyle name="Normal 2 5 4 3 3 3 2" xfId="14862" xr:uid="{14F43F4D-00FC-474E-8B95-4577CF013170}"/>
    <cellStyle name="Normal 2 5 4 3 3 3 3" xfId="24161" xr:uid="{5742E428-9ECD-4246-B204-314E65566EBC}"/>
    <cellStyle name="Normal 2 5 4 3 3 4" xfId="10645" xr:uid="{F0F9A6AC-FD3E-491F-B9EE-33BB5F96B2CD}"/>
    <cellStyle name="Normal 2 5 4 3 3 5" xfId="19944" xr:uid="{6663E5F1-D65D-428C-ACFE-18B09837F458}"/>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1F9EDD38-3DBF-41D2-A24A-B31735B6DD17}"/>
    <cellStyle name="Normal 2 5 4 3 4 2 2 3" xfId="26719" xr:uid="{2FB6EEA4-9EB8-463D-98D3-9FB33FBE56C1}"/>
    <cellStyle name="Normal 2 5 4 3 4 2 3" xfId="13203" xr:uid="{A4B1EEC6-45BD-4F0F-B92B-F743E6972E3A}"/>
    <cellStyle name="Normal 2 5 4 3 4 2 4" xfId="22502" xr:uid="{C2C81427-31E5-493C-85D6-E21029736E76}"/>
    <cellStyle name="Normal 2 5 4 3 4 3" xfId="5949" xr:uid="{00000000-0005-0000-0000-00004A110000}"/>
    <cellStyle name="Normal 2 5 4 3 4 3 2" xfId="15275" xr:uid="{CD768B5E-147B-4429-AAF9-E3150CEF3053}"/>
    <cellStyle name="Normal 2 5 4 3 4 3 3" xfId="24574" xr:uid="{B8DB306E-FACF-451E-AFA8-4BE56DBACA84}"/>
    <cellStyle name="Normal 2 5 4 3 4 4" xfId="11058" xr:uid="{C5648C8A-5A7A-4159-B229-B4CFDBC5A9CB}"/>
    <cellStyle name="Normal 2 5 4 3 4 5" xfId="20357" xr:uid="{5729532F-D7E0-4C06-BBF9-1436A843968F}"/>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E63BBF01-59A9-40D7-8885-779836114353}"/>
    <cellStyle name="Normal 2 5 4 3 5 2 2 3" xfId="27132" xr:uid="{6E4AB463-FD05-4D8F-A684-604EFC103DF7}"/>
    <cellStyle name="Normal 2 5 4 3 5 2 3" xfId="13616" xr:uid="{ED9EE5DF-83B1-4A29-A5FB-995A94D19B33}"/>
    <cellStyle name="Normal 2 5 4 3 5 2 4" xfId="22915" xr:uid="{075320E4-32F7-4492-96EA-5EA078993E3D}"/>
    <cellStyle name="Normal 2 5 4 3 5 3" xfId="6362" xr:uid="{00000000-0005-0000-0000-00004E110000}"/>
    <cellStyle name="Normal 2 5 4 3 5 3 2" xfId="15688" xr:uid="{96CBC9AD-E86C-4A18-B9D3-8DF272D29CBE}"/>
    <cellStyle name="Normal 2 5 4 3 5 3 3" xfId="24987" xr:uid="{3C6E7265-4661-476A-9FC4-D21012E31070}"/>
    <cellStyle name="Normal 2 5 4 3 5 4" xfId="11471" xr:uid="{E98B8E81-358B-4B2B-A012-B0378EBAD216}"/>
    <cellStyle name="Normal 2 5 4 3 5 5" xfId="20770" xr:uid="{547B5140-DE76-456D-952D-22F66C06DE6D}"/>
    <cellStyle name="Normal 2 5 4 3 6" xfId="2492" xr:uid="{00000000-0005-0000-0000-00004F110000}"/>
    <cellStyle name="Normal 2 5 4 3 6 2" xfId="6775" xr:uid="{00000000-0005-0000-0000-000050110000}"/>
    <cellStyle name="Normal 2 5 4 3 6 2 2" xfId="16101" xr:uid="{802F80A1-3000-4351-B289-2A0AE20645D8}"/>
    <cellStyle name="Normal 2 5 4 3 6 2 3" xfId="25400" xr:uid="{0A06537E-B630-4B9A-85A1-4F04151548FD}"/>
    <cellStyle name="Normal 2 5 4 3 6 3" xfId="11884" xr:uid="{57CA14C7-35AB-4EB3-B094-BC1FD63C04F1}"/>
    <cellStyle name="Normal 2 5 4 3 6 4" xfId="21183" xr:uid="{BF7A4E88-1136-4D2F-9B44-0217362F2DF6}"/>
    <cellStyle name="Normal 2 5 4 3 7" xfId="4709" xr:uid="{00000000-0005-0000-0000-000051110000}"/>
    <cellStyle name="Normal 2 5 4 3 7 2" xfId="14035" xr:uid="{1B0E52DD-E265-4EC9-BC8A-4410A9133AFD}"/>
    <cellStyle name="Normal 2 5 4 3 7 3" xfId="23334" xr:uid="{76A8B231-15A9-48E6-8991-1266AF30EDE3}"/>
    <cellStyle name="Normal 2 5 4 3 8" xfId="9023" xr:uid="{9B869639-3DD4-4511-AD70-D5125D34938F}"/>
    <cellStyle name="Normal 2 5 4 3 8 2" xfId="18347" xr:uid="{C672DC6E-ED83-44F9-93A4-8992B4389D3A}"/>
    <cellStyle name="Normal 2 5 4 3 8 3" xfId="27645" xr:uid="{31E5F0FF-CECC-459A-BFF3-D1140EFDD8C7}"/>
    <cellStyle name="Normal 2 5 4 3 9" xfId="9818" xr:uid="{F18EAC53-94F8-4360-91B3-27C2002AD831}"/>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C52971C0-5162-4713-BEEB-2E7DF59D2E2D}"/>
    <cellStyle name="Normal 2 5 4 4 2 2 3" xfId="25890" xr:uid="{C9BB22E9-A0AC-4C98-B534-2946C5451952}"/>
    <cellStyle name="Normal 2 5 4 4 2 3" xfId="12374" xr:uid="{93FF4065-8361-4C81-A5B0-CADBF9C0782A}"/>
    <cellStyle name="Normal 2 5 4 4 2 4" xfId="21673" xr:uid="{B91CC6C3-F9CC-4E6B-B679-26456314E60A}"/>
    <cellStyle name="Normal 2 5 4 4 3" xfId="5120" xr:uid="{00000000-0005-0000-0000-000055110000}"/>
    <cellStyle name="Normal 2 5 4 4 3 2" xfId="14446" xr:uid="{DFA26253-6689-4F8E-8B12-2151420C1A94}"/>
    <cellStyle name="Normal 2 5 4 4 3 3" xfId="23745" xr:uid="{5AC2BD9C-555E-438A-A197-0FCE5D7C87FA}"/>
    <cellStyle name="Normal 2 5 4 4 4" xfId="9241" xr:uid="{2BD2F05F-E4C9-46B4-B3C9-F0D081C1F38F}"/>
    <cellStyle name="Normal 2 5 4 4 4 2" xfId="18556" xr:uid="{52A2A412-C5B1-499E-9F41-9B25610A91F0}"/>
    <cellStyle name="Normal 2 5 4 4 4 3" xfId="27853" xr:uid="{9D244265-FAC0-4B6D-A995-C306DEBDAB1A}"/>
    <cellStyle name="Normal 2 5 4 4 5" xfId="10229" xr:uid="{34D0FA95-4AE3-4385-9C8B-5FD477865585}"/>
    <cellStyle name="Normal 2 5 4 4 6" xfId="19528" xr:uid="{6B9886C0-4CB5-4E18-BEB7-9762FFEDF8D1}"/>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F5B900DC-47BC-498E-8474-BB35761DA9AD}"/>
    <cellStyle name="Normal 2 5 4 5 2 2 3" xfId="26303" xr:uid="{AC28C682-2CF9-4CC8-965F-0C3FB97E3AF2}"/>
    <cellStyle name="Normal 2 5 4 5 2 3" xfId="12787" xr:uid="{5D12E574-813A-47AF-B8D1-B73F92430ABB}"/>
    <cellStyle name="Normal 2 5 4 5 2 4" xfId="22086" xr:uid="{8C403F93-80C4-41F0-A02C-79C707317C39}"/>
    <cellStyle name="Normal 2 5 4 5 3" xfId="5533" xr:uid="{00000000-0005-0000-0000-000059110000}"/>
    <cellStyle name="Normal 2 5 4 5 3 2" xfId="14859" xr:uid="{D6351CFD-8CA3-4F9A-A216-6207D0D10E85}"/>
    <cellStyle name="Normal 2 5 4 5 3 3" xfId="24158" xr:uid="{FDDCD4BE-75BB-4714-B511-32671DC50285}"/>
    <cellStyle name="Normal 2 5 4 5 4" xfId="10642" xr:uid="{9F526E7E-97AC-4A55-998D-34F279D6CC74}"/>
    <cellStyle name="Normal 2 5 4 5 5" xfId="19941" xr:uid="{D837A5E4-403F-45A0-9140-43CC221732B9}"/>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2831C135-1A22-45EF-9914-427893B23880}"/>
    <cellStyle name="Normal 2 5 4 6 2 2 3" xfId="26716" xr:uid="{B044ADF5-2D80-41C3-9BB0-36C220F47B8F}"/>
    <cellStyle name="Normal 2 5 4 6 2 3" xfId="13200" xr:uid="{0FCC389C-085B-4F6B-A5D5-7DB9F5B6ED3B}"/>
    <cellStyle name="Normal 2 5 4 6 2 4" xfId="22499" xr:uid="{5F986595-8E76-4D80-9D9C-C0706F6E11D3}"/>
    <cellStyle name="Normal 2 5 4 6 3" xfId="5946" xr:uid="{00000000-0005-0000-0000-00005D110000}"/>
    <cellStyle name="Normal 2 5 4 6 3 2" xfId="15272" xr:uid="{DAC37DE1-5060-45C9-B443-5C0C0690F60B}"/>
    <cellStyle name="Normal 2 5 4 6 3 3" xfId="24571" xr:uid="{20B069E5-06F8-4C60-9A09-53CC91BCFAA8}"/>
    <cellStyle name="Normal 2 5 4 6 4" xfId="11055" xr:uid="{589F4FC4-6058-4520-86F1-C52A4EE52035}"/>
    <cellStyle name="Normal 2 5 4 6 5" xfId="20354" xr:uid="{C5649272-CC38-430F-A664-85BCF1B0D491}"/>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FBF88F0E-6B15-4058-A27C-7A07794AD548}"/>
    <cellStyle name="Normal 2 5 4 7 2 2 3" xfId="27129" xr:uid="{C561FCF6-BAE5-4543-A30F-A3C212BCE0A7}"/>
    <cellStyle name="Normal 2 5 4 7 2 3" xfId="13613" xr:uid="{A7732D0F-7764-46D0-9B4E-D9E1AD9C758A}"/>
    <cellStyle name="Normal 2 5 4 7 2 4" xfId="22912" xr:uid="{F6D87482-DAB1-4E6F-BA78-AFB9EC1E82EA}"/>
    <cellStyle name="Normal 2 5 4 7 3" xfId="6359" xr:uid="{00000000-0005-0000-0000-000061110000}"/>
    <cellStyle name="Normal 2 5 4 7 3 2" xfId="15685" xr:uid="{CDC647D2-A759-46B5-93F8-882899479E0E}"/>
    <cellStyle name="Normal 2 5 4 7 3 3" xfId="24984" xr:uid="{B6B81930-575F-4C29-8E5D-9FBA3AE06F5B}"/>
    <cellStyle name="Normal 2 5 4 7 4" xfId="11468" xr:uid="{0E28EB82-402D-4C12-9487-4708E46B568E}"/>
    <cellStyle name="Normal 2 5 4 7 5" xfId="20767" xr:uid="{CD4DE5CD-0F94-46BA-9C2E-0706BB6BC6A2}"/>
    <cellStyle name="Normal 2 5 4 8" xfId="2489" xr:uid="{00000000-0005-0000-0000-000062110000}"/>
    <cellStyle name="Normal 2 5 4 8 2" xfId="6772" xr:uid="{00000000-0005-0000-0000-000063110000}"/>
    <cellStyle name="Normal 2 5 4 8 2 2" xfId="16098" xr:uid="{CD7F7B2C-0434-4507-A44F-76B0A1A51987}"/>
    <cellStyle name="Normal 2 5 4 8 2 3" xfId="25397" xr:uid="{4EF55941-338C-4506-A0A1-E369DFF7081B}"/>
    <cellStyle name="Normal 2 5 4 8 3" xfId="11881" xr:uid="{7161B5A9-4200-4C4D-9E21-0D01470AC88B}"/>
    <cellStyle name="Normal 2 5 4 8 4" xfId="21180" xr:uid="{F9511AB0-3390-4868-BB06-0B801F0CA7B0}"/>
    <cellStyle name="Normal 2 5 4 9" xfId="4706" xr:uid="{00000000-0005-0000-0000-000064110000}"/>
    <cellStyle name="Normal 2 5 4 9 2" xfId="14032" xr:uid="{E650FCF5-1F9E-43A0-8E2E-BB73322F30C0}"/>
    <cellStyle name="Normal 2 5 4 9 3" xfId="23331" xr:uid="{97BA6A72-9F7C-4933-94EC-652752FFE08A}"/>
    <cellStyle name="Normal 2 5 5" xfId="803" xr:uid="{00000000-0005-0000-0000-000065110000}"/>
    <cellStyle name="Normal 2 5 5 2" xfId="3042" xr:uid="{00000000-0005-0000-0000-000066110000}"/>
    <cellStyle name="Normal 2 5 5 2 2" xfId="7264" xr:uid="{00000000-0005-0000-0000-000067110000}"/>
    <cellStyle name="Normal 2 5 5 2 2 2" xfId="16590" xr:uid="{9CC368CF-C3F0-4C8D-BE43-A0D84FFEA500}"/>
    <cellStyle name="Normal 2 5 5 2 2 3" xfId="25889" xr:uid="{86F1D554-A948-40FF-ABB4-0A5A81E3954C}"/>
    <cellStyle name="Normal 2 5 5 2 3" xfId="12373" xr:uid="{EFB087CA-A309-4559-94BF-F205FEB131D8}"/>
    <cellStyle name="Normal 2 5 5 2 4" xfId="21672" xr:uid="{12D20A53-B44D-4474-B566-2D81622C063F}"/>
    <cellStyle name="Normal 2 5 5 3" xfId="5119" xr:uid="{00000000-0005-0000-0000-000068110000}"/>
    <cellStyle name="Normal 2 5 5 3 2" xfId="14445" xr:uid="{36919A16-518C-49D9-91D6-9889B404DC1B}"/>
    <cellStyle name="Normal 2 5 5 3 3" xfId="23744" xr:uid="{9AACA366-65AB-42F2-9378-384E86B510B4}"/>
    <cellStyle name="Normal 2 5 5 4" xfId="9606" xr:uid="{3AE4D77A-44EE-40C2-9F71-05FBDE2746B2}"/>
    <cellStyle name="Normal 2 5 5 4 2" xfId="18907" xr:uid="{3DD2A588-F165-4211-B3FC-5A383B37E797}"/>
    <cellStyle name="Normal 2 5 5 4 3" xfId="28204" xr:uid="{170F7438-2CBE-43C7-998A-4343D9ECAC6E}"/>
    <cellStyle name="Normal 2 5 5 5" xfId="10228" xr:uid="{9451BAF9-7E16-45A3-9285-A0649D8169A2}"/>
    <cellStyle name="Normal 2 5 5 6" xfId="19527" xr:uid="{7820E1EB-EAF7-4843-B9C7-A9F1A2EB4CF7}"/>
    <cellStyle name="Normal 2 5 6" xfId="1225" xr:uid="{00000000-0005-0000-0000-000069110000}"/>
    <cellStyle name="Normal 2 5 6 2" xfId="3455" xr:uid="{00000000-0005-0000-0000-00006A110000}"/>
    <cellStyle name="Normal 2 5 6 2 2" xfId="7677" xr:uid="{00000000-0005-0000-0000-00006B110000}"/>
    <cellStyle name="Normal 2 5 6 2 2 2" xfId="17003" xr:uid="{AEE86BC3-46E2-420B-98A0-96248FC46FD0}"/>
    <cellStyle name="Normal 2 5 6 2 2 3" xfId="26302" xr:uid="{5974B413-5D1B-4DA1-970B-4A26A31B6E29}"/>
    <cellStyle name="Normal 2 5 6 2 3" xfId="12786" xr:uid="{38C78774-CF46-4FD8-AD7A-58B08D907638}"/>
    <cellStyle name="Normal 2 5 6 2 4" xfId="22085" xr:uid="{7F374EAF-3B79-47BC-88AC-E2E0AC7268A0}"/>
    <cellStyle name="Normal 2 5 6 3" xfId="5532" xr:uid="{00000000-0005-0000-0000-00006C110000}"/>
    <cellStyle name="Normal 2 5 6 3 2" xfId="14858" xr:uid="{3E04F2DA-BFB6-47A0-802F-0DA90A7A30D0}"/>
    <cellStyle name="Normal 2 5 6 3 3" xfId="24157" xr:uid="{77F92794-F6F2-4E26-B16A-48D3244A8C90}"/>
    <cellStyle name="Normal 2 5 6 4" xfId="10641" xr:uid="{A83232DC-1D2D-4C70-A138-54DB6E19A8AF}"/>
    <cellStyle name="Normal 2 5 6 5" xfId="19940" xr:uid="{B9625179-4610-4BF4-B248-6D2B022FF7D6}"/>
    <cellStyle name="Normal 2 5 7" xfId="1638" xr:uid="{00000000-0005-0000-0000-00006D110000}"/>
    <cellStyle name="Normal 2 5 7 2" xfId="3868" xr:uid="{00000000-0005-0000-0000-00006E110000}"/>
    <cellStyle name="Normal 2 5 7 2 2" xfId="8090" xr:uid="{00000000-0005-0000-0000-00006F110000}"/>
    <cellStyle name="Normal 2 5 7 2 2 2" xfId="17416" xr:uid="{14BE41EC-7EED-4932-978E-9741328E97E9}"/>
    <cellStyle name="Normal 2 5 7 2 2 3" xfId="26715" xr:uid="{4C78B1DE-71A0-4BE7-AB44-12D2D5196D77}"/>
    <cellStyle name="Normal 2 5 7 2 3" xfId="13199" xr:uid="{51EA5827-FC07-4121-ACE1-800F281BB8CB}"/>
    <cellStyle name="Normal 2 5 7 2 4" xfId="22498" xr:uid="{EA7F151B-5370-413D-B797-BFC16991BE49}"/>
    <cellStyle name="Normal 2 5 7 3" xfId="5945" xr:uid="{00000000-0005-0000-0000-000070110000}"/>
    <cellStyle name="Normal 2 5 7 3 2" xfId="15271" xr:uid="{4D146C4D-C38B-410B-A4B1-34B43D85F035}"/>
    <cellStyle name="Normal 2 5 7 3 3" xfId="24570" xr:uid="{236013CF-F635-41E4-B5AE-62A7BB511D57}"/>
    <cellStyle name="Normal 2 5 7 4" xfId="11054" xr:uid="{E62DE21C-B571-4979-85D3-B205298E6E74}"/>
    <cellStyle name="Normal 2 5 7 5" xfId="20353" xr:uid="{71E47937-BBF7-4DEB-8996-C609332B5A88}"/>
    <cellStyle name="Normal 2 5 8" xfId="2052" xr:uid="{00000000-0005-0000-0000-000071110000}"/>
    <cellStyle name="Normal 2 5 8 2" xfId="4281" xr:uid="{00000000-0005-0000-0000-000072110000}"/>
    <cellStyle name="Normal 2 5 8 2 2" xfId="8503" xr:uid="{00000000-0005-0000-0000-000073110000}"/>
    <cellStyle name="Normal 2 5 8 2 2 2" xfId="17829" xr:uid="{B05802A5-78B7-4C3F-917E-2FA38A17695C}"/>
    <cellStyle name="Normal 2 5 8 2 2 3" xfId="27128" xr:uid="{2AABAD2F-2D12-428D-8DF1-8D935D182422}"/>
    <cellStyle name="Normal 2 5 8 2 3" xfId="13612" xr:uid="{44B402B0-B33E-43C3-916A-BB266FAB57C7}"/>
    <cellStyle name="Normal 2 5 8 2 4" xfId="22911" xr:uid="{1B57E1A3-0585-41DE-A540-6CD16E6FC824}"/>
    <cellStyle name="Normal 2 5 8 3" xfId="6358" xr:uid="{00000000-0005-0000-0000-000074110000}"/>
    <cellStyle name="Normal 2 5 8 3 2" xfId="15684" xr:uid="{7B185A74-8C66-477D-BC1E-92FE00BC6EA1}"/>
    <cellStyle name="Normal 2 5 8 3 3" xfId="24983" xr:uid="{C14A0441-25D3-4310-8024-F1668C0DCF1F}"/>
    <cellStyle name="Normal 2 5 8 4" xfId="11467" xr:uid="{BD8527A9-C581-40AA-A85D-D5689A2976FE}"/>
    <cellStyle name="Normal 2 5 8 5" xfId="20766" xr:uid="{A0F8A12E-8357-4A7C-A057-44820B5617F6}"/>
    <cellStyle name="Normal 2 5 9" xfId="2488" xr:uid="{00000000-0005-0000-0000-000075110000}"/>
    <cellStyle name="Normal 2 5 9 2" xfId="6771" xr:uid="{00000000-0005-0000-0000-000076110000}"/>
    <cellStyle name="Normal 2 5 9 2 2" xfId="16097" xr:uid="{E4E4114F-7A12-471D-8B31-577A489F6114}"/>
    <cellStyle name="Normal 2 5 9 2 3" xfId="25396" xr:uid="{9ED73B4A-5DB0-4BE1-B82D-4FC89C69BA7E}"/>
    <cellStyle name="Normal 2 5 9 3" xfId="11880" xr:uid="{58249A0E-21BD-46F9-8ED7-28F11B5D9223}"/>
    <cellStyle name="Normal 2 5 9 4" xfId="21179" xr:uid="{38AB4552-B402-46AB-B57C-59556BD433F2}"/>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610B6FCC-FE13-4DC0-B814-28396112CE45}"/>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04C1A2F0-0DC4-4DEA-823B-E41B41D4833C}"/>
    <cellStyle name="Normal 3 2 11" xfId="19118" xr:uid="{FD60238B-DA18-49F7-837C-A06727C64804}"/>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51B7C5A7-8D72-4433-93E6-5F5D50097027}"/>
    <cellStyle name="Normal 3 2 3 10 3" xfId="27439" xr:uid="{8F6BDCAB-E587-4E8D-9314-8F7B0A512106}"/>
    <cellStyle name="Normal 3 2 3 11" xfId="9820" xr:uid="{BA649EF0-BA36-44B1-B5E3-80CFF3A2F6E1}"/>
    <cellStyle name="Normal 3 2 3 12" xfId="19119" xr:uid="{A570B9D4-90C3-471D-9DF9-59C52F0270EB}"/>
    <cellStyle name="Normal 3 2 3 2" xfId="327" xr:uid="{00000000-0005-0000-0000-00007F110000}"/>
    <cellStyle name="Normal 3 2 3 2 10" xfId="9821" xr:uid="{5EC1A029-D158-4B11-BFA8-26F22DEF5D39}"/>
    <cellStyle name="Normal 3 2 3 2 11" xfId="19120" xr:uid="{E8994EBF-7FDD-4056-9B5B-71B179DD68CD}"/>
    <cellStyle name="Normal 3 2 3 2 2" xfId="328" xr:uid="{00000000-0005-0000-0000-000080110000}"/>
    <cellStyle name="Normal 3 2 3 2 2 10" xfId="19121" xr:uid="{AF3975B8-F8F2-436F-ACF2-569CBBFC40E7}"/>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F9644DC2-268C-4605-975E-D4F4BE2EDF02}"/>
    <cellStyle name="Normal 3 2 3 2 2 2 2 2 3" xfId="25897" xr:uid="{E63E0000-581C-4B81-9661-5C263F90E7EF}"/>
    <cellStyle name="Normal 3 2 3 2 2 2 2 3" xfId="12381" xr:uid="{5AD73673-820E-4D38-B227-20E564515B0F}"/>
    <cellStyle name="Normal 3 2 3 2 2 2 2 4" xfId="21680" xr:uid="{49844B15-1411-4594-B670-AC867F5559A3}"/>
    <cellStyle name="Normal 3 2 3 2 2 2 3" xfId="5127" xr:uid="{00000000-0005-0000-0000-000084110000}"/>
    <cellStyle name="Normal 3 2 3 2 2 2 3 2" xfId="14453" xr:uid="{B4C0557B-2022-4756-AE58-ECCDFCFA7DF1}"/>
    <cellStyle name="Normal 3 2 3 2 2 2 3 3" xfId="23752" xr:uid="{7F8A685C-DB98-4C51-8E49-44407AFDCD41}"/>
    <cellStyle name="Normal 3 2 3 2 2 2 4" xfId="9552" xr:uid="{54198C1B-8B77-4C07-BFED-28C4D4E00A0C}"/>
    <cellStyle name="Normal 3 2 3 2 2 2 4 2" xfId="18867" xr:uid="{932AC18B-16DB-4B03-A3C6-C0CF02B4E1C6}"/>
    <cellStyle name="Normal 3 2 3 2 2 2 4 3" xfId="28164" xr:uid="{AE40838E-1D4D-4BDF-A2EC-31F1DB3ABCD5}"/>
    <cellStyle name="Normal 3 2 3 2 2 2 5" xfId="10236" xr:uid="{2F16ED83-EB81-4224-95DE-3946B588806E}"/>
    <cellStyle name="Normal 3 2 3 2 2 2 6" xfId="19535" xr:uid="{C396F768-D7F8-4E08-B7AA-46B21396B1F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6A4C2D9D-B66E-4766-BBE0-37FA5A9AE60F}"/>
    <cellStyle name="Normal 3 2 3 2 2 3 2 2 3" xfId="26310" xr:uid="{31CD3FA4-BCC7-4BB7-B37C-1E05994980ED}"/>
    <cellStyle name="Normal 3 2 3 2 2 3 2 3" xfId="12794" xr:uid="{9A533D19-44CD-469E-A65D-6F6FD11166EA}"/>
    <cellStyle name="Normal 3 2 3 2 2 3 2 4" xfId="22093" xr:uid="{EDB1C284-9172-49FA-80E8-552B4568438E}"/>
    <cellStyle name="Normal 3 2 3 2 2 3 3" xfId="5540" xr:uid="{00000000-0005-0000-0000-000088110000}"/>
    <cellStyle name="Normal 3 2 3 2 2 3 3 2" xfId="14866" xr:uid="{A502CFE4-488E-4BDA-A0B4-96758E79E5AC}"/>
    <cellStyle name="Normal 3 2 3 2 2 3 3 3" xfId="24165" xr:uid="{8E9655D6-4670-4874-88AA-9C971A5B208F}"/>
    <cellStyle name="Normal 3 2 3 2 2 3 4" xfId="10649" xr:uid="{E46BAD42-1769-4F56-A1AA-55A8F04BD017}"/>
    <cellStyle name="Normal 3 2 3 2 2 3 5" xfId="19948" xr:uid="{003C2713-2D0A-442E-97B0-FFE247B36E1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EEE819EC-D2FB-4BB6-9A4F-0BE35901E857}"/>
    <cellStyle name="Normal 3 2 3 2 2 4 2 2 3" xfId="26723" xr:uid="{F9D31876-AC54-4E00-A7FF-645B9121A613}"/>
    <cellStyle name="Normal 3 2 3 2 2 4 2 3" xfId="13207" xr:uid="{DFCDDBA9-D5AA-4DEF-9412-0B01A3A804E1}"/>
    <cellStyle name="Normal 3 2 3 2 2 4 2 4" xfId="22506" xr:uid="{118DA2A6-CCCB-4E36-A58D-D888D6E91592}"/>
    <cellStyle name="Normal 3 2 3 2 2 4 3" xfId="5953" xr:uid="{00000000-0005-0000-0000-00008C110000}"/>
    <cellStyle name="Normal 3 2 3 2 2 4 3 2" xfId="15279" xr:uid="{25999B72-5821-4173-B412-E86345912F2B}"/>
    <cellStyle name="Normal 3 2 3 2 2 4 3 3" xfId="24578" xr:uid="{0F57DBC6-DD39-49DF-9422-3B4B702EFEBA}"/>
    <cellStyle name="Normal 3 2 3 2 2 4 4" xfId="11062" xr:uid="{C5605136-958B-4A1E-B3F3-AC1ED9465618}"/>
    <cellStyle name="Normal 3 2 3 2 2 4 5" xfId="20361" xr:uid="{89445AD7-9DE0-4DB8-AC13-3EDD485A484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6FACEBE7-C8D4-4D6A-B2F8-215EACD1F02C}"/>
    <cellStyle name="Normal 3 2 3 2 2 5 2 2 3" xfId="27136" xr:uid="{388A34B7-A4BA-497C-A12C-4529131EBE85}"/>
    <cellStyle name="Normal 3 2 3 2 2 5 2 3" xfId="13620" xr:uid="{317B4640-F16C-410B-A08B-29F304DB6CD3}"/>
    <cellStyle name="Normal 3 2 3 2 2 5 2 4" xfId="22919" xr:uid="{CC66BE2A-0973-4022-B3EE-4978C4FBF955}"/>
    <cellStyle name="Normal 3 2 3 2 2 5 3" xfId="6366" xr:uid="{00000000-0005-0000-0000-000090110000}"/>
    <cellStyle name="Normal 3 2 3 2 2 5 3 2" xfId="15692" xr:uid="{4396B6DE-0022-4C23-B0D6-09C0A8511D26}"/>
    <cellStyle name="Normal 3 2 3 2 2 5 3 3" xfId="24991" xr:uid="{52942EE6-C539-48D0-A251-78B3DC99308E}"/>
    <cellStyle name="Normal 3 2 3 2 2 5 4" xfId="11475" xr:uid="{783775AE-E736-4F5C-AC48-3D3CE5FBC960}"/>
    <cellStyle name="Normal 3 2 3 2 2 5 5" xfId="20774" xr:uid="{A342A097-5841-402F-856E-3A06334487DB}"/>
    <cellStyle name="Normal 3 2 3 2 2 6" xfId="2496" xr:uid="{00000000-0005-0000-0000-000091110000}"/>
    <cellStyle name="Normal 3 2 3 2 2 6 2" xfId="6779" xr:uid="{00000000-0005-0000-0000-000092110000}"/>
    <cellStyle name="Normal 3 2 3 2 2 6 2 2" xfId="16105" xr:uid="{17DF861E-C186-495E-9A37-9E6A0841C0D9}"/>
    <cellStyle name="Normal 3 2 3 2 2 6 2 3" xfId="25404" xr:uid="{12B6E636-F18A-4167-9631-7D0769DC5828}"/>
    <cellStyle name="Normal 3 2 3 2 2 6 3" xfId="11888" xr:uid="{F0C5E709-A20F-4323-B8C3-B03077DDF58B}"/>
    <cellStyle name="Normal 3 2 3 2 2 6 4" xfId="21187" xr:uid="{4069B27B-3BC4-4D80-ABC6-018CC8990959}"/>
    <cellStyle name="Normal 3 2 3 2 2 7" xfId="4713" xr:uid="{00000000-0005-0000-0000-000093110000}"/>
    <cellStyle name="Normal 3 2 3 2 2 7 2" xfId="14039" xr:uid="{07B8F8F6-A179-4C54-B7BC-9B912F66B0CC}"/>
    <cellStyle name="Normal 3 2 3 2 2 7 3" xfId="23338" xr:uid="{D295A786-735E-4DF3-8CD6-07CC64867426}"/>
    <cellStyle name="Normal 3 2 3 2 2 8" xfId="9127" xr:uid="{0583B12A-AAD6-4358-9C0C-42D6EBC3DFD8}"/>
    <cellStyle name="Normal 3 2 3 2 2 8 2" xfId="18451" xr:uid="{F45231B1-159C-4B77-B414-84D0E8E09A0F}"/>
    <cellStyle name="Normal 3 2 3 2 2 8 3" xfId="27749" xr:uid="{ED16DA8C-48D4-4542-AF50-5DAED36B14E8}"/>
    <cellStyle name="Normal 3 2 3 2 2 9" xfId="9822" xr:uid="{35FAE1B0-4AE1-4E00-AD78-B8961C150FDD}"/>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014C460B-59D7-432D-B17D-E9A1DAC21D1E}"/>
    <cellStyle name="Normal 3 2 3 2 3 2 2 3" xfId="25896" xr:uid="{334071DD-1592-484F-845F-AD4E314CED52}"/>
    <cellStyle name="Normal 3 2 3 2 3 2 3" xfId="12380" xr:uid="{91EE2059-79CB-4326-B616-F3317799A8BB}"/>
    <cellStyle name="Normal 3 2 3 2 3 2 4" xfId="21679" xr:uid="{DEA264B0-6101-4E70-AA91-51787B263F52}"/>
    <cellStyle name="Normal 3 2 3 2 3 3" xfId="5126" xr:uid="{00000000-0005-0000-0000-000097110000}"/>
    <cellStyle name="Normal 3 2 3 2 3 3 2" xfId="14452" xr:uid="{449FD686-D45D-4428-8AD7-9DA63D74E275}"/>
    <cellStyle name="Normal 3 2 3 2 3 3 3" xfId="23751" xr:uid="{0366FBBA-08AD-4247-A4DD-CB5DA78DEF7D}"/>
    <cellStyle name="Normal 3 2 3 2 3 4" xfId="9345" xr:uid="{C34A3811-3C7F-4E99-A17A-CCF74A426C86}"/>
    <cellStyle name="Normal 3 2 3 2 3 4 2" xfId="18660" xr:uid="{FD531F14-BF1F-4ED2-8465-D2796F530B87}"/>
    <cellStyle name="Normal 3 2 3 2 3 4 3" xfId="27957" xr:uid="{BDDEF9E0-5705-48D6-A575-EB52BDFA86A3}"/>
    <cellStyle name="Normal 3 2 3 2 3 5" xfId="10235" xr:uid="{97367B6F-9E36-4F70-BE27-8E0A3078BB3E}"/>
    <cellStyle name="Normal 3 2 3 2 3 6" xfId="19534" xr:uid="{A53EA87F-2A37-4689-B898-D4F8C2317B0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44B0556D-E111-4567-9EB8-C43732350029}"/>
    <cellStyle name="Normal 3 2 3 2 4 2 2 3" xfId="26309" xr:uid="{BDF270EF-26C2-4611-9D22-B2727FD333F0}"/>
    <cellStyle name="Normal 3 2 3 2 4 2 3" xfId="12793" xr:uid="{97AD9B0D-1BF7-443F-9286-4757E9230712}"/>
    <cellStyle name="Normal 3 2 3 2 4 2 4" xfId="22092" xr:uid="{83446D37-3B13-4556-B742-C865699E6229}"/>
    <cellStyle name="Normal 3 2 3 2 4 3" xfId="5539" xr:uid="{00000000-0005-0000-0000-00009B110000}"/>
    <cellStyle name="Normal 3 2 3 2 4 3 2" xfId="14865" xr:uid="{6E6F6446-F4D3-4690-A65B-7D201AB5ADB5}"/>
    <cellStyle name="Normal 3 2 3 2 4 3 3" xfId="24164" xr:uid="{F00C88D3-ABE2-4055-943B-C1DC1B7CEE0C}"/>
    <cellStyle name="Normal 3 2 3 2 4 4" xfId="10648" xr:uid="{74ED8B88-408C-4BC1-A87C-5E78748B54C9}"/>
    <cellStyle name="Normal 3 2 3 2 4 5" xfId="19947" xr:uid="{1C5AA5F7-FDE1-4DBB-A0F3-0EA03DB4C01A}"/>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736C65D9-72CD-43A9-98B2-661B5756926D}"/>
    <cellStyle name="Normal 3 2 3 2 5 2 2 3" xfId="26722" xr:uid="{9EFF9FE3-FBE1-4873-9D84-AA913ADF99B8}"/>
    <cellStyle name="Normal 3 2 3 2 5 2 3" xfId="13206" xr:uid="{1DC8550D-26BE-4E65-9EA4-0487254BE1CF}"/>
    <cellStyle name="Normal 3 2 3 2 5 2 4" xfId="22505" xr:uid="{A93541DA-936D-4464-983B-E9E006BAF5DB}"/>
    <cellStyle name="Normal 3 2 3 2 5 3" xfId="5952" xr:uid="{00000000-0005-0000-0000-00009F110000}"/>
    <cellStyle name="Normal 3 2 3 2 5 3 2" xfId="15278" xr:uid="{2A80482F-D43C-487D-9761-F6AEC4B59D3E}"/>
    <cellStyle name="Normal 3 2 3 2 5 3 3" xfId="24577" xr:uid="{A0E53BD7-9B48-4CFE-BA36-1D12257E8151}"/>
    <cellStyle name="Normal 3 2 3 2 5 4" xfId="11061" xr:uid="{77526875-CEB7-491F-AA21-0E545563C3C5}"/>
    <cellStyle name="Normal 3 2 3 2 5 5" xfId="20360" xr:uid="{74FC36B2-9291-441F-86BE-74AAEFC036BB}"/>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3B42F809-A6E5-4C28-BC39-367F2BE873C3}"/>
    <cellStyle name="Normal 3 2 3 2 6 2 2 3" xfId="27135" xr:uid="{DA2B40E8-E306-4570-A5ED-143792512DAD}"/>
    <cellStyle name="Normal 3 2 3 2 6 2 3" xfId="13619" xr:uid="{DD1818B7-EF15-4AB9-9C3D-F44480B1C48A}"/>
    <cellStyle name="Normal 3 2 3 2 6 2 4" xfId="22918" xr:uid="{9DFD42B7-071C-4E5B-91B9-16CD540CDDE3}"/>
    <cellStyle name="Normal 3 2 3 2 6 3" xfId="6365" xr:uid="{00000000-0005-0000-0000-0000A3110000}"/>
    <cellStyle name="Normal 3 2 3 2 6 3 2" xfId="15691" xr:uid="{2BBF1CF9-755D-4C28-9FE7-4AC84A4EE839}"/>
    <cellStyle name="Normal 3 2 3 2 6 3 3" xfId="24990" xr:uid="{4ABE8DDF-6060-4A63-A7C2-E6AC551B4D7C}"/>
    <cellStyle name="Normal 3 2 3 2 6 4" xfId="11474" xr:uid="{C923D355-7F6C-456F-B3DD-5EF6A3A27E11}"/>
    <cellStyle name="Normal 3 2 3 2 6 5" xfId="20773" xr:uid="{19D955B4-38A6-4B7E-B716-652D807C3CAC}"/>
    <cellStyle name="Normal 3 2 3 2 7" xfId="2495" xr:uid="{00000000-0005-0000-0000-0000A4110000}"/>
    <cellStyle name="Normal 3 2 3 2 7 2" xfId="6778" xr:uid="{00000000-0005-0000-0000-0000A5110000}"/>
    <cellStyle name="Normal 3 2 3 2 7 2 2" xfId="16104" xr:uid="{6B5C5BAF-B807-40E4-9B8E-8BC3EBE6FDE4}"/>
    <cellStyle name="Normal 3 2 3 2 7 2 3" xfId="25403" xr:uid="{8BA9BA43-048B-43AE-BA07-E3C55582ED26}"/>
    <cellStyle name="Normal 3 2 3 2 7 3" xfId="11887" xr:uid="{57C435F7-B286-4640-B139-1F01537418B6}"/>
    <cellStyle name="Normal 3 2 3 2 7 4" xfId="21186" xr:uid="{349A2AEB-F93A-4B52-AD1E-D43518806AB1}"/>
    <cellStyle name="Normal 3 2 3 2 8" xfId="4712" xr:uid="{00000000-0005-0000-0000-0000A6110000}"/>
    <cellStyle name="Normal 3 2 3 2 8 2" xfId="14038" xr:uid="{359237ED-D9BE-4AA0-B70A-5AC1156BC079}"/>
    <cellStyle name="Normal 3 2 3 2 8 3" xfId="23337" xr:uid="{5B85C2E0-6B62-40B5-AA77-84DE38F467EC}"/>
    <cellStyle name="Normal 3 2 3 2 9" xfId="8920" xr:uid="{D9E0825A-068A-435C-BDBE-2C0571A11FAF}"/>
    <cellStyle name="Normal 3 2 3 2 9 2" xfId="18244" xr:uid="{81661E9B-CF5E-4950-AB5A-AEC8A069F2B6}"/>
    <cellStyle name="Normal 3 2 3 2 9 3" xfId="27542" xr:uid="{41BEE780-3AF7-487E-A2B8-069BAF5AD99C}"/>
    <cellStyle name="Normal 3 2 3 3" xfId="329" xr:uid="{00000000-0005-0000-0000-0000A7110000}"/>
    <cellStyle name="Normal 3 2 3 3 10" xfId="19122" xr:uid="{983E4602-BA40-4535-BB2F-CC1CC448E131}"/>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52280A01-8919-4618-8844-17619F844050}"/>
    <cellStyle name="Normal 3 2 3 3 2 2 2 3" xfId="25898" xr:uid="{7F6B22E0-8794-4B9E-A06C-114C6095B35F}"/>
    <cellStyle name="Normal 3 2 3 3 2 2 3" xfId="12382" xr:uid="{FDBCB991-CDF4-4651-879D-48671F5F7E65}"/>
    <cellStyle name="Normal 3 2 3 3 2 2 4" xfId="21681" xr:uid="{F2D12355-666B-4057-ABF2-FE6DBE8B60D0}"/>
    <cellStyle name="Normal 3 2 3 3 2 3" xfId="5128" xr:uid="{00000000-0005-0000-0000-0000AB110000}"/>
    <cellStyle name="Normal 3 2 3 3 2 3 2" xfId="14454" xr:uid="{720FBF0C-DF00-40B0-B3B4-A1D62D3A9768}"/>
    <cellStyle name="Normal 3 2 3 3 2 3 3" xfId="23753" xr:uid="{74AA1FA5-52FA-4CF2-9508-51B9994B9D6F}"/>
    <cellStyle name="Normal 3 2 3 3 2 4" xfId="9449" xr:uid="{7F58A2DC-DF16-44D1-8D09-04DD41EF4468}"/>
    <cellStyle name="Normal 3 2 3 3 2 4 2" xfId="18764" xr:uid="{FA324535-E424-47A5-B7AE-800D390379E8}"/>
    <cellStyle name="Normal 3 2 3 3 2 4 3" xfId="28061" xr:uid="{06B146E0-D675-4459-906A-149A2D976AAB}"/>
    <cellStyle name="Normal 3 2 3 3 2 5" xfId="10237" xr:uid="{3F63639B-49A8-4730-8D2B-01882CB8B11F}"/>
    <cellStyle name="Normal 3 2 3 3 2 6" xfId="19536" xr:uid="{91C948D6-2751-4743-A3F6-AFE0C7BFB8EB}"/>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B5FA1DC8-B206-4566-BFAB-F95EC1AA2EFA}"/>
    <cellStyle name="Normal 3 2 3 3 3 2 2 3" xfId="26311" xr:uid="{3DAFA43F-D61A-4E13-B92D-5DBE0453583B}"/>
    <cellStyle name="Normal 3 2 3 3 3 2 3" xfId="12795" xr:uid="{9FD725F2-2317-49ED-99B3-5731D020B099}"/>
    <cellStyle name="Normal 3 2 3 3 3 2 4" xfId="22094" xr:uid="{8DDAFA85-B75D-45D5-8D41-0589145A458E}"/>
    <cellStyle name="Normal 3 2 3 3 3 3" xfId="5541" xr:uid="{00000000-0005-0000-0000-0000AF110000}"/>
    <cellStyle name="Normal 3 2 3 3 3 3 2" xfId="14867" xr:uid="{0C654DC6-57F9-44E5-BFF3-A627B18D9B6C}"/>
    <cellStyle name="Normal 3 2 3 3 3 3 3" xfId="24166" xr:uid="{71E44E50-8E9F-4F40-8F4E-21552E5A5E6E}"/>
    <cellStyle name="Normal 3 2 3 3 3 4" xfId="10650" xr:uid="{99E5BB1D-FC3B-4BD5-95D7-12353BB1A9A2}"/>
    <cellStyle name="Normal 3 2 3 3 3 5" xfId="19949" xr:uid="{B7E8A3F4-C0B1-4CCB-AE35-1E5B06A73033}"/>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074DA93C-5324-4312-B110-6A0A024518DC}"/>
    <cellStyle name="Normal 3 2 3 3 4 2 2 3" xfId="26724" xr:uid="{C0CAF133-1259-4257-86C5-8F84E9E8DAF9}"/>
    <cellStyle name="Normal 3 2 3 3 4 2 3" xfId="13208" xr:uid="{8E2224FC-9266-47C7-B46A-ED094BEF6B8F}"/>
    <cellStyle name="Normal 3 2 3 3 4 2 4" xfId="22507" xr:uid="{362A5330-CF0D-4B48-A029-C2666223CFF2}"/>
    <cellStyle name="Normal 3 2 3 3 4 3" xfId="5954" xr:uid="{00000000-0005-0000-0000-0000B3110000}"/>
    <cellStyle name="Normal 3 2 3 3 4 3 2" xfId="15280" xr:uid="{2CC878DB-3DED-4B9F-9521-2013CD981988}"/>
    <cellStyle name="Normal 3 2 3 3 4 3 3" xfId="24579" xr:uid="{9245EE50-5E5E-4E24-824A-BB2C183FC20B}"/>
    <cellStyle name="Normal 3 2 3 3 4 4" xfId="11063" xr:uid="{7D2A0C1C-1ABC-4ED7-A2FF-FC41857BBC09}"/>
    <cellStyle name="Normal 3 2 3 3 4 5" xfId="20362" xr:uid="{C232C910-5AF1-456D-B0FD-52178AF1F0E4}"/>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EB1E007F-EC0E-494A-AD6F-D4C40492AB6D}"/>
    <cellStyle name="Normal 3 2 3 3 5 2 2 3" xfId="27137" xr:uid="{844230D4-238B-4E7D-BBE5-0DB1A767B107}"/>
    <cellStyle name="Normal 3 2 3 3 5 2 3" xfId="13621" xr:uid="{7A72E3A9-0BDF-4B46-818B-46AF9452D461}"/>
    <cellStyle name="Normal 3 2 3 3 5 2 4" xfId="22920" xr:uid="{08535591-7507-4A92-B066-897CECCB6799}"/>
    <cellStyle name="Normal 3 2 3 3 5 3" xfId="6367" xr:uid="{00000000-0005-0000-0000-0000B7110000}"/>
    <cellStyle name="Normal 3 2 3 3 5 3 2" xfId="15693" xr:uid="{4E433F2B-1390-4A08-BC6A-EE1B57BE628D}"/>
    <cellStyle name="Normal 3 2 3 3 5 3 3" xfId="24992" xr:uid="{27C9591F-035E-4F7D-9A48-6F652F3F7696}"/>
    <cellStyle name="Normal 3 2 3 3 5 4" xfId="11476" xr:uid="{98EC5FDC-ED8C-449A-9DE8-E0C06BE6E742}"/>
    <cellStyle name="Normal 3 2 3 3 5 5" xfId="20775" xr:uid="{5ABDC433-954F-4E76-9A54-55D7F490C80D}"/>
    <cellStyle name="Normal 3 2 3 3 6" xfId="2497" xr:uid="{00000000-0005-0000-0000-0000B8110000}"/>
    <cellStyle name="Normal 3 2 3 3 6 2" xfId="6780" xr:uid="{00000000-0005-0000-0000-0000B9110000}"/>
    <cellStyle name="Normal 3 2 3 3 6 2 2" xfId="16106" xr:uid="{45B52D4B-A666-4259-9C2E-701471E314D1}"/>
    <cellStyle name="Normal 3 2 3 3 6 2 3" xfId="25405" xr:uid="{B20CD096-DB91-497F-9903-63F0F696A1CA}"/>
    <cellStyle name="Normal 3 2 3 3 6 3" xfId="11889" xr:uid="{79420C6C-086C-4B75-A2CA-11FBA806C0F3}"/>
    <cellStyle name="Normal 3 2 3 3 6 4" xfId="21188" xr:uid="{0A8EA367-6224-4E84-8A47-526DA49E415E}"/>
    <cellStyle name="Normal 3 2 3 3 7" xfId="4714" xr:uid="{00000000-0005-0000-0000-0000BA110000}"/>
    <cellStyle name="Normal 3 2 3 3 7 2" xfId="14040" xr:uid="{1FCF46D0-6357-46D8-A3C5-6B65F5C52824}"/>
    <cellStyle name="Normal 3 2 3 3 7 3" xfId="23339" xr:uid="{A8F58876-B4BD-4E0F-9E3C-8F18B1080819}"/>
    <cellStyle name="Normal 3 2 3 3 8" xfId="9024" xr:uid="{AE2F680F-18A3-47B5-ADCF-6BEAD71D50CE}"/>
    <cellStyle name="Normal 3 2 3 3 8 2" xfId="18348" xr:uid="{706F891E-394A-416B-AAF2-B013EA762338}"/>
    <cellStyle name="Normal 3 2 3 3 8 3" xfId="27646" xr:uid="{A270860F-566F-41B2-BF2B-5CD90AFE63DD}"/>
    <cellStyle name="Normal 3 2 3 3 9" xfId="9823" xr:uid="{05B19312-3AAD-4818-B73C-4638A290EA50}"/>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B285374F-512E-4C42-A72E-556F90D9EC13}"/>
    <cellStyle name="Normal 3 2 3 4 2 2 3" xfId="25895" xr:uid="{EF690D02-5CEC-4F18-9026-50380F381058}"/>
    <cellStyle name="Normal 3 2 3 4 2 3" xfId="12379" xr:uid="{4F3E4D29-366F-4932-AAA9-832AA402E84E}"/>
    <cellStyle name="Normal 3 2 3 4 2 4" xfId="21678" xr:uid="{CBAD4C4A-889D-447E-ACDB-7463E1563B35}"/>
    <cellStyle name="Normal 3 2 3 4 3" xfId="5125" xr:uid="{00000000-0005-0000-0000-0000BE110000}"/>
    <cellStyle name="Normal 3 2 3 4 3 2" xfId="14451" xr:uid="{11474DA6-3DF1-449A-883A-55C2E080B0D3}"/>
    <cellStyle name="Normal 3 2 3 4 3 3" xfId="23750" xr:uid="{503F548D-4A8C-4962-9EBD-1407F06F383C}"/>
    <cellStyle name="Normal 3 2 3 4 4" xfId="9242" xr:uid="{05AEEDFF-7EEB-40DB-B13D-145C971A771B}"/>
    <cellStyle name="Normal 3 2 3 4 4 2" xfId="18557" xr:uid="{9A9E8430-45D0-4348-A9F6-322FB9A2B277}"/>
    <cellStyle name="Normal 3 2 3 4 4 3" xfId="27854" xr:uid="{38F05F86-35A2-4969-99B7-FEC950C43860}"/>
    <cellStyle name="Normal 3 2 3 4 5" xfId="10234" xr:uid="{050A6AB3-0A97-4C08-AEA3-EBDAD9D66213}"/>
    <cellStyle name="Normal 3 2 3 4 6" xfId="19533" xr:uid="{9E49D260-DB4C-4C15-A707-5D2D391C2EDD}"/>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C83E3363-8062-4090-81CC-E7E02ADB7485}"/>
    <cellStyle name="Normal 3 2 3 5 2 2 3" xfId="26308" xr:uid="{98B6DF9C-42DC-4783-A423-1C7F9C5190D8}"/>
    <cellStyle name="Normal 3 2 3 5 2 3" xfId="12792" xr:uid="{93E12A63-A54B-4798-BC1B-D3E04BD73484}"/>
    <cellStyle name="Normal 3 2 3 5 2 4" xfId="22091" xr:uid="{D3245EE4-408E-4360-AD55-51BD25A47EBB}"/>
    <cellStyle name="Normal 3 2 3 5 3" xfId="5538" xr:uid="{00000000-0005-0000-0000-0000C2110000}"/>
    <cellStyle name="Normal 3 2 3 5 3 2" xfId="14864" xr:uid="{7042244A-343D-4207-9452-CDE7F074B616}"/>
    <cellStyle name="Normal 3 2 3 5 3 3" xfId="24163" xr:uid="{DC9070D0-AAE6-46C5-9293-705532191815}"/>
    <cellStyle name="Normal 3 2 3 5 4" xfId="10647" xr:uid="{60613380-36A4-4786-A45C-DE36C187904B}"/>
    <cellStyle name="Normal 3 2 3 5 5" xfId="19946" xr:uid="{DF0B31B8-19D8-4067-B47F-A9819DBABBEE}"/>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A8214630-081F-4A0E-9EDD-D3E3CBEC6BBD}"/>
    <cellStyle name="Normal 3 2 3 6 2 2 3" xfId="26721" xr:uid="{84215D46-5FE2-4A05-A6B8-38E852999A9A}"/>
    <cellStyle name="Normal 3 2 3 6 2 3" xfId="13205" xr:uid="{22C4F45B-6035-4B5C-BEEE-0B0C5DB7A16F}"/>
    <cellStyle name="Normal 3 2 3 6 2 4" xfId="22504" xr:uid="{5F95ED2B-797A-4850-81DD-CF62DEC10E16}"/>
    <cellStyle name="Normal 3 2 3 6 3" xfId="5951" xr:uid="{00000000-0005-0000-0000-0000C6110000}"/>
    <cellStyle name="Normal 3 2 3 6 3 2" xfId="15277" xr:uid="{9BDE31F7-1B5C-432F-9C22-8837033B655B}"/>
    <cellStyle name="Normal 3 2 3 6 3 3" xfId="24576" xr:uid="{31E58FE5-D25B-4838-8629-3D517627C405}"/>
    <cellStyle name="Normal 3 2 3 6 4" xfId="11060" xr:uid="{E2A6CC93-5A5F-493E-A311-E5FAD006E7E9}"/>
    <cellStyle name="Normal 3 2 3 6 5" xfId="20359" xr:uid="{3F65C0E0-205F-4990-AF68-F2C97A4CA1DB}"/>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B7E5C4AE-BF1E-4B62-B78F-B5B7CEE059D0}"/>
    <cellStyle name="Normal 3 2 3 7 2 2 3" xfId="27134" xr:uid="{9EC3114D-86CD-497C-8623-CED6CABFA8C0}"/>
    <cellStyle name="Normal 3 2 3 7 2 3" xfId="13618" xr:uid="{F9027F42-9A97-48FA-909A-843F3CAEB195}"/>
    <cellStyle name="Normal 3 2 3 7 2 4" xfId="22917" xr:uid="{15703EB5-5CF5-45CF-BF3B-D1B3C5BE4447}"/>
    <cellStyle name="Normal 3 2 3 7 3" xfId="6364" xr:uid="{00000000-0005-0000-0000-0000CA110000}"/>
    <cellStyle name="Normal 3 2 3 7 3 2" xfId="15690" xr:uid="{6C64895D-59F5-4BE1-84B5-4C25B05C67C7}"/>
    <cellStyle name="Normal 3 2 3 7 3 3" xfId="24989" xr:uid="{5F230A5F-F3AB-4A49-AD07-AD8993201C89}"/>
    <cellStyle name="Normal 3 2 3 7 4" xfId="11473" xr:uid="{82035B43-F80B-4B98-99A2-DA089054980E}"/>
    <cellStyle name="Normal 3 2 3 7 5" xfId="20772" xr:uid="{6B38BDD8-2CE7-4239-B5E6-7C19C73D8E8D}"/>
    <cellStyle name="Normal 3 2 3 8" xfId="2494" xr:uid="{00000000-0005-0000-0000-0000CB110000}"/>
    <cellStyle name="Normal 3 2 3 8 2" xfId="6777" xr:uid="{00000000-0005-0000-0000-0000CC110000}"/>
    <cellStyle name="Normal 3 2 3 8 2 2" xfId="16103" xr:uid="{6181315D-937A-4FCC-AC9C-3B263F20000E}"/>
    <cellStyle name="Normal 3 2 3 8 2 3" xfId="25402" xr:uid="{FDDAEB1B-703F-43DF-A2B6-3A5150E047CE}"/>
    <cellStyle name="Normal 3 2 3 8 3" xfId="11886" xr:uid="{06F4A09B-9138-470A-8213-B91406886035}"/>
    <cellStyle name="Normal 3 2 3 8 4" xfId="21185" xr:uid="{41E08DA1-1A7B-47EB-948A-EE6531A33BBB}"/>
    <cellStyle name="Normal 3 2 3 9" xfId="4711" xr:uid="{00000000-0005-0000-0000-0000CD110000}"/>
    <cellStyle name="Normal 3 2 3 9 2" xfId="14037" xr:uid="{29C217F4-BB45-4020-ABE3-1824C00A865E}"/>
    <cellStyle name="Normal 3 2 3 9 3" xfId="23336" xr:uid="{C61C2640-81D0-4C96-9ED8-186154753B06}"/>
    <cellStyle name="Normal 3 2 4" xfId="809" xr:uid="{00000000-0005-0000-0000-0000CE110000}"/>
    <cellStyle name="Normal 3 2 4 2" xfId="3047" xr:uid="{00000000-0005-0000-0000-0000CF110000}"/>
    <cellStyle name="Normal 3 2 4 2 2" xfId="7269" xr:uid="{00000000-0005-0000-0000-0000D0110000}"/>
    <cellStyle name="Normal 3 2 4 2 2 2" xfId="16595" xr:uid="{F612538B-9FA5-4A27-A8F8-29D2519DF2D5}"/>
    <cellStyle name="Normal 3 2 4 2 2 3" xfId="25894" xr:uid="{7389BC9F-1AB2-40F5-912B-ACF8539CE50B}"/>
    <cellStyle name="Normal 3 2 4 2 3" xfId="12378" xr:uid="{947C914C-E95B-4FE6-9529-C348A4030783}"/>
    <cellStyle name="Normal 3 2 4 2 4" xfId="21677" xr:uid="{A8F2BDA4-5EE6-4F4A-8CE9-8A590DA62F28}"/>
    <cellStyle name="Normal 3 2 4 3" xfId="5124" xr:uid="{00000000-0005-0000-0000-0000D1110000}"/>
    <cellStyle name="Normal 3 2 4 3 2" xfId="14450" xr:uid="{5F79DEDB-EDE9-4FAB-8F8C-E8EC9BCE9BB3}"/>
    <cellStyle name="Normal 3 2 4 3 3" xfId="23749" xr:uid="{0F42F32D-9263-442C-9FBA-0961AFB6D63E}"/>
    <cellStyle name="Normal 3 2 4 4" xfId="9607" xr:uid="{7D769806-7069-4B8D-8CAC-B3B91BBA8D64}"/>
    <cellStyle name="Normal 3 2 4 4 2" xfId="18908" xr:uid="{8579CEE1-453C-4268-9EB6-98721DB2CAA7}"/>
    <cellStyle name="Normal 3 2 4 4 3" xfId="28205" xr:uid="{A44E3D60-B448-4E77-979A-08AECAABACD0}"/>
    <cellStyle name="Normal 3 2 4 5" xfId="10233" xr:uid="{7D9F7400-C445-464F-9E9A-29DC297C6556}"/>
    <cellStyle name="Normal 3 2 4 6" xfId="19532" xr:uid="{DCCF1B3A-24EC-4602-B039-FFB92D343FA5}"/>
    <cellStyle name="Normal 3 2 5" xfId="1230" xr:uid="{00000000-0005-0000-0000-0000D2110000}"/>
    <cellStyle name="Normal 3 2 5 2" xfId="3460" xr:uid="{00000000-0005-0000-0000-0000D3110000}"/>
    <cellStyle name="Normal 3 2 5 2 2" xfId="7682" xr:uid="{00000000-0005-0000-0000-0000D4110000}"/>
    <cellStyle name="Normal 3 2 5 2 2 2" xfId="17008" xr:uid="{BD175BD0-8B37-42C3-9CBD-549869EF1992}"/>
    <cellStyle name="Normal 3 2 5 2 2 3" xfId="26307" xr:uid="{F365D83E-760A-40A1-B563-7775836F8E59}"/>
    <cellStyle name="Normal 3 2 5 2 3" xfId="12791" xr:uid="{28C2458E-91CC-4489-8F2A-495142211867}"/>
    <cellStyle name="Normal 3 2 5 2 4" xfId="22090" xr:uid="{D88763EA-6D4E-41B4-8218-39D031C35C10}"/>
    <cellStyle name="Normal 3 2 5 3" xfId="5537" xr:uid="{00000000-0005-0000-0000-0000D5110000}"/>
    <cellStyle name="Normal 3 2 5 3 2" xfId="14863" xr:uid="{74B8A31F-1D66-4287-8DD2-C222BF4988E2}"/>
    <cellStyle name="Normal 3 2 5 3 3" xfId="24162" xr:uid="{A84F5546-753D-4319-A32E-BB0298171774}"/>
    <cellStyle name="Normal 3 2 5 4" xfId="10646" xr:uid="{39B7FB43-6D95-4DB1-90E6-493750B4D359}"/>
    <cellStyle name="Normal 3 2 5 5" xfId="19945" xr:uid="{DFDDBD8D-807D-425C-94A4-A049E0CFCA1A}"/>
    <cellStyle name="Normal 3 2 6" xfId="1643" xr:uid="{00000000-0005-0000-0000-0000D6110000}"/>
    <cellStyle name="Normal 3 2 6 2" xfId="3873" xr:uid="{00000000-0005-0000-0000-0000D7110000}"/>
    <cellStyle name="Normal 3 2 6 2 2" xfId="8095" xr:uid="{00000000-0005-0000-0000-0000D8110000}"/>
    <cellStyle name="Normal 3 2 6 2 2 2" xfId="17421" xr:uid="{2C22B982-5EF7-4B6C-85C7-0B927C415385}"/>
    <cellStyle name="Normal 3 2 6 2 2 3" xfId="26720" xr:uid="{798F1E88-F863-45F0-8889-50C48E8EAF22}"/>
    <cellStyle name="Normal 3 2 6 2 3" xfId="13204" xr:uid="{D8705A7D-97D7-4280-8D6D-FF37A3E93B7B}"/>
    <cellStyle name="Normal 3 2 6 2 4" xfId="22503" xr:uid="{4C12363A-FE5C-4144-BB13-9995173EE7D3}"/>
    <cellStyle name="Normal 3 2 6 3" xfId="5950" xr:uid="{00000000-0005-0000-0000-0000D9110000}"/>
    <cellStyle name="Normal 3 2 6 3 2" xfId="15276" xr:uid="{BEB1E664-52A6-4C5E-BEA9-23E8D857042B}"/>
    <cellStyle name="Normal 3 2 6 3 3" xfId="24575" xr:uid="{05467F9D-0A1F-41FD-9AD1-84ACB605DDF7}"/>
    <cellStyle name="Normal 3 2 6 4" xfId="11059" xr:uid="{16DD5F31-510E-4A06-84F6-242E59A2C190}"/>
    <cellStyle name="Normal 3 2 6 5" xfId="20358" xr:uid="{587FAE08-076F-49C5-9D16-F134C172A90B}"/>
    <cellStyle name="Normal 3 2 7" xfId="2057" xr:uid="{00000000-0005-0000-0000-0000DA110000}"/>
    <cellStyle name="Normal 3 2 7 2" xfId="4286" xr:uid="{00000000-0005-0000-0000-0000DB110000}"/>
    <cellStyle name="Normal 3 2 7 2 2" xfId="8508" xr:uid="{00000000-0005-0000-0000-0000DC110000}"/>
    <cellStyle name="Normal 3 2 7 2 2 2" xfId="17834" xr:uid="{64A37777-D6D1-47DF-8299-E435F00F7FEA}"/>
    <cellStyle name="Normal 3 2 7 2 2 3" xfId="27133" xr:uid="{A4CA781B-E0C2-48D2-AE03-05F424379A1A}"/>
    <cellStyle name="Normal 3 2 7 2 3" xfId="13617" xr:uid="{D6F45503-CED6-4583-8148-A5C34474CC94}"/>
    <cellStyle name="Normal 3 2 7 2 4" xfId="22916" xr:uid="{8208FC86-3C6A-46B3-B711-B2D11E8724E7}"/>
    <cellStyle name="Normal 3 2 7 3" xfId="6363" xr:uid="{00000000-0005-0000-0000-0000DD110000}"/>
    <cellStyle name="Normal 3 2 7 3 2" xfId="15689" xr:uid="{6196261C-7DDB-4E71-9A63-686E4971278A}"/>
    <cellStyle name="Normal 3 2 7 3 3" xfId="24988" xr:uid="{88ACF06E-E18F-43E4-AC2B-668B81BE63A7}"/>
    <cellStyle name="Normal 3 2 7 4" xfId="11472" xr:uid="{BBE1B60B-EDB5-4802-95B5-36DDAAE838C1}"/>
    <cellStyle name="Normal 3 2 7 5" xfId="20771" xr:uid="{054A6CC4-B196-4E35-A5E5-F727461DD713}"/>
    <cellStyle name="Normal 3 2 8" xfId="2493" xr:uid="{00000000-0005-0000-0000-0000DE110000}"/>
    <cellStyle name="Normal 3 2 8 2" xfId="6776" xr:uid="{00000000-0005-0000-0000-0000DF110000}"/>
    <cellStyle name="Normal 3 2 8 2 2" xfId="16102" xr:uid="{0796A5A8-03AA-476B-94EE-B71BA3DC451C}"/>
    <cellStyle name="Normal 3 2 8 2 3" xfId="25401" xr:uid="{1496EEF1-8A22-4556-AACF-A29EA48CEBFE}"/>
    <cellStyle name="Normal 3 2 8 3" xfId="11885" xr:uid="{9A6BD13D-8EA4-47AA-95F4-8BFAF3336F65}"/>
    <cellStyle name="Normal 3 2 8 4" xfId="21184" xr:uid="{4BD59475-8427-4739-8B19-6EF355E185DD}"/>
    <cellStyle name="Normal 3 2 9" xfId="4710" xr:uid="{00000000-0005-0000-0000-0000E0110000}"/>
    <cellStyle name="Normal 3 2 9 2" xfId="14036" xr:uid="{C02D5D0E-24FE-4909-B9B7-54FE02DC6F54}"/>
    <cellStyle name="Normal 3 2 9 3" xfId="23335" xr:uid="{DE4D865C-668A-415F-A3FB-7090333136C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AE7A18D0-3AB8-45B8-9602-C9CB084EC56F}"/>
    <cellStyle name="Normal 4 10 3" xfId="27362" xr:uid="{44E0E8D0-EC85-4895-8638-B96B458AA9CE}"/>
    <cellStyle name="Normal 4 11" xfId="9824" xr:uid="{4A78A779-0931-432C-949F-FB69856DB1D7}"/>
    <cellStyle name="Normal 4 12" xfId="19123" xr:uid="{BA037BB8-785D-4DA7-9F2B-283CBF5BAAEF}"/>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0F245D45-16AA-4429-BD87-0058BD6D0B8D}"/>
    <cellStyle name="Normal 4 2 2 10 2 2 3" xfId="27138" xr:uid="{8D1424DB-85A7-4AD2-8F81-67D017ABCFC9}"/>
    <cellStyle name="Normal 4 2 2 10 2 3" xfId="13622" xr:uid="{9F30732C-84D0-4498-8FBB-0E84D98DFF36}"/>
    <cellStyle name="Normal 4 2 2 10 2 4" xfId="22921" xr:uid="{8D89C2EC-2832-463A-87C0-779DBBB17F8A}"/>
    <cellStyle name="Normal 4 2 2 10 3" xfId="6368" xr:uid="{00000000-0005-0000-0000-0000ED110000}"/>
    <cellStyle name="Normal 4 2 2 10 3 2" xfId="15694" xr:uid="{AC425363-D1AD-4E14-B4E8-416F125E3473}"/>
    <cellStyle name="Normal 4 2 2 10 3 3" xfId="24993" xr:uid="{49779726-0777-4620-8177-50A370FE67CD}"/>
    <cellStyle name="Normal 4 2 2 10 4" xfId="11477" xr:uid="{87EE965D-BFA9-4090-96DB-76AC770944CD}"/>
    <cellStyle name="Normal 4 2 2 10 5" xfId="20776" xr:uid="{3977CA2B-7985-4AC6-AB60-F39DC1573B69}"/>
    <cellStyle name="Normal 4 2 2 11" xfId="2498" xr:uid="{00000000-0005-0000-0000-0000EE110000}"/>
    <cellStyle name="Normal 4 2 2 11 2" xfId="6781" xr:uid="{00000000-0005-0000-0000-0000EF110000}"/>
    <cellStyle name="Normal 4 2 2 11 2 2" xfId="16107" xr:uid="{7F7B51B4-E9E4-43DD-93CD-4A8AD84781C3}"/>
    <cellStyle name="Normal 4 2 2 11 2 3" xfId="25406" xr:uid="{981BDD9B-4502-49CB-A0AF-1203C2AB1087}"/>
    <cellStyle name="Normal 4 2 2 11 3" xfId="11890" xr:uid="{45DF4422-2B90-4961-B8E7-5C56D99773BD}"/>
    <cellStyle name="Normal 4 2 2 11 4" xfId="21189" xr:uid="{68F91290-27E0-408E-9DC2-44CE26D19C5A}"/>
    <cellStyle name="Normal 4 2 2 12" xfId="4716" xr:uid="{00000000-0005-0000-0000-0000F0110000}"/>
    <cellStyle name="Normal 4 2 2 12 2" xfId="14042" xr:uid="{22599123-5948-4ED0-921C-D587C7FE75FF}"/>
    <cellStyle name="Normal 4 2 2 12 3" xfId="23341" xr:uid="{A2AE8E02-D910-4EBE-9F62-EAAEF81E1E16}"/>
    <cellStyle name="Normal 4 2 2 13" xfId="8752" xr:uid="{7B61EFAC-4165-4615-9A47-7AF5DAE027C9}"/>
    <cellStyle name="Normal 4 2 2 13 2" xfId="18076" xr:uid="{7DAB9BB3-C5A5-4BF4-B343-E2229098761F}"/>
    <cellStyle name="Normal 4 2 2 13 3" xfId="27374" xr:uid="{B14C6B4E-429A-46D3-A94A-CD63B83E05E9}"/>
    <cellStyle name="Normal 4 2 2 14" xfId="9825" xr:uid="{9C584535-C224-4ED1-9006-ED4BE1B8F2DA}"/>
    <cellStyle name="Normal 4 2 2 15" xfId="19124" xr:uid="{51E6864C-034D-4F49-B2A4-FEAA3FCC8E40}"/>
    <cellStyle name="Normal 4 2 2 2" xfId="338" xr:uid="{00000000-0005-0000-0000-0000F1110000}"/>
    <cellStyle name="Normal 4 2 2 3" xfId="339" xr:uid="{00000000-0005-0000-0000-0000F2110000}"/>
    <cellStyle name="Normal 4 2 2 3 10" xfId="4717" xr:uid="{00000000-0005-0000-0000-0000F3110000}"/>
    <cellStyle name="Normal 4 2 2 3 10 2" xfId="14043" xr:uid="{EF042318-80B1-48E7-ADEB-D58819F8BCA8}"/>
    <cellStyle name="Normal 4 2 2 3 10 3" xfId="23342" xr:uid="{00765DBD-4519-4899-929D-6749CF8CC847}"/>
    <cellStyle name="Normal 4 2 2 3 11" xfId="8784" xr:uid="{8AA3A883-811C-4C4A-AFFF-9AAED56BF228}"/>
    <cellStyle name="Normal 4 2 2 3 11 2" xfId="18108" xr:uid="{DCBED761-A7C6-4E4C-9947-F3BF19DC3305}"/>
    <cellStyle name="Normal 4 2 2 3 11 3" xfId="27406" xr:uid="{098019B3-77D9-4178-9569-ACECDE5F4E54}"/>
    <cellStyle name="Normal 4 2 2 3 12" xfId="9826" xr:uid="{FA28A9DF-1283-4F28-B7B8-ED1B7E0CABF7}"/>
    <cellStyle name="Normal 4 2 2 3 13" xfId="19125" xr:uid="{AB36B44B-C367-4596-A746-3B84E209EEF8}"/>
    <cellStyle name="Normal 4 2 2 3 2" xfId="340" xr:uid="{00000000-0005-0000-0000-0000F4110000}"/>
    <cellStyle name="Normal 4 2 2 3 2 10" xfId="8819" xr:uid="{16629302-3759-4242-B07E-BB5D034B10E8}"/>
    <cellStyle name="Normal 4 2 2 3 2 10 2" xfId="18143" xr:uid="{59DF94CA-2F1C-431C-82A0-4A43ED8EE964}"/>
    <cellStyle name="Normal 4 2 2 3 2 10 3" xfId="27441" xr:uid="{46494DD3-41DD-4072-A6E8-67CE284E00AE}"/>
    <cellStyle name="Normal 4 2 2 3 2 11" xfId="9827" xr:uid="{197C3C7F-ED64-4B97-84A6-29895D1A75D8}"/>
    <cellStyle name="Normal 4 2 2 3 2 12" xfId="19126" xr:uid="{AB2B60A1-DD17-4921-AA2C-641ADB9EABE4}"/>
    <cellStyle name="Normal 4 2 2 3 2 2" xfId="341" xr:uid="{00000000-0005-0000-0000-0000F5110000}"/>
    <cellStyle name="Normal 4 2 2 3 2 2 10" xfId="9828" xr:uid="{89E19923-DAD3-4FC4-9AF3-C0E1C5269E8A}"/>
    <cellStyle name="Normal 4 2 2 3 2 2 11" xfId="19127" xr:uid="{9F323CA6-AA99-4E7C-9217-87EBB51CB9F0}"/>
    <cellStyle name="Normal 4 2 2 3 2 2 2" xfId="342" xr:uid="{00000000-0005-0000-0000-0000F6110000}"/>
    <cellStyle name="Normal 4 2 2 3 2 2 2 10" xfId="19128" xr:uid="{99AE9002-7DAD-4A99-960B-E5FB13E51A09}"/>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0C07541A-6846-450B-A385-072FFC6F1D7B}"/>
    <cellStyle name="Normal 4 2 2 3 2 2 2 2 2 2 3" xfId="25903" xr:uid="{49205ADA-64DC-498D-93B4-F138CCDC97C8}"/>
    <cellStyle name="Normal 4 2 2 3 2 2 2 2 2 3" xfId="12387" xr:uid="{5C5BE18C-243A-4875-BEF0-BF3557C4A56F}"/>
    <cellStyle name="Normal 4 2 2 3 2 2 2 2 2 4" xfId="21686" xr:uid="{827678D7-18D4-4299-9296-164E7395CC76}"/>
    <cellStyle name="Normal 4 2 2 3 2 2 2 2 3" xfId="5133" xr:uid="{00000000-0005-0000-0000-0000FA110000}"/>
    <cellStyle name="Normal 4 2 2 3 2 2 2 2 3 2" xfId="14459" xr:uid="{C8D41911-6B48-4E17-848F-519E43552014}"/>
    <cellStyle name="Normal 4 2 2 3 2 2 2 2 3 3" xfId="23758" xr:uid="{517F193F-F8F4-4A28-BA90-71734CAC67DB}"/>
    <cellStyle name="Normal 4 2 2 3 2 2 2 2 4" xfId="9554" xr:uid="{BAC669EC-8948-4716-90C3-0688F03300CE}"/>
    <cellStyle name="Normal 4 2 2 3 2 2 2 2 4 2" xfId="18869" xr:uid="{5C3A5AA0-B774-494E-8158-F058CB46976B}"/>
    <cellStyle name="Normal 4 2 2 3 2 2 2 2 4 3" xfId="28166" xr:uid="{E84F7B31-8975-4F27-83AE-0EB1EF00F364}"/>
    <cellStyle name="Normal 4 2 2 3 2 2 2 2 5" xfId="10242" xr:uid="{FFC853F4-EB62-49A3-9F26-D0188A0563DB}"/>
    <cellStyle name="Normal 4 2 2 3 2 2 2 2 6" xfId="19541" xr:uid="{AEB32DE8-0352-4183-96CD-28ECF4DA6C19}"/>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1096F3DC-3D61-4A21-AFB7-0AC69A1D2FFD}"/>
    <cellStyle name="Normal 4 2 2 3 2 2 2 3 2 2 3" xfId="26316" xr:uid="{151A4D24-CDE3-4F4C-9FCF-1D292C6E88BF}"/>
    <cellStyle name="Normal 4 2 2 3 2 2 2 3 2 3" xfId="12800" xr:uid="{9F38EB97-6576-485F-9D6E-69F0E65928AF}"/>
    <cellStyle name="Normal 4 2 2 3 2 2 2 3 2 4" xfId="22099" xr:uid="{75C34AA6-EA02-4017-9C06-77D96107AC13}"/>
    <cellStyle name="Normal 4 2 2 3 2 2 2 3 3" xfId="5546" xr:uid="{00000000-0005-0000-0000-0000FE110000}"/>
    <cellStyle name="Normal 4 2 2 3 2 2 2 3 3 2" xfId="14872" xr:uid="{1D2276C5-DC8A-4D97-8724-4D6EB2B84A73}"/>
    <cellStyle name="Normal 4 2 2 3 2 2 2 3 3 3" xfId="24171" xr:uid="{7C499C5C-2E91-432D-B189-789A48E56376}"/>
    <cellStyle name="Normal 4 2 2 3 2 2 2 3 4" xfId="10655" xr:uid="{BBFE461C-9A17-4E53-97AF-DF844C421A9B}"/>
    <cellStyle name="Normal 4 2 2 3 2 2 2 3 5" xfId="19954" xr:uid="{7CE95724-C737-489E-B146-0E7100DFE54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62BD8AE6-7528-482A-AAD6-E00D146163C9}"/>
    <cellStyle name="Normal 4 2 2 3 2 2 2 4 2 2 3" xfId="26729" xr:uid="{52ED7FCB-7307-4AB7-9092-662095635396}"/>
    <cellStyle name="Normal 4 2 2 3 2 2 2 4 2 3" xfId="13213" xr:uid="{A96E8F3B-1B67-4B17-9084-2E5C6F3C4677}"/>
    <cellStyle name="Normal 4 2 2 3 2 2 2 4 2 4" xfId="22512" xr:uid="{4A7057F6-6CAE-4A9E-852C-B66BF9582315}"/>
    <cellStyle name="Normal 4 2 2 3 2 2 2 4 3" xfId="5959" xr:uid="{00000000-0005-0000-0000-000002120000}"/>
    <cellStyle name="Normal 4 2 2 3 2 2 2 4 3 2" xfId="15285" xr:uid="{F647D52F-8AA9-4564-B9E1-4E0649962DCD}"/>
    <cellStyle name="Normal 4 2 2 3 2 2 2 4 3 3" xfId="24584" xr:uid="{367FCBBD-C0F3-44A8-9E1C-042034E2890A}"/>
    <cellStyle name="Normal 4 2 2 3 2 2 2 4 4" xfId="11068" xr:uid="{D1A8D9F7-925A-474E-8D86-31597154823F}"/>
    <cellStyle name="Normal 4 2 2 3 2 2 2 4 5" xfId="20367" xr:uid="{CE5FB2A5-5449-49B1-ABD5-3FCE56F84D49}"/>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53167DD6-BA47-4EF8-9C48-8BCAB6D12CA8}"/>
    <cellStyle name="Normal 4 2 2 3 2 2 2 5 2 2 3" xfId="27142" xr:uid="{05972C6A-4FD9-41BF-A7E2-79F4776EBAF0}"/>
    <cellStyle name="Normal 4 2 2 3 2 2 2 5 2 3" xfId="13626" xr:uid="{6163725C-677F-4D1A-A5AD-EF84FAD65BD7}"/>
    <cellStyle name="Normal 4 2 2 3 2 2 2 5 2 4" xfId="22925" xr:uid="{CF39DEAA-5D2A-4332-BC70-260FFA53A128}"/>
    <cellStyle name="Normal 4 2 2 3 2 2 2 5 3" xfId="6372" xr:uid="{00000000-0005-0000-0000-000006120000}"/>
    <cellStyle name="Normal 4 2 2 3 2 2 2 5 3 2" xfId="15698" xr:uid="{E1F13129-835D-4B4A-91BE-56FB4BD338F6}"/>
    <cellStyle name="Normal 4 2 2 3 2 2 2 5 3 3" xfId="24997" xr:uid="{B006B66A-6F77-4227-B6D9-A1ACD37DCF09}"/>
    <cellStyle name="Normal 4 2 2 3 2 2 2 5 4" xfId="11481" xr:uid="{4DDC7937-DBB8-4D9E-ACD5-8086C1DFDF5A}"/>
    <cellStyle name="Normal 4 2 2 3 2 2 2 5 5" xfId="20780" xr:uid="{BF88BEB0-8FA2-4AB6-9B54-81D8B41BF126}"/>
    <cellStyle name="Normal 4 2 2 3 2 2 2 6" xfId="2502" xr:uid="{00000000-0005-0000-0000-000007120000}"/>
    <cellStyle name="Normal 4 2 2 3 2 2 2 6 2" xfId="6785" xr:uid="{00000000-0005-0000-0000-000008120000}"/>
    <cellStyle name="Normal 4 2 2 3 2 2 2 6 2 2" xfId="16111" xr:uid="{3254DB8E-8D01-4D8C-BD6D-BE666B79475F}"/>
    <cellStyle name="Normal 4 2 2 3 2 2 2 6 2 3" xfId="25410" xr:uid="{F6E2834A-C834-4BBA-AC93-4E5873B4981F}"/>
    <cellStyle name="Normal 4 2 2 3 2 2 2 6 3" xfId="11894" xr:uid="{BE7F4F4A-E47C-449E-B369-911F732D1E49}"/>
    <cellStyle name="Normal 4 2 2 3 2 2 2 6 4" xfId="21193" xr:uid="{3D9A803C-C24F-4772-8220-1872D743095B}"/>
    <cellStyle name="Normal 4 2 2 3 2 2 2 7" xfId="4720" xr:uid="{00000000-0005-0000-0000-000009120000}"/>
    <cellStyle name="Normal 4 2 2 3 2 2 2 7 2" xfId="14046" xr:uid="{95B67A15-01BD-4FC3-8E7A-AF9F482D67DE}"/>
    <cellStyle name="Normal 4 2 2 3 2 2 2 7 3" xfId="23345" xr:uid="{616D9809-C071-41B4-AF54-06CFDFB84DCB}"/>
    <cellStyle name="Normal 4 2 2 3 2 2 2 8" xfId="9129" xr:uid="{970F8072-C8D6-4D17-95D6-EBF431EAD262}"/>
    <cellStyle name="Normal 4 2 2 3 2 2 2 8 2" xfId="18453" xr:uid="{B92C4187-C480-45D9-BEA2-D78C959966D2}"/>
    <cellStyle name="Normal 4 2 2 3 2 2 2 8 3" xfId="27751" xr:uid="{7CBE3474-2A56-4950-88A6-5AD987C7B6F2}"/>
    <cellStyle name="Normal 4 2 2 3 2 2 2 9" xfId="9829" xr:uid="{79602682-C245-49FF-9DFD-C3442CF78B9A}"/>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6DEF9F6B-3854-4CAB-9821-961B5F5AA370}"/>
    <cellStyle name="Normal 4 2 2 3 2 2 3 2 2 3" xfId="25902" xr:uid="{3D71A999-7903-484E-80BE-974504C01053}"/>
    <cellStyle name="Normal 4 2 2 3 2 2 3 2 3" xfId="12386" xr:uid="{FF5EDC32-15DD-41D0-BFA6-C922A56FB051}"/>
    <cellStyle name="Normal 4 2 2 3 2 2 3 2 4" xfId="21685" xr:uid="{FBA588FF-C19F-4E5A-B713-EB7D1D8C453F}"/>
    <cellStyle name="Normal 4 2 2 3 2 2 3 3" xfId="5132" xr:uid="{00000000-0005-0000-0000-00000D120000}"/>
    <cellStyle name="Normal 4 2 2 3 2 2 3 3 2" xfId="14458" xr:uid="{416EF2A9-55A5-43D4-B31A-FDF06EF7406F}"/>
    <cellStyle name="Normal 4 2 2 3 2 2 3 3 3" xfId="23757" xr:uid="{60692381-4774-458D-83E9-5C08D8C2C19F}"/>
    <cellStyle name="Normal 4 2 2 3 2 2 3 4" xfId="9347" xr:uid="{8C9012CB-19BB-4242-9F43-373358B13B52}"/>
    <cellStyle name="Normal 4 2 2 3 2 2 3 4 2" xfId="18662" xr:uid="{A42C62F6-19AA-4495-846D-78DE847CD945}"/>
    <cellStyle name="Normal 4 2 2 3 2 2 3 4 3" xfId="27959" xr:uid="{4C339911-4210-42A9-9DE5-940378512300}"/>
    <cellStyle name="Normal 4 2 2 3 2 2 3 5" xfId="10241" xr:uid="{60EAE68D-D3F9-49A2-BA12-CCA5073C8AF3}"/>
    <cellStyle name="Normal 4 2 2 3 2 2 3 6" xfId="19540" xr:uid="{9269838B-1E62-47B7-AAA9-6D5CD7AC10CA}"/>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936E78B9-CB7A-4149-8E80-02A4EE32BAEA}"/>
    <cellStyle name="Normal 4 2 2 3 2 2 4 2 2 3" xfId="26315" xr:uid="{C940689C-EE13-4D7A-B6D9-2504931AE5B1}"/>
    <cellStyle name="Normal 4 2 2 3 2 2 4 2 3" xfId="12799" xr:uid="{5AFD041B-8515-46ED-A472-D6FF6A0219B4}"/>
    <cellStyle name="Normal 4 2 2 3 2 2 4 2 4" xfId="22098" xr:uid="{B3A5D962-ED37-4E53-9162-9746B4CA04E0}"/>
    <cellStyle name="Normal 4 2 2 3 2 2 4 3" xfId="5545" xr:uid="{00000000-0005-0000-0000-000011120000}"/>
    <cellStyle name="Normal 4 2 2 3 2 2 4 3 2" xfId="14871" xr:uid="{A4536B89-D8D6-4086-A1A7-987CFE69BF14}"/>
    <cellStyle name="Normal 4 2 2 3 2 2 4 3 3" xfId="24170" xr:uid="{EAF6800E-479D-4092-AB24-33508E3F447E}"/>
    <cellStyle name="Normal 4 2 2 3 2 2 4 4" xfId="10654" xr:uid="{20A40899-2481-4747-BDCE-2FAD8240ECDE}"/>
    <cellStyle name="Normal 4 2 2 3 2 2 4 5" xfId="19953" xr:uid="{9F16C994-3617-44E6-9EBD-73FEDA210EAB}"/>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41B6158A-2B1B-45AF-A55B-EDAD2C20FD35}"/>
    <cellStyle name="Normal 4 2 2 3 2 2 5 2 2 3" xfId="26728" xr:uid="{3C52E1C6-9B8C-42BB-98B0-99A1D30ACE96}"/>
    <cellStyle name="Normal 4 2 2 3 2 2 5 2 3" xfId="13212" xr:uid="{ABCD2674-2E05-4233-B484-AC32F7B7F3B1}"/>
    <cellStyle name="Normal 4 2 2 3 2 2 5 2 4" xfId="22511" xr:uid="{5DB64E2A-0A71-4DE9-A45B-19DD03104BD4}"/>
    <cellStyle name="Normal 4 2 2 3 2 2 5 3" xfId="5958" xr:uid="{00000000-0005-0000-0000-000015120000}"/>
    <cellStyle name="Normal 4 2 2 3 2 2 5 3 2" xfId="15284" xr:uid="{0CB0F032-2085-4C1A-BA58-B1E343A04017}"/>
    <cellStyle name="Normal 4 2 2 3 2 2 5 3 3" xfId="24583" xr:uid="{16386952-8DB3-47B1-B491-16722990A8AE}"/>
    <cellStyle name="Normal 4 2 2 3 2 2 5 4" xfId="11067" xr:uid="{057AC69C-2A73-4062-97A4-35C8A129CD38}"/>
    <cellStyle name="Normal 4 2 2 3 2 2 5 5" xfId="20366" xr:uid="{3EA13CE8-313C-43E0-97E7-B87ADC5EBDF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9702D147-C73E-4BD9-9D88-0BB8BDC572CC}"/>
    <cellStyle name="Normal 4 2 2 3 2 2 6 2 2 3" xfId="27141" xr:uid="{A768E6A8-522A-47F4-A9DE-7E20C621DF87}"/>
    <cellStyle name="Normal 4 2 2 3 2 2 6 2 3" xfId="13625" xr:uid="{6850C2CD-8AE6-4E1E-9FD8-F199B1E2532E}"/>
    <cellStyle name="Normal 4 2 2 3 2 2 6 2 4" xfId="22924" xr:uid="{D4AD9A84-2D85-4F69-A139-8BAC75E8345B}"/>
    <cellStyle name="Normal 4 2 2 3 2 2 6 3" xfId="6371" xr:uid="{00000000-0005-0000-0000-000019120000}"/>
    <cellStyle name="Normal 4 2 2 3 2 2 6 3 2" xfId="15697" xr:uid="{CAABFB4D-B12C-4879-9C97-F4749E9F5045}"/>
    <cellStyle name="Normal 4 2 2 3 2 2 6 3 3" xfId="24996" xr:uid="{9CCC93B5-0776-4CAF-BA59-47823D01C99D}"/>
    <cellStyle name="Normal 4 2 2 3 2 2 6 4" xfId="11480" xr:uid="{79A78BC9-8A27-4224-BEC8-D3E3A0384223}"/>
    <cellStyle name="Normal 4 2 2 3 2 2 6 5" xfId="20779" xr:uid="{505E1C0C-294A-492E-9049-BD9A30388EEE}"/>
    <cellStyle name="Normal 4 2 2 3 2 2 7" xfId="2501" xr:uid="{00000000-0005-0000-0000-00001A120000}"/>
    <cellStyle name="Normal 4 2 2 3 2 2 7 2" xfId="6784" xr:uid="{00000000-0005-0000-0000-00001B120000}"/>
    <cellStyle name="Normal 4 2 2 3 2 2 7 2 2" xfId="16110" xr:uid="{7FF71A00-2DDA-4F46-A44A-2DC43006D570}"/>
    <cellStyle name="Normal 4 2 2 3 2 2 7 2 3" xfId="25409" xr:uid="{2099B653-7046-4C6F-8449-DD1DBC78E7DF}"/>
    <cellStyle name="Normal 4 2 2 3 2 2 7 3" xfId="11893" xr:uid="{8784A922-6CD4-47CC-91D3-6A6DBE763115}"/>
    <cellStyle name="Normal 4 2 2 3 2 2 7 4" xfId="21192" xr:uid="{A9FB9456-6366-4B69-BCC4-CD0672186766}"/>
    <cellStyle name="Normal 4 2 2 3 2 2 8" xfId="4719" xr:uid="{00000000-0005-0000-0000-00001C120000}"/>
    <cellStyle name="Normal 4 2 2 3 2 2 8 2" xfId="14045" xr:uid="{0579C1BC-FA26-41C2-A1DC-3112A59664E9}"/>
    <cellStyle name="Normal 4 2 2 3 2 2 8 3" xfId="23344" xr:uid="{FA7497E0-3061-4190-833E-BB9D7B1096B3}"/>
    <cellStyle name="Normal 4 2 2 3 2 2 9" xfId="8922" xr:uid="{32C9E21B-8C85-4874-B28C-82BF39BA84E2}"/>
    <cellStyle name="Normal 4 2 2 3 2 2 9 2" xfId="18246" xr:uid="{E502DDB5-E074-4E62-BB78-DDD3D1D436FF}"/>
    <cellStyle name="Normal 4 2 2 3 2 2 9 3" xfId="27544" xr:uid="{D395F417-9236-4FE7-A4D9-6642C94A42E6}"/>
    <cellStyle name="Normal 4 2 2 3 2 3" xfId="343" xr:uid="{00000000-0005-0000-0000-00001D120000}"/>
    <cellStyle name="Normal 4 2 2 3 2 3 10" xfId="19129" xr:uid="{2A35ACEC-249B-4C13-AC4C-C7FCED2E3117}"/>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B9D93B09-F3F1-416B-B1ED-F48ADC6B9A99}"/>
    <cellStyle name="Normal 4 2 2 3 2 3 2 2 2 3" xfId="25904" xr:uid="{0B441DD1-AB42-4E99-BAF1-D28393EF0A37}"/>
    <cellStyle name="Normal 4 2 2 3 2 3 2 2 3" xfId="12388" xr:uid="{94AE8B45-4DE7-42A9-BBDA-40848B69BF50}"/>
    <cellStyle name="Normal 4 2 2 3 2 3 2 2 4" xfId="21687" xr:uid="{B0EB45F7-C895-413E-8368-7AB235928A54}"/>
    <cellStyle name="Normal 4 2 2 3 2 3 2 3" xfId="5134" xr:uid="{00000000-0005-0000-0000-000021120000}"/>
    <cellStyle name="Normal 4 2 2 3 2 3 2 3 2" xfId="14460" xr:uid="{C9C87393-8F9C-418D-A5D2-BC4A905D91E6}"/>
    <cellStyle name="Normal 4 2 2 3 2 3 2 3 3" xfId="23759" xr:uid="{7FCD3FDD-5D6A-4818-94C0-946AEA9D9B9E}"/>
    <cellStyle name="Normal 4 2 2 3 2 3 2 4" xfId="9451" xr:uid="{85AA9164-95F1-48F2-907A-54AD445D074F}"/>
    <cellStyle name="Normal 4 2 2 3 2 3 2 4 2" xfId="18766" xr:uid="{36719A34-441C-4E96-B6CC-230BD62E228A}"/>
    <cellStyle name="Normal 4 2 2 3 2 3 2 4 3" xfId="28063" xr:uid="{0B35BADF-F355-4710-8429-39E33F0D7224}"/>
    <cellStyle name="Normal 4 2 2 3 2 3 2 5" xfId="10243" xr:uid="{8F185D1A-43CC-48E5-A5F7-780C6B75973D}"/>
    <cellStyle name="Normal 4 2 2 3 2 3 2 6" xfId="19542" xr:uid="{6A2AD409-D073-462F-AD5F-85292FFC8BB5}"/>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2714FA7E-0962-4AE7-A61F-05D4DFBEEB4A}"/>
    <cellStyle name="Normal 4 2 2 3 2 3 3 2 2 3" xfId="26317" xr:uid="{92AF4CF3-4831-4528-B87F-3CB0BFAED0C6}"/>
    <cellStyle name="Normal 4 2 2 3 2 3 3 2 3" xfId="12801" xr:uid="{2B0E4735-2031-424C-A6D9-152382669E70}"/>
    <cellStyle name="Normal 4 2 2 3 2 3 3 2 4" xfId="22100" xr:uid="{BCA5618C-5931-4626-848F-D7B84FED95BB}"/>
    <cellStyle name="Normal 4 2 2 3 2 3 3 3" xfId="5547" xr:uid="{00000000-0005-0000-0000-000025120000}"/>
    <cellStyle name="Normal 4 2 2 3 2 3 3 3 2" xfId="14873" xr:uid="{FACF8A5C-F3AD-4A12-8004-B9FD1B9EA0F7}"/>
    <cellStyle name="Normal 4 2 2 3 2 3 3 3 3" xfId="24172" xr:uid="{A047464B-0A53-4B0A-BEB4-8FC31F0D1FF8}"/>
    <cellStyle name="Normal 4 2 2 3 2 3 3 4" xfId="10656" xr:uid="{DB888C44-4B07-46DB-A128-CA741E000533}"/>
    <cellStyle name="Normal 4 2 2 3 2 3 3 5" xfId="19955" xr:uid="{5C0C812F-028D-43F0-AA60-DAC64EEFFCCC}"/>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19ABD4C8-2D3E-45D6-9EB6-D3A09D5966B5}"/>
    <cellStyle name="Normal 4 2 2 3 2 3 4 2 2 3" xfId="26730" xr:uid="{ACDF9FCE-AF77-4BF0-8969-A11BFFC67B52}"/>
    <cellStyle name="Normal 4 2 2 3 2 3 4 2 3" xfId="13214" xr:uid="{800CB723-0470-4BD1-9DF5-8E3CD6E235A4}"/>
    <cellStyle name="Normal 4 2 2 3 2 3 4 2 4" xfId="22513" xr:uid="{6735FBAE-60AA-41D8-96D8-E04323223A3E}"/>
    <cellStyle name="Normal 4 2 2 3 2 3 4 3" xfId="5960" xr:uid="{00000000-0005-0000-0000-000029120000}"/>
    <cellStyle name="Normal 4 2 2 3 2 3 4 3 2" xfId="15286" xr:uid="{328BEBAF-A1FC-4464-8D0B-213058CF300B}"/>
    <cellStyle name="Normal 4 2 2 3 2 3 4 3 3" xfId="24585" xr:uid="{5506BBC7-02C4-4416-B9AB-1B79043C9AC2}"/>
    <cellStyle name="Normal 4 2 2 3 2 3 4 4" xfId="11069" xr:uid="{53CF470B-4AAF-492F-84FD-64300A9D1351}"/>
    <cellStyle name="Normal 4 2 2 3 2 3 4 5" xfId="20368" xr:uid="{0FF366EF-F19E-42E9-B7E1-1AF833B23F3C}"/>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BC2419B5-5C3A-4CA0-8760-119D9ED80D66}"/>
    <cellStyle name="Normal 4 2 2 3 2 3 5 2 2 3" xfId="27143" xr:uid="{8BFCF6FE-76BB-4FAF-B10B-FE38E14FFAFB}"/>
    <cellStyle name="Normal 4 2 2 3 2 3 5 2 3" xfId="13627" xr:uid="{126BA691-4A15-42FE-B226-BFFDB4723F12}"/>
    <cellStyle name="Normal 4 2 2 3 2 3 5 2 4" xfId="22926" xr:uid="{C8DECBFB-8417-44B9-A18C-783774DD226C}"/>
    <cellStyle name="Normal 4 2 2 3 2 3 5 3" xfId="6373" xr:uid="{00000000-0005-0000-0000-00002D120000}"/>
    <cellStyle name="Normal 4 2 2 3 2 3 5 3 2" xfId="15699" xr:uid="{8E46B4A0-859E-466B-AF1C-8C7E106A347C}"/>
    <cellStyle name="Normal 4 2 2 3 2 3 5 3 3" xfId="24998" xr:uid="{B53E5B9B-4FFA-4B64-AC85-7814C4A2B8D0}"/>
    <cellStyle name="Normal 4 2 2 3 2 3 5 4" xfId="11482" xr:uid="{545BF6EB-A863-43C3-8D38-3B47F0743529}"/>
    <cellStyle name="Normal 4 2 2 3 2 3 5 5" xfId="20781" xr:uid="{A765775F-52C6-4D69-A53F-6B70BDE2F93B}"/>
    <cellStyle name="Normal 4 2 2 3 2 3 6" xfId="2503" xr:uid="{00000000-0005-0000-0000-00002E120000}"/>
    <cellStyle name="Normal 4 2 2 3 2 3 6 2" xfId="6786" xr:uid="{00000000-0005-0000-0000-00002F120000}"/>
    <cellStyle name="Normal 4 2 2 3 2 3 6 2 2" xfId="16112" xr:uid="{1C648CD8-1076-4245-BB09-65AECF5CDD1E}"/>
    <cellStyle name="Normal 4 2 2 3 2 3 6 2 3" xfId="25411" xr:uid="{59217D56-4A41-46B6-A5CD-8D24151C91CA}"/>
    <cellStyle name="Normal 4 2 2 3 2 3 6 3" xfId="11895" xr:uid="{A60BCF0B-6A20-47AE-A99B-7319F2E1AF44}"/>
    <cellStyle name="Normal 4 2 2 3 2 3 6 4" xfId="21194" xr:uid="{1579D5E0-E87C-4D30-AE58-28F00CB7D19B}"/>
    <cellStyle name="Normal 4 2 2 3 2 3 7" xfId="4721" xr:uid="{00000000-0005-0000-0000-000030120000}"/>
    <cellStyle name="Normal 4 2 2 3 2 3 7 2" xfId="14047" xr:uid="{DDA604F1-3C4B-4245-AF60-3DA6F7F1BF51}"/>
    <cellStyle name="Normal 4 2 2 3 2 3 7 3" xfId="23346" xr:uid="{357BB2F8-246B-419B-B7DA-720DFCC89777}"/>
    <cellStyle name="Normal 4 2 2 3 2 3 8" xfId="9026" xr:uid="{319D63D3-F71C-4F99-9FD1-E3D0665567E8}"/>
    <cellStyle name="Normal 4 2 2 3 2 3 8 2" xfId="18350" xr:uid="{91556FC4-CB2E-4858-AE4B-779566CB8779}"/>
    <cellStyle name="Normal 4 2 2 3 2 3 8 3" xfId="27648" xr:uid="{DC10F970-70F2-413F-96B4-3EE6349C25E9}"/>
    <cellStyle name="Normal 4 2 2 3 2 3 9" xfId="9830" xr:uid="{BB68F2BB-8AD4-4DA1-8BA2-A42246F6600D}"/>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0D139E23-4F2D-4243-BE3D-98E317689049}"/>
    <cellStyle name="Normal 4 2 2 3 2 4 2 2 3" xfId="25901" xr:uid="{59E09B67-DF82-4E07-9F0B-2F819668580D}"/>
    <cellStyle name="Normal 4 2 2 3 2 4 2 3" xfId="12385" xr:uid="{AB89FBCE-80DD-4ED8-9027-5E2EED342E82}"/>
    <cellStyle name="Normal 4 2 2 3 2 4 2 4" xfId="21684" xr:uid="{463FD133-4C70-4E18-AFE0-8AE72A81833B}"/>
    <cellStyle name="Normal 4 2 2 3 2 4 3" xfId="5131" xr:uid="{00000000-0005-0000-0000-000034120000}"/>
    <cellStyle name="Normal 4 2 2 3 2 4 3 2" xfId="14457" xr:uid="{717C5077-CD18-4A83-9889-EE582CA5A50A}"/>
    <cellStyle name="Normal 4 2 2 3 2 4 3 3" xfId="23756" xr:uid="{A643470E-CEB9-47CB-B847-47A7C3375494}"/>
    <cellStyle name="Normal 4 2 2 3 2 4 4" xfId="9244" xr:uid="{98623F27-324A-40DE-AA2B-56E1FCE087EE}"/>
    <cellStyle name="Normal 4 2 2 3 2 4 4 2" xfId="18559" xr:uid="{CFB939E4-F392-4EAC-A2D7-40FDBF6C5373}"/>
    <cellStyle name="Normal 4 2 2 3 2 4 4 3" xfId="27856" xr:uid="{010D8EA3-E58B-4978-A53A-8A3524A90235}"/>
    <cellStyle name="Normal 4 2 2 3 2 4 5" xfId="10240" xr:uid="{A833D3AB-738A-41EF-A6BF-B74B5BC9117B}"/>
    <cellStyle name="Normal 4 2 2 3 2 4 6" xfId="19539" xr:uid="{3ECE01C1-29BB-42C1-8B01-A7BF9700CF5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1BB330CA-16EC-43B7-9854-5E3D5E36B8D1}"/>
    <cellStyle name="Normal 4 2 2 3 2 5 2 2 3" xfId="26314" xr:uid="{9442CC5E-AED6-43BB-8CA5-B898BFF4D776}"/>
    <cellStyle name="Normal 4 2 2 3 2 5 2 3" xfId="12798" xr:uid="{C1FC8052-F87F-4D49-84EB-884161B09E36}"/>
    <cellStyle name="Normal 4 2 2 3 2 5 2 4" xfId="22097" xr:uid="{E3D0E924-EE2B-4A8B-BBA0-9E46417ED02F}"/>
    <cellStyle name="Normal 4 2 2 3 2 5 3" xfId="5544" xr:uid="{00000000-0005-0000-0000-000038120000}"/>
    <cellStyle name="Normal 4 2 2 3 2 5 3 2" xfId="14870" xr:uid="{6A374953-896E-4A56-B5CA-D7423DFEF00B}"/>
    <cellStyle name="Normal 4 2 2 3 2 5 3 3" xfId="24169" xr:uid="{FAED3524-12A4-431F-AD72-C90C13DE206B}"/>
    <cellStyle name="Normal 4 2 2 3 2 5 4" xfId="10653" xr:uid="{FDA2A52A-6558-4694-98F1-CD938A7E715E}"/>
    <cellStyle name="Normal 4 2 2 3 2 5 5" xfId="19952" xr:uid="{2F162228-BB42-4CB4-8D27-A99660B4F5DD}"/>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DA2ED219-2546-401E-A095-FD089613A7C5}"/>
    <cellStyle name="Normal 4 2 2 3 2 6 2 2 3" xfId="26727" xr:uid="{34F0B265-94FF-4C26-ADE2-6EC588B833B6}"/>
    <cellStyle name="Normal 4 2 2 3 2 6 2 3" xfId="13211" xr:uid="{F3EC9DAC-CBAD-49DC-B0C4-EABF0E84EC45}"/>
    <cellStyle name="Normal 4 2 2 3 2 6 2 4" xfId="22510" xr:uid="{F2DD7623-BFA6-40B6-BD5B-9F1529A2C914}"/>
    <cellStyle name="Normal 4 2 2 3 2 6 3" xfId="5957" xr:uid="{00000000-0005-0000-0000-00003C120000}"/>
    <cellStyle name="Normal 4 2 2 3 2 6 3 2" xfId="15283" xr:uid="{6BAA7977-88B2-4FF6-84D0-169D6C95A773}"/>
    <cellStyle name="Normal 4 2 2 3 2 6 3 3" xfId="24582" xr:uid="{CB8D1353-1874-4F05-A3AE-BDB154CEB5EC}"/>
    <cellStyle name="Normal 4 2 2 3 2 6 4" xfId="11066" xr:uid="{A6A286DB-627F-4D54-A7EA-D837EF4AAEC1}"/>
    <cellStyle name="Normal 4 2 2 3 2 6 5" xfId="20365" xr:uid="{D6E272CA-F305-4A43-97AD-0042F5DA5EA5}"/>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ECAF77F8-46AE-4E9C-86A4-C1CAA2971637}"/>
    <cellStyle name="Normal 4 2 2 3 2 7 2 2 3" xfId="27140" xr:uid="{3D52C416-3E27-4DAF-ABAF-1A5EAED94CA1}"/>
    <cellStyle name="Normal 4 2 2 3 2 7 2 3" xfId="13624" xr:uid="{B578D510-77FE-4C00-A84D-8EF5B31E1F40}"/>
    <cellStyle name="Normal 4 2 2 3 2 7 2 4" xfId="22923" xr:uid="{26C2ECCC-2C04-45BF-B22C-7393C1271C97}"/>
    <cellStyle name="Normal 4 2 2 3 2 7 3" xfId="6370" xr:uid="{00000000-0005-0000-0000-000040120000}"/>
    <cellStyle name="Normal 4 2 2 3 2 7 3 2" xfId="15696" xr:uid="{12012646-8F5D-448B-A640-0BA03E314C80}"/>
    <cellStyle name="Normal 4 2 2 3 2 7 3 3" xfId="24995" xr:uid="{318DB151-F553-46CF-A00B-200A87643F38}"/>
    <cellStyle name="Normal 4 2 2 3 2 7 4" xfId="11479" xr:uid="{25C8367B-5DA2-4FCD-8DDD-A4DFEBC0350C}"/>
    <cellStyle name="Normal 4 2 2 3 2 7 5" xfId="20778" xr:uid="{FBB46F02-E44C-47D8-B286-605272512D5F}"/>
    <cellStyle name="Normal 4 2 2 3 2 8" xfId="2500" xr:uid="{00000000-0005-0000-0000-000041120000}"/>
    <cellStyle name="Normal 4 2 2 3 2 8 2" xfId="6783" xr:uid="{00000000-0005-0000-0000-000042120000}"/>
    <cellStyle name="Normal 4 2 2 3 2 8 2 2" xfId="16109" xr:uid="{98E88C1C-01DC-4ED2-83C2-2EB1AC383572}"/>
    <cellStyle name="Normal 4 2 2 3 2 8 2 3" xfId="25408" xr:uid="{A66872D5-11E2-4FAB-9524-8EAD09817F4B}"/>
    <cellStyle name="Normal 4 2 2 3 2 8 3" xfId="11892" xr:uid="{A118DC1B-F777-4934-A2C5-26044DF14AF7}"/>
    <cellStyle name="Normal 4 2 2 3 2 8 4" xfId="21191" xr:uid="{CA270C16-972F-4E11-997C-870A077822F3}"/>
    <cellStyle name="Normal 4 2 2 3 2 9" xfId="4718" xr:uid="{00000000-0005-0000-0000-000043120000}"/>
    <cellStyle name="Normal 4 2 2 3 2 9 2" xfId="14044" xr:uid="{F936E3E7-1DC0-40D7-B0E6-079D46C2116F}"/>
    <cellStyle name="Normal 4 2 2 3 2 9 3" xfId="23343" xr:uid="{741EDC69-5B9D-48B0-838F-DBC88CFE3E0C}"/>
    <cellStyle name="Normal 4 2 2 3 3" xfId="344" xr:uid="{00000000-0005-0000-0000-000044120000}"/>
    <cellStyle name="Normal 4 2 2 3 3 10" xfId="9831" xr:uid="{2EA71DAA-62B4-480A-8E5D-03280B63AC8C}"/>
    <cellStyle name="Normal 4 2 2 3 3 11" xfId="19130" xr:uid="{0C3EBAFC-479F-4911-BA19-41495BBD1581}"/>
    <cellStyle name="Normal 4 2 2 3 3 2" xfId="345" xr:uid="{00000000-0005-0000-0000-000045120000}"/>
    <cellStyle name="Normal 4 2 2 3 3 2 10" xfId="19131" xr:uid="{1E3DE2EA-0A3B-40BC-9208-8F9EE680E05E}"/>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C08FA9A9-EFF1-4F55-AC0A-6E902C9213F9}"/>
    <cellStyle name="Normal 4 2 2 3 3 2 2 2 2 3" xfId="25906" xr:uid="{79CA9DE8-D590-45A3-9EAA-4BD4C94180D6}"/>
    <cellStyle name="Normal 4 2 2 3 3 2 2 2 3" xfId="12390" xr:uid="{2E6A8B9B-AD4F-4CFE-98EB-463CFAF331EB}"/>
    <cellStyle name="Normal 4 2 2 3 3 2 2 2 4" xfId="21689" xr:uid="{9A21942D-8AD3-419A-BC95-90FEF05A5C86}"/>
    <cellStyle name="Normal 4 2 2 3 3 2 2 3" xfId="5136" xr:uid="{00000000-0005-0000-0000-000049120000}"/>
    <cellStyle name="Normal 4 2 2 3 3 2 2 3 2" xfId="14462" xr:uid="{5ECBE2F9-AC4E-4DAD-BC59-C1E653977D6D}"/>
    <cellStyle name="Normal 4 2 2 3 3 2 2 3 3" xfId="23761" xr:uid="{3E24E852-DECF-40A1-B13E-1FDE3D014AD5}"/>
    <cellStyle name="Normal 4 2 2 3 3 2 2 4" xfId="9519" xr:uid="{FB4BBD6E-D73B-4ABD-8656-6C15D7932E02}"/>
    <cellStyle name="Normal 4 2 2 3 3 2 2 4 2" xfId="18834" xr:uid="{4DA67D5F-3E47-4CDD-B1AD-8F9B042479D4}"/>
    <cellStyle name="Normal 4 2 2 3 3 2 2 4 3" xfId="28131" xr:uid="{5C330CCF-0BBC-403C-A86A-026C8669FC39}"/>
    <cellStyle name="Normal 4 2 2 3 3 2 2 5" xfId="10245" xr:uid="{CE578679-4819-4E3E-998E-60E8E2AE808F}"/>
    <cellStyle name="Normal 4 2 2 3 3 2 2 6" xfId="19544" xr:uid="{563E0E18-AA2E-4A8A-AB8F-1989658BFDC6}"/>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9FA09C2A-F461-43A4-9DA6-51154170E3E3}"/>
    <cellStyle name="Normal 4 2 2 3 3 2 3 2 2 3" xfId="26319" xr:uid="{F2A781B8-26EE-44F1-802F-8ADCE734FCCD}"/>
    <cellStyle name="Normal 4 2 2 3 3 2 3 2 3" xfId="12803" xr:uid="{55FFFC6C-E076-4F58-A1B2-40255C9E3BB8}"/>
    <cellStyle name="Normal 4 2 2 3 3 2 3 2 4" xfId="22102" xr:uid="{B646B204-55CF-45C3-9DE6-09513D5525F8}"/>
    <cellStyle name="Normal 4 2 2 3 3 2 3 3" xfId="5549" xr:uid="{00000000-0005-0000-0000-00004D120000}"/>
    <cellStyle name="Normal 4 2 2 3 3 2 3 3 2" xfId="14875" xr:uid="{D7F9282E-DE9D-4937-8A5C-E063F93DAB38}"/>
    <cellStyle name="Normal 4 2 2 3 3 2 3 3 3" xfId="24174" xr:uid="{DBE502FB-8B6D-46BC-9063-3F083B4E03C7}"/>
    <cellStyle name="Normal 4 2 2 3 3 2 3 4" xfId="10658" xr:uid="{779830B7-310C-4F08-8C67-7988FE1EEEBF}"/>
    <cellStyle name="Normal 4 2 2 3 3 2 3 5" xfId="19957" xr:uid="{6534A059-ED6F-4119-9BE4-C879EBADA929}"/>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80143779-4699-4257-888D-872545C76538}"/>
    <cellStyle name="Normal 4 2 2 3 3 2 4 2 2 3" xfId="26732" xr:uid="{C7B56512-BACC-4A60-A04A-F648D65C4F67}"/>
    <cellStyle name="Normal 4 2 2 3 3 2 4 2 3" xfId="13216" xr:uid="{1CB95721-9CB7-4B25-ACDF-22962DFA0DB1}"/>
    <cellStyle name="Normal 4 2 2 3 3 2 4 2 4" xfId="22515" xr:uid="{5BACFA04-1186-454C-BB0D-08F462DE31AF}"/>
    <cellStyle name="Normal 4 2 2 3 3 2 4 3" xfId="5962" xr:uid="{00000000-0005-0000-0000-000051120000}"/>
    <cellStyle name="Normal 4 2 2 3 3 2 4 3 2" xfId="15288" xr:uid="{731663A7-6F0A-4BCA-9198-C5CC770D45E1}"/>
    <cellStyle name="Normal 4 2 2 3 3 2 4 3 3" xfId="24587" xr:uid="{2A094075-FDF1-4536-8EBC-7FC857F6A26D}"/>
    <cellStyle name="Normal 4 2 2 3 3 2 4 4" xfId="11071" xr:uid="{EA7D135B-BE7B-4EA3-81E0-5E1C0668F363}"/>
    <cellStyle name="Normal 4 2 2 3 3 2 4 5" xfId="20370" xr:uid="{010871CD-A35D-4884-A4AD-CF667BD8AF83}"/>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5892181F-A770-4BAD-9099-454262D4305C}"/>
    <cellStyle name="Normal 4 2 2 3 3 2 5 2 2 3" xfId="27145" xr:uid="{B9EBF3B6-1E43-4272-AAA3-9AB023F6AC4C}"/>
    <cellStyle name="Normal 4 2 2 3 3 2 5 2 3" xfId="13629" xr:uid="{459031CF-AB47-4AC3-A97F-E7185CC489F9}"/>
    <cellStyle name="Normal 4 2 2 3 3 2 5 2 4" xfId="22928" xr:uid="{2BEAA7E4-33AE-480E-8C89-912A0F006166}"/>
    <cellStyle name="Normal 4 2 2 3 3 2 5 3" xfId="6375" xr:uid="{00000000-0005-0000-0000-000055120000}"/>
    <cellStyle name="Normal 4 2 2 3 3 2 5 3 2" xfId="15701" xr:uid="{43A996B5-95E9-40E8-A72D-E5AE04339D58}"/>
    <cellStyle name="Normal 4 2 2 3 3 2 5 3 3" xfId="25000" xr:uid="{D7A4EC96-7405-44B5-82FE-0C75DAE01724}"/>
    <cellStyle name="Normal 4 2 2 3 3 2 5 4" xfId="11484" xr:uid="{C70B5263-1F47-4236-A5A4-5FFA81F94542}"/>
    <cellStyle name="Normal 4 2 2 3 3 2 5 5" xfId="20783" xr:uid="{CB438EA4-2403-4B5A-8502-9F4453253B11}"/>
    <cellStyle name="Normal 4 2 2 3 3 2 6" xfId="2505" xr:uid="{00000000-0005-0000-0000-000056120000}"/>
    <cellStyle name="Normal 4 2 2 3 3 2 6 2" xfId="6788" xr:uid="{00000000-0005-0000-0000-000057120000}"/>
    <cellStyle name="Normal 4 2 2 3 3 2 6 2 2" xfId="16114" xr:uid="{3C3D3983-F13D-4A7F-B5CC-AE626B457B33}"/>
    <cellStyle name="Normal 4 2 2 3 3 2 6 2 3" xfId="25413" xr:uid="{E84F0BAB-3C10-419E-A795-2D8BB0C08A3B}"/>
    <cellStyle name="Normal 4 2 2 3 3 2 6 3" xfId="11897" xr:uid="{CBC51366-1109-40EC-88F5-DE580BA648CF}"/>
    <cellStyle name="Normal 4 2 2 3 3 2 6 4" xfId="21196" xr:uid="{78B0EB0B-682A-489F-AFE0-26D727DFFFD8}"/>
    <cellStyle name="Normal 4 2 2 3 3 2 7" xfId="4723" xr:uid="{00000000-0005-0000-0000-000058120000}"/>
    <cellStyle name="Normal 4 2 2 3 3 2 7 2" xfId="14049" xr:uid="{13AF153D-C11D-46BE-BB83-6ED4047776D5}"/>
    <cellStyle name="Normal 4 2 2 3 3 2 7 3" xfId="23348" xr:uid="{4BA5549A-578A-4435-BEC7-5D75F3B564C5}"/>
    <cellStyle name="Normal 4 2 2 3 3 2 8" xfId="9094" xr:uid="{1333D468-E252-4686-88C1-38A56B910A8E}"/>
    <cellStyle name="Normal 4 2 2 3 3 2 8 2" xfId="18418" xr:uid="{4F55F315-4FB8-41A7-A088-9BE069A2F265}"/>
    <cellStyle name="Normal 4 2 2 3 3 2 8 3" xfId="27716" xr:uid="{A6D38D94-ECCB-49A1-8D84-E2F40C19A6E9}"/>
    <cellStyle name="Normal 4 2 2 3 3 2 9" xfId="9832" xr:uid="{A8EBB2A7-3887-49DE-B6FA-B56484AFA926}"/>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EB966CCA-83FE-463C-9A2C-65635DB244BC}"/>
    <cellStyle name="Normal 4 2 2 3 3 3 2 2 3" xfId="25905" xr:uid="{A87AB110-C3DA-477F-AF3F-EF1B921081DE}"/>
    <cellStyle name="Normal 4 2 2 3 3 3 2 3" xfId="12389" xr:uid="{779FA5D0-ABEA-4D78-A6D0-F95F148E2B8C}"/>
    <cellStyle name="Normal 4 2 2 3 3 3 2 4" xfId="21688" xr:uid="{D9947F53-B72C-440F-9F95-34301DAF31EA}"/>
    <cellStyle name="Normal 4 2 2 3 3 3 3" xfId="5135" xr:uid="{00000000-0005-0000-0000-00005C120000}"/>
    <cellStyle name="Normal 4 2 2 3 3 3 3 2" xfId="14461" xr:uid="{3A8C8962-A08E-43C2-B664-16EC908040D5}"/>
    <cellStyle name="Normal 4 2 2 3 3 3 3 3" xfId="23760" xr:uid="{684D1FAF-A77B-47A9-BF98-C4CA06BDF18F}"/>
    <cellStyle name="Normal 4 2 2 3 3 3 4" xfId="9312" xr:uid="{0065946C-778C-4913-8F8B-68BBB1A30769}"/>
    <cellStyle name="Normal 4 2 2 3 3 3 4 2" xfId="18627" xr:uid="{51FEDD03-EB0F-48CE-8212-63504BCF9A6C}"/>
    <cellStyle name="Normal 4 2 2 3 3 3 4 3" xfId="27924" xr:uid="{60658902-606F-47FC-80ED-B538F477A9FC}"/>
    <cellStyle name="Normal 4 2 2 3 3 3 5" xfId="10244" xr:uid="{69C2E55B-EF82-42AF-A0A8-E7D2C799D510}"/>
    <cellStyle name="Normal 4 2 2 3 3 3 6" xfId="19543" xr:uid="{45D6C4DE-1E19-497E-899D-DCE17C5643A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9A3AA265-A851-4946-8B12-3C92C565573B}"/>
    <cellStyle name="Normal 4 2 2 3 3 4 2 2 3" xfId="26318" xr:uid="{DFA1F961-0F67-4F20-A942-2138A60D0B30}"/>
    <cellStyle name="Normal 4 2 2 3 3 4 2 3" xfId="12802" xr:uid="{5CD64CF4-7C88-4892-836D-FC777B48B30E}"/>
    <cellStyle name="Normal 4 2 2 3 3 4 2 4" xfId="22101" xr:uid="{2490BE73-C870-4CD8-A34E-8F6B551C1C59}"/>
    <cellStyle name="Normal 4 2 2 3 3 4 3" xfId="5548" xr:uid="{00000000-0005-0000-0000-000060120000}"/>
    <cellStyle name="Normal 4 2 2 3 3 4 3 2" xfId="14874" xr:uid="{0E4AA2FC-7380-48D1-BE12-6B72F332B3F8}"/>
    <cellStyle name="Normal 4 2 2 3 3 4 3 3" xfId="24173" xr:uid="{4FA3CDBE-4656-4B51-B68C-15728F792CE1}"/>
    <cellStyle name="Normal 4 2 2 3 3 4 4" xfId="10657" xr:uid="{9B0636B9-BE1F-43F7-905B-ABAE197C233C}"/>
    <cellStyle name="Normal 4 2 2 3 3 4 5" xfId="19956" xr:uid="{9D5EB018-42B0-4F28-8E3A-F31FB8C082F7}"/>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5F159004-7EF3-4DCB-B287-2D79916A0205}"/>
    <cellStyle name="Normal 4 2 2 3 3 5 2 2 3" xfId="26731" xr:uid="{22CF7571-771E-404F-B11C-06E8F3FF2141}"/>
    <cellStyle name="Normal 4 2 2 3 3 5 2 3" xfId="13215" xr:uid="{5A179A1F-A684-4E5E-BB59-144798F1A206}"/>
    <cellStyle name="Normal 4 2 2 3 3 5 2 4" xfId="22514" xr:uid="{3BA8DA70-57C6-4B9D-BEB1-A3DF1E8FC58A}"/>
    <cellStyle name="Normal 4 2 2 3 3 5 3" xfId="5961" xr:uid="{00000000-0005-0000-0000-000064120000}"/>
    <cellStyle name="Normal 4 2 2 3 3 5 3 2" xfId="15287" xr:uid="{EB42F95E-C78B-4E5F-B025-BAD7EECCBFD3}"/>
    <cellStyle name="Normal 4 2 2 3 3 5 3 3" xfId="24586" xr:uid="{A3F80351-6B48-4081-BB54-F9581D1A2018}"/>
    <cellStyle name="Normal 4 2 2 3 3 5 4" xfId="11070" xr:uid="{686FD989-7238-4250-9CB9-DC59402E28AD}"/>
    <cellStyle name="Normal 4 2 2 3 3 5 5" xfId="20369" xr:uid="{2392996D-6139-48F9-999B-BFE7A35835D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C7C33FE4-46D8-4E72-94A5-5A4A1549F93D}"/>
    <cellStyle name="Normal 4 2 2 3 3 6 2 2 3" xfId="27144" xr:uid="{0F8D7652-74D9-4D9C-A3B3-92AC6F0AB6AF}"/>
    <cellStyle name="Normal 4 2 2 3 3 6 2 3" xfId="13628" xr:uid="{7543E7C4-5FE5-495C-B2A6-1141CFD69FEA}"/>
    <cellStyle name="Normal 4 2 2 3 3 6 2 4" xfId="22927" xr:uid="{2DEFC0B9-0C9C-42E1-A6EE-F9E1195A0317}"/>
    <cellStyle name="Normal 4 2 2 3 3 6 3" xfId="6374" xr:uid="{00000000-0005-0000-0000-000068120000}"/>
    <cellStyle name="Normal 4 2 2 3 3 6 3 2" xfId="15700" xr:uid="{5BECF469-1405-47C5-B4C3-54FE2B30ECF9}"/>
    <cellStyle name="Normal 4 2 2 3 3 6 3 3" xfId="24999" xr:uid="{F0B88C86-AA33-4567-AC0C-911934DCD64F}"/>
    <cellStyle name="Normal 4 2 2 3 3 6 4" xfId="11483" xr:uid="{AA42BD2A-FB5A-40B8-A022-F38476FB4C6E}"/>
    <cellStyle name="Normal 4 2 2 3 3 6 5" xfId="20782" xr:uid="{6A4ABF1A-0E1B-46DB-BE13-8DEAC56649E8}"/>
    <cellStyle name="Normal 4 2 2 3 3 7" xfId="2504" xr:uid="{00000000-0005-0000-0000-000069120000}"/>
    <cellStyle name="Normal 4 2 2 3 3 7 2" xfId="6787" xr:uid="{00000000-0005-0000-0000-00006A120000}"/>
    <cellStyle name="Normal 4 2 2 3 3 7 2 2" xfId="16113" xr:uid="{2B99528C-67D9-461A-88D9-B963B03FF353}"/>
    <cellStyle name="Normal 4 2 2 3 3 7 2 3" xfId="25412" xr:uid="{16EC5409-72D4-43E2-B1CF-D56399F20366}"/>
    <cellStyle name="Normal 4 2 2 3 3 7 3" xfId="11896" xr:uid="{6595F8E4-D0E3-4D6F-8B6B-B669B04941AD}"/>
    <cellStyle name="Normal 4 2 2 3 3 7 4" xfId="21195" xr:uid="{438EF2E8-B431-4379-B403-B71895A8154A}"/>
    <cellStyle name="Normal 4 2 2 3 3 8" xfId="4722" xr:uid="{00000000-0005-0000-0000-00006B120000}"/>
    <cellStyle name="Normal 4 2 2 3 3 8 2" xfId="14048" xr:uid="{21462E0E-0300-4741-B7C9-6A47DC4E56E7}"/>
    <cellStyle name="Normal 4 2 2 3 3 8 3" xfId="23347" xr:uid="{38D3D54C-C523-4C14-9E81-D7DCFB57B072}"/>
    <cellStyle name="Normal 4 2 2 3 3 9" xfId="8887" xr:uid="{FD79599D-FD4F-44F4-A7A6-B948A2C15DD2}"/>
    <cellStyle name="Normal 4 2 2 3 3 9 2" xfId="18211" xr:uid="{448D609E-C2BC-460D-BCCC-35E9FAA93944}"/>
    <cellStyle name="Normal 4 2 2 3 3 9 3" xfId="27509" xr:uid="{A220B25D-EEBE-4569-974C-21F434B57BA9}"/>
    <cellStyle name="Normal 4 2 2 3 4" xfId="346" xr:uid="{00000000-0005-0000-0000-00006C120000}"/>
    <cellStyle name="Normal 4 2 2 3 4 10" xfId="19132" xr:uid="{58A21035-1E1B-4D95-89EF-F57B60345BA9}"/>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8532646A-3975-4E0B-A266-C50F5EBF8778}"/>
    <cellStyle name="Normal 4 2 2 3 4 2 2 2 3" xfId="25907" xr:uid="{0955EC41-5C95-44A4-9398-82513A1C8A70}"/>
    <cellStyle name="Normal 4 2 2 3 4 2 2 3" xfId="12391" xr:uid="{94BE67C3-D9DD-4117-B16A-2FCC9AF5B38A}"/>
    <cellStyle name="Normal 4 2 2 3 4 2 2 4" xfId="21690" xr:uid="{755635C6-AED4-451A-BA24-E0AEE38BFC8B}"/>
    <cellStyle name="Normal 4 2 2 3 4 2 3" xfId="5137" xr:uid="{00000000-0005-0000-0000-000070120000}"/>
    <cellStyle name="Normal 4 2 2 3 4 2 3 2" xfId="14463" xr:uid="{5783F868-22EF-4CF6-85CB-20D2657EC0D6}"/>
    <cellStyle name="Normal 4 2 2 3 4 2 3 3" xfId="23762" xr:uid="{3C3DF630-EE1F-4428-A428-938743805C35}"/>
    <cellStyle name="Normal 4 2 2 3 4 2 4" xfId="9416" xr:uid="{B0F1A5CD-0EDE-48A7-9669-6902681F696C}"/>
    <cellStyle name="Normal 4 2 2 3 4 2 4 2" xfId="18731" xr:uid="{70BA7CC9-EE35-4D13-8A6A-BB489DE84F1D}"/>
    <cellStyle name="Normal 4 2 2 3 4 2 4 3" xfId="28028" xr:uid="{D5796CA7-C414-457C-8143-A8E7B166B491}"/>
    <cellStyle name="Normal 4 2 2 3 4 2 5" xfId="10246" xr:uid="{2D21FB99-906B-4CBB-978D-28C4E64BA544}"/>
    <cellStyle name="Normal 4 2 2 3 4 2 6" xfId="19545" xr:uid="{9A4CF28A-DE86-4ED6-BA58-824732D7224F}"/>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EF96F9A9-7EE5-4131-8609-34B832D69657}"/>
    <cellStyle name="Normal 4 2 2 3 4 3 2 2 3" xfId="26320" xr:uid="{5A0A7EFC-3C93-4252-BD13-FA61FE9C498C}"/>
    <cellStyle name="Normal 4 2 2 3 4 3 2 3" xfId="12804" xr:uid="{117F43F8-EBC5-492A-9915-425129C4675F}"/>
    <cellStyle name="Normal 4 2 2 3 4 3 2 4" xfId="22103" xr:uid="{6F2ECD48-A3DB-4E21-835F-FB95B73EC794}"/>
    <cellStyle name="Normal 4 2 2 3 4 3 3" xfId="5550" xr:uid="{00000000-0005-0000-0000-000074120000}"/>
    <cellStyle name="Normal 4 2 2 3 4 3 3 2" xfId="14876" xr:uid="{5BA2B4DB-9D9A-4FD8-898F-E227A59BE74F}"/>
    <cellStyle name="Normal 4 2 2 3 4 3 3 3" xfId="24175" xr:uid="{263FA579-9946-4FDE-A137-079F2504B864}"/>
    <cellStyle name="Normal 4 2 2 3 4 3 4" xfId="10659" xr:uid="{069ED85F-A55E-4C73-B3FE-30F089F3A2C2}"/>
    <cellStyle name="Normal 4 2 2 3 4 3 5" xfId="19958" xr:uid="{5D730437-F0A1-4347-9B87-B39847725919}"/>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CA0C3CB3-1C52-4342-A1CF-D0E313736E45}"/>
    <cellStyle name="Normal 4 2 2 3 4 4 2 2 3" xfId="26733" xr:uid="{B0D9E161-24CF-4035-9F5D-A955BC6DBC05}"/>
    <cellStyle name="Normal 4 2 2 3 4 4 2 3" xfId="13217" xr:uid="{79D59854-01E2-4D6B-BD8B-541AFB8E9325}"/>
    <cellStyle name="Normal 4 2 2 3 4 4 2 4" xfId="22516" xr:uid="{42F97A8D-F386-4BCA-844C-A76BEACAC2ED}"/>
    <cellStyle name="Normal 4 2 2 3 4 4 3" xfId="5963" xr:uid="{00000000-0005-0000-0000-000078120000}"/>
    <cellStyle name="Normal 4 2 2 3 4 4 3 2" xfId="15289" xr:uid="{F5EBA859-08F3-4F86-95CD-E966171189FE}"/>
    <cellStyle name="Normal 4 2 2 3 4 4 3 3" xfId="24588" xr:uid="{1F9F5801-B1D4-409A-84EE-90424E91C0EB}"/>
    <cellStyle name="Normal 4 2 2 3 4 4 4" xfId="11072" xr:uid="{D9A9F7C4-02FD-42FB-A81D-29ED6D581FAE}"/>
    <cellStyle name="Normal 4 2 2 3 4 4 5" xfId="20371" xr:uid="{499BA380-0288-4491-A433-00BE13DB3B2C}"/>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986C9EE9-92B8-4F63-A2B0-76A76D125303}"/>
    <cellStyle name="Normal 4 2 2 3 4 5 2 2 3" xfId="27146" xr:uid="{52492476-A694-4058-B06D-82DCFA6A69B1}"/>
    <cellStyle name="Normal 4 2 2 3 4 5 2 3" xfId="13630" xr:uid="{4F9C66C0-F3ED-441E-B0B8-DECA255F8678}"/>
    <cellStyle name="Normal 4 2 2 3 4 5 2 4" xfId="22929" xr:uid="{57BC3B3D-FF36-42FA-93BA-B2CEABDA3B8F}"/>
    <cellStyle name="Normal 4 2 2 3 4 5 3" xfId="6376" xr:uid="{00000000-0005-0000-0000-00007C120000}"/>
    <cellStyle name="Normal 4 2 2 3 4 5 3 2" xfId="15702" xr:uid="{35D8FFFA-11AA-41B2-80FB-FB101F0FF5FE}"/>
    <cellStyle name="Normal 4 2 2 3 4 5 3 3" xfId="25001" xr:uid="{EAF459CC-EAC7-4E95-BBDD-1238C3AADD9A}"/>
    <cellStyle name="Normal 4 2 2 3 4 5 4" xfId="11485" xr:uid="{3E537A94-D42F-44B2-BB07-010EA644EAEE}"/>
    <cellStyle name="Normal 4 2 2 3 4 5 5" xfId="20784" xr:uid="{D84064B1-F9D1-465A-BE87-42FF82375466}"/>
    <cellStyle name="Normal 4 2 2 3 4 6" xfId="2506" xr:uid="{00000000-0005-0000-0000-00007D120000}"/>
    <cellStyle name="Normal 4 2 2 3 4 6 2" xfId="6789" xr:uid="{00000000-0005-0000-0000-00007E120000}"/>
    <cellStyle name="Normal 4 2 2 3 4 6 2 2" xfId="16115" xr:uid="{B78F92FF-34B7-48B8-A8D0-3A298B483D3F}"/>
    <cellStyle name="Normal 4 2 2 3 4 6 2 3" xfId="25414" xr:uid="{BB1A0914-1499-4B78-BAFC-7449CD6705A2}"/>
    <cellStyle name="Normal 4 2 2 3 4 6 3" xfId="11898" xr:uid="{B48DB103-8369-41FE-9F4D-BD81EEC8150F}"/>
    <cellStyle name="Normal 4 2 2 3 4 6 4" xfId="21197" xr:uid="{3F416393-84AD-469D-BA9F-47EF711E7336}"/>
    <cellStyle name="Normal 4 2 2 3 4 7" xfId="4724" xr:uid="{00000000-0005-0000-0000-00007F120000}"/>
    <cellStyle name="Normal 4 2 2 3 4 7 2" xfId="14050" xr:uid="{5C6002D8-A74E-48B0-91E4-ACDB482BBF6C}"/>
    <cellStyle name="Normal 4 2 2 3 4 7 3" xfId="23349" xr:uid="{BC80351D-369E-408B-8490-E44DEB1C3899}"/>
    <cellStyle name="Normal 4 2 2 3 4 8" xfId="8991" xr:uid="{84464EC3-90C2-4B18-8399-135C935528F7}"/>
    <cellStyle name="Normal 4 2 2 3 4 8 2" xfId="18315" xr:uid="{ADBB41A6-B653-474F-9824-1BDD982E9F51}"/>
    <cellStyle name="Normal 4 2 2 3 4 8 3" xfId="27613" xr:uid="{E7532CF6-BEE9-4772-A61B-39412C323E52}"/>
    <cellStyle name="Normal 4 2 2 3 4 9" xfId="9833" xr:uid="{8FE0C076-24F5-4B59-8026-7FF39691D83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31C01F72-7242-4636-9140-1DCE4EBF9434}"/>
    <cellStyle name="Normal 4 2 2 3 5 2 2 3" xfId="25900" xr:uid="{3A176897-1F42-4513-A705-E470D36F2A63}"/>
    <cellStyle name="Normal 4 2 2 3 5 2 3" xfId="12384" xr:uid="{DCF2BA08-1C54-4737-93D6-CFE372B1E604}"/>
    <cellStyle name="Normal 4 2 2 3 5 2 4" xfId="21683" xr:uid="{ED237EFB-5595-45A8-9AB5-C1E2AA816622}"/>
    <cellStyle name="Normal 4 2 2 3 5 3" xfId="5130" xr:uid="{00000000-0005-0000-0000-000083120000}"/>
    <cellStyle name="Normal 4 2 2 3 5 3 2" xfId="14456" xr:uid="{AA9B7F22-75A6-475C-95AD-F2482EF0BAF0}"/>
    <cellStyle name="Normal 4 2 2 3 5 3 3" xfId="23755" xr:uid="{85EA45FE-1478-4827-AC20-3B610C37B284}"/>
    <cellStyle name="Normal 4 2 2 3 5 4" xfId="9208" xr:uid="{7BF9CD11-B90D-42F2-928D-A8BE344C6F46}"/>
    <cellStyle name="Normal 4 2 2 3 5 4 2" xfId="18524" xr:uid="{0CA33170-0290-439F-9C94-449DC74126F2}"/>
    <cellStyle name="Normal 4 2 2 3 5 4 3" xfId="27821" xr:uid="{B856E021-1C10-4C5B-9775-6EA5571BCA58}"/>
    <cellStyle name="Normal 4 2 2 3 5 5" xfId="10239" xr:uid="{D457291C-49E7-4A7C-8EA2-26EEC0A55DF5}"/>
    <cellStyle name="Normal 4 2 2 3 5 6" xfId="19538" xr:uid="{2AC74C3B-288C-4E6E-B6F9-7DA0698CA5C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0743C971-355E-41C0-834B-3E2B723AB9C6}"/>
    <cellStyle name="Normal 4 2 2 3 6 2 2 3" xfId="26313" xr:uid="{9858291E-824C-4371-BA4C-E040FDDAB48E}"/>
    <cellStyle name="Normal 4 2 2 3 6 2 3" xfId="12797" xr:uid="{C388B41C-2C24-419B-842B-6627805ED7C8}"/>
    <cellStyle name="Normal 4 2 2 3 6 2 4" xfId="22096" xr:uid="{DD4F5D9D-76A3-47EB-BD3F-13C3D631017C}"/>
    <cellStyle name="Normal 4 2 2 3 6 3" xfId="5543" xr:uid="{00000000-0005-0000-0000-000087120000}"/>
    <cellStyle name="Normal 4 2 2 3 6 3 2" xfId="14869" xr:uid="{3F1E4197-FB66-4133-8708-052D4BC95AC8}"/>
    <cellStyle name="Normal 4 2 2 3 6 3 3" xfId="24168" xr:uid="{4648D444-6CAE-4496-B417-28AC4F413536}"/>
    <cellStyle name="Normal 4 2 2 3 6 4" xfId="10652" xr:uid="{D19A721E-18B0-4BBA-9C09-C54CF8E15729}"/>
    <cellStyle name="Normal 4 2 2 3 6 5" xfId="19951" xr:uid="{3231A9DD-B659-4021-B581-3006686047D5}"/>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4C702016-89A2-408B-AD0D-9F9E3BEC62C7}"/>
    <cellStyle name="Normal 4 2 2 3 7 2 2 3" xfId="26726" xr:uid="{B2ACBAB6-843E-4F72-9FFB-9512269A6D3C}"/>
    <cellStyle name="Normal 4 2 2 3 7 2 3" xfId="13210" xr:uid="{AFBC082C-13C1-420D-B877-7C6D53A61EE0}"/>
    <cellStyle name="Normal 4 2 2 3 7 2 4" xfId="22509" xr:uid="{8EDC465C-0949-44F8-9541-25344EDE205B}"/>
    <cellStyle name="Normal 4 2 2 3 7 3" xfId="5956" xr:uid="{00000000-0005-0000-0000-00008B120000}"/>
    <cellStyle name="Normal 4 2 2 3 7 3 2" xfId="15282" xr:uid="{73028ADD-2554-46C5-8DA7-B83F4E892956}"/>
    <cellStyle name="Normal 4 2 2 3 7 3 3" xfId="24581" xr:uid="{4B30E7B5-6F9B-47CF-832C-CFF3F08749D4}"/>
    <cellStyle name="Normal 4 2 2 3 7 4" xfId="11065" xr:uid="{F42C1D95-BCB3-4509-A460-89E979FC24D8}"/>
    <cellStyle name="Normal 4 2 2 3 7 5" xfId="20364" xr:uid="{DFE688F6-2B8C-4775-8349-6D99B4A989DE}"/>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894DD15A-9759-459B-9FD9-7BAB99879F87}"/>
    <cellStyle name="Normal 4 2 2 3 8 2 2 3" xfId="27139" xr:uid="{DE808122-76E1-4C1A-9A37-B9AD76B09D59}"/>
    <cellStyle name="Normal 4 2 2 3 8 2 3" xfId="13623" xr:uid="{BEC7981A-3FBA-4410-B149-698CB566749B}"/>
    <cellStyle name="Normal 4 2 2 3 8 2 4" xfId="22922" xr:uid="{9928F68C-CEF0-4EF3-82DC-423CF8FA33E5}"/>
    <cellStyle name="Normal 4 2 2 3 8 3" xfId="6369" xr:uid="{00000000-0005-0000-0000-00008F120000}"/>
    <cellStyle name="Normal 4 2 2 3 8 3 2" xfId="15695" xr:uid="{5C8CC68E-FC2C-4A8F-9BAE-49037448DCC9}"/>
    <cellStyle name="Normal 4 2 2 3 8 3 3" xfId="24994" xr:uid="{43CDB196-58B8-438E-8054-FAD65DCD954E}"/>
    <cellStyle name="Normal 4 2 2 3 8 4" xfId="11478" xr:uid="{9E92E510-9C05-4138-AB80-E8F3541BEC05}"/>
    <cellStyle name="Normal 4 2 2 3 8 5" xfId="20777" xr:uid="{2FBF6F75-7FDD-4A42-A224-8BCAE4208FAF}"/>
    <cellStyle name="Normal 4 2 2 3 9" xfId="2499" xr:uid="{00000000-0005-0000-0000-000090120000}"/>
    <cellStyle name="Normal 4 2 2 3 9 2" xfId="6782" xr:uid="{00000000-0005-0000-0000-000091120000}"/>
    <cellStyle name="Normal 4 2 2 3 9 2 2" xfId="16108" xr:uid="{72B97244-F2BE-48C2-B35C-BAF4BDC398F0}"/>
    <cellStyle name="Normal 4 2 2 3 9 2 3" xfId="25407" xr:uid="{24FC4988-D6BE-4B89-8EBA-C352823C6183}"/>
    <cellStyle name="Normal 4 2 2 3 9 3" xfId="11891" xr:uid="{BB831A01-2680-4818-8CF7-FAC9DCD76AB6}"/>
    <cellStyle name="Normal 4 2 2 3 9 4" xfId="21190" xr:uid="{3D3D31EE-F222-496B-B1AD-351615B19A2B}"/>
    <cellStyle name="Normal 4 2 2 4" xfId="347" xr:uid="{00000000-0005-0000-0000-000092120000}"/>
    <cellStyle name="Normal 4 2 2 4 10" xfId="8818" xr:uid="{A73977A7-52C6-4368-9F59-166E1B99BBDE}"/>
    <cellStyle name="Normal 4 2 2 4 10 2" xfId="18142" xr:uid="{29DFBC72-025C-4B90-9E63-7264C548363B}"/>
    <cellStyle name="Normal 4 2 2 4 10 3" xfId="27440" xr:uid="{3D8CCB4C-E038-4CE1-9982-601C0763D8E9}"/>
    <cellStyle name="Normal 4 2 2 4 11" xfId="9834" xr:uid="{1C15DBF7-C32F-4120-89B1-6C4D5A2399BE}"/>
    <cellStyle name="Normal 4 2 2 4 12" xfId="19133" xr:uid="{4C4A1198-DE7B-45B4-86DA-AB44D93EBD4C}"/>
    <cellStyle name="Normal 4 2 2 4 2" xfId="348" xr:uid="{00000000-0005-0000-0000-000093120000}"/>
    <cellStyle name="Normal 4 2 2 4 2 10" xfId="9835" xr:uid="{18C23EA6-1BA9-48CB-8FB9-9B84D7C5DEDC}"/>
    <cellStyle name="Normal 4 2 2 4 2 11" xfId="19134" xr:uid="{8228D4E3-C9DA-4BFC-ABE3-C6FA48293E31}"/>
    <cellStyle name="Normal 4 2 2 4 2 2" xfId="349" xr:uid="{00000000-0005-0000-0000-000094120000}"/>
    <cellStyle name="Normal 4 2 2 4 2 2 10" xfId="19135" xr:uid="{7C9499E2-5BEA-484B-A63D-207D8ED953DE}"/>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6A1672E0-D94D-4785-A017-A9DD77481D4D}"/>
    <cellStyle name="Normal 4 2 2 4 2 2 2 2 2 3" xfId="25910" xr:uid="{5476460D-AAE7-47DB-845A-8A976C6480EC}"/>
    <cellStyle name="Normal 4 2 2 4 2 2 2 2 3" xfId="12394" xr:uid="{BB3CE080-F9EB-4FFD-AB94-833D2BD2E933}"/>
    <cellStyle name="Normal 4 2 2 4 2 2 2 2 4" xfId="21693" xr:uid="{AFC96FFC-B16D-4476-BD56-657C40FD21E5}"/>
    <cellStyle name="Normal 4 2 2 4 2 2 2 3" xfId="5140" xr:uid="{00000000-0005-0000-0000-000098120000}"/>
    <cellStyle name="Normal 4 2 2 4 2 2 2 3 2" xfId="14466" xr:uid="{033916F8-87F7-4394-946C-1C96F9290CB9}"/>
    <cellStyle name="Normal 4 2 2 4 2 2 2 3 3" xfId="23765" xr:uid="{BA2D6A78-D164-42D1-B64B-5270D03E528F}"/>
    <cellStyle name="Normal 4 2 2 4 2 2 2 4" xfId="9553" xr:uid="{7FCAF883-2374-4470-BA95-AD8EB054639C}"/>
    <cellStyle name="Normal 4 2 2 4 2 2 2 4 2" xfId="18868" xr:uid="{945DEFA5-6BEA-4A5F-A0C7-D8356EA91D45}"/>
    <cellStyle name="Normal 4 2 2 4 2 2 2 4 3" xfId="28165" xr:uid="{2CA56DFB-2703-4A25-B541-874140445B8E}"/>
    <cellStyle name="Normal 4 2 2 4 2 2 2 5" xfId="10249" xr:uid="{AD881EB4-95A9-4F15-A50F-7F4AC5328E13}"/>
    <cellStyle name="Normal 4 2 2 4 2 2 2 6" xfId="19548" xr:uid="{AA8DD570-DB1F-4CE7-8B13-86915861536E}"/>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2B8AFFFE-B8DC-44C1-B018-2DF60E04D469}"/>
    <cellStyle name="Normal 4 2 2 4 2 2 3 2 2 3" xfId="26323" xr:uid="{8FDCF226-FB37-4E42-892C-FB83D4AF2D84}"/>
    <cellStyle name="Normal 4 2 2 4 2 2 3 2 3" xfId="12807" xr:uid="{AFB8494D-1095-42BC-A33C-2F0FB6E0861E}"/>
    <cellStyle name="Normal 4 2 2 4 2 2 3 2 4" xfId="22106" xr:uid="{12984542-4034-4B4D-8576-183BFB8E32E2}"/>
    <cellStyle name="Normal 4 2 2 4 2 2 3 3" xfId="5553" xr:uid="{00000000-0005-0000-0000-00009C120000}"/>
    <cellStyle name="Normal 4 2 2 4 2 2 3 3 2" xfId="14879" xr:uid="{2CE4CB35-28FD-47B5-801D-66F753A05C7D}"/>
    <cellStyle name="Normal 4 2 2 4 2 2 3 3 3" xfId="24178" xr:uid="{1309A05C-0462-4C5C-8EC1-4AFF34151CC1}"/>
    <cellStyle name="Normal 4 2 2 4 2 2 3 4" xfId="10662" xr:uid="{4E81B59D-2D0C-4B03-80C5-CC682FE66C85}"/>
    <cellStyle name="Normal 4 2 2 4 2 2 3 5" xfId="19961" xr:uid="{AEBF1D24-0007-436F-9CDC-0D7D35C1B592}"/>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B8810D3E-EE53-448C-A4B3-86219D6D6F15}"/>
    <cellStyle name="Normal 4 2 2 4 2 2 4 2 2 3" xfId="26736" xr:uid="{AFC857D1-89D5-4477-93E5-C8785419B75A}"/>
    <cellStyle name="Normal 4 2 2 4 2 2 4 2 3" xfId="13220" xr:uid="{15AE99EC-BF48-4E93-96DB-916C8A46E58B}"/>
    <cellStyle name="Normal 4 2 2 4 2 2 4 2 4" xfId="22519" xr:uid="{0FFD225A-6CBA-445C-B77A-16DBAC5D6DB1}"/>
    <cellStyle name="Normal 4 2 2 4 2 2 4 3" xfId="5966" xr:uid="{00000000-0005-0000-0000-0000A0120000}"/>
    <cellStyle name="Normal 4 2 2 4 2 2 4 3 2" xfId="15292" xr:uid="{938990C5-91AF-42AC-9E4D-41ECBA6EA840}"/>
    <cellStyle name="Normal 4 2 2 4 2 2 4 3 3" xfId="24591" xr:uid="{7EC5C886-A46E-43FE-800B-7B4F943C8805}"/>
    <cellStyle name="Normal 4 2 2 4 2 2 4 4" xfId="11075" xr:uid="{80822054-D42B-4181-9210-BE716CA86ACF}"/>
    <cellStyle name="Normal 4 2 2 4 2 2 4 5" xfId="20374" xr:uid="{2C4014DA-346A-4F03-B7AD-D6917434AC9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1BE1A081-E595-453F-B459-6C18A65A9D05}"/>
    <cellStyle name="Normal 4 2 2 4 2 2 5 2 2 3" xfId="27149" xr:uid="{417B2FBD-D0DA-4AC7-BBF3-C50A0673D6F1}"/>
    <cellStyle name="Normal 4 2 2 4 2 2 5 2 3" xfId="13633" xr:uid="{27E216B3-C3E2-41A1-B166-DE728D915349}"/>
    <cellStyle name="Normal 4 2 2 4 2 2 5 2 4" xfId="22932" xr:uid="{3BDD12B2-214C-4774-A6AE-A64ACCE1A596}"/>
    <cellStyle name="Normal 4 2 2 4 2 2 5 3" xfId="6379" xr:uid="{00000000-0005-0000-0000-0000A4120000}"/>
    <cellStyle name="Normal 4 2 2 4 2 2 5 3 2" xfId="15705" xr:uid="{319D7130-9602-43DB-8C34-31697B1E3F1A}"/>
    <cellStyle name="Normal 4 2 2 4 2 2 5 3 3" xfId="25004" xr:uid="{8DFB48EF-E239-4CB7-9510-68ED4AE00164}"/>
    <cellStyle name="Normal 4 2 2 4 2 2 5 4" xfId="11488" xr:uid="{F177D1D9-42AB-40DB-B968-C9392C51EA0F}"/>
    <cellStyle name="Normal 4 2 2 4 2 2 5 5" xfId="20787" xr:uid="{BBC89ED6-E8A0-4420-8E76-3C07D4560DDC}"/>
    <cellStyle name="Normal 4 2 2 4 2 2 6" xfId="2509" xr:uid="{00000000-0005-0000-0000-0000A5120000}"/>
    <cellStyle name="Normal 4 2 2 4 2 2 6 2" xfId="6792" xr:uid="{00000000-0005-0000-0000-0000A6120000}"/>
    <cellStyle name="Normal 4 2 2 4 2 2 6 2 2" xfId="16118" xr:uid="{00898091-ECDB-4233-BA9E-D097FED6102C}"/>
    <cellStyle name="Normal 4 2 2 4 2 2 6 2 3" xfId="25417" xr:uid="{7656CF8A-C3C8-4255-806B-5FFF728131BB}"/>
    <cellStyle name="Normal 4 2 2 4 2 2 6 3" xfId="11901" xr:uid="{839E9D14-B341-4757-B4DD-9E16C1366783}"/>
    <cellStyle name="Normal 4 2 2 4 2 2 6 4" xfId="21200" xr:uid="{5ABF6345-61DB-4BC3-B74B-2E293F92B2F0}"/>
    <cellStyle name="Normal 4 2 2 4 2 2 7" xfId="4727" xr:uid="{00000000-0005-0000-0000-0000A7120000}"/>
    <cellStyle name="Normal 4 2 2 4 2 2 7 2" xfId="14053" xr:uid="{3EEAD8FC-A915-47BA-8547-165DEC7A6173}"/>
    <cellStyle name="Normal 4 2 2 4 2 2 7 3" xfId="23352" xr:uid="{8995D21C-BBD0-4358-A298-D1B53471D524}"/>
    <cellStyle name="Normal 4 2 2 4 2 2 8" xfId="9128" xr:uid="{3D9AD2A4-E3D1-4BAF-8F43-BFB1FE8E222D}"/>
    <cellStyle name="Normal 4 2 2 4 2 2 8 2" xfId="18452" xr:uid="{3EDB5C51-8F37-400C-9AEA-5DC77997BB5E}"/>
    <cellStyle name="Normal 4 2 2 4 2 2 8 3" xfId="27750" xr:uid="{3061CB75-08EC-4DA1-9005-4041AE33F036}"/>
    <cellStyle name="Normal 4 2 2 4 2 2 9" xfId="9836" xr:uid="{221FFDDC-E94D-4848-B6FD-71EDFB5CB358}"/>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54AD0A39-88EB-4895-8089-F28483A4F8A6}"/>
    <cellStyle name="Normal 4 2 2 4 2 3 2 2 3" xfId="25909" xr:uid="{38C4B351-D1C7-462F-A3AC-53B2095ACDEA}"/>
    <cellStyle name="Normal 4 2 2 4 2 3 2 3" xfId="12393" xr:uid="{28B2B079-9086-4273-89EA-68894C595A51}"/>
    <cellStyle name="Normal 4 2 2 4 2 3 2 4" xfId="21692" xr:uid="{CB7C8FD1-2304-4BD0-B0EC-85CDA01A2051}"/>
    <cellStyle name="Normal 4 2 2 4 2 3 3" xfId="5139" xr:uid="{00000000-0005-0000-0000-0000AB120000}"/>
    <cellStyle name="Normal 4 2 2 4 2 3 3 2" xfId="14465" xr:uid="{8A4A1697-F53D-4EB1-8D91-1E00AD6D035F}"/>
    <cellStyle name="Normal 4 2 2 4 2 3 3 3" xfId="23764" xr:uid="{E5B61A23-9423-4FF4-8D45-AFFBA879C7EB}"/>
    <cellStyle name="Normal 4 2 2 4 2 3 4" xfId="9346" xr:uid="{11110DEC-01F5-467C-B0F9-3286FF7E57CB}"/>
    <cellStyle name="Normal 4 2 2 4 2 3 4 2" xfId="18661" xr:uid="{74BE8E07-DDBE-452F-A785-B9EDCC64DCA5}"/>
    <cellStyle name="Normal 4 2 2 4 2 3 4 3" xfId="27958" xr:uid="{5D78B3BB-064C-4F60-829A-C4D81E7CE0CF}"/>
    <cellStyle name="Normal 4 2 2 4 2 3 5" xfId="10248" xr:uid="{90223C71-99A4-41A6-856A-E7EFD6769F46}"/>
    <cellStyle name="Normal 4 2 2 4 2 3 6" xfId="19547" xr:uid="{A8728FA3-2DE9-46EC-B118-6E9E3F1E1BCD}"/>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13E27C50-8D51-47C0-BCDE-E277CA683640}"/>
    <cellStyle name="Normal 4 2 2 4 2 4 2 2 3" xfId="26322" xr:uid="{D804A57C-2A53-4B6C-9AC8-0316850FD190}"/>
    <cellStyle name="Normal 4 2 2 4 2 4 2 3" xfId="12806" xr:uid="{57E68923-09D6-4C89-B352-6AADB204667A}"/>
    <cellStyle name="Normal 4 2 2 4 2 4 2 4" xfId="22105" xr:uid="{57495917-4C57-4630-8417-53E94358DA9D}"/>
    <cellStyle name="Normal 4 2 2 4 2 4 3" xfId="5552" xr:uid="{00000000-0005-0000-0000-0000AF120000}"/>
    <cellStyle name="Normal 4 2 2 4 2 4 3 2" xfId="14878" xr:uid="{8A8FE75E-F08C-4DDA-9670-8DCC953D726F}"/>
    <cellStyle name="Normal 4 2 2 4 2 4 3 3" xfId="24177" xr:uid="{87F258AC-D472-49A4-AF64-F72AD903CED8}"/>
    <cellStyle name="Normal 4 2 2 4 2 4 4" xfId="10661" xr:uid="{9EFFFC20-2FEB-4210-AE91-83C413FE0B83}"/>
    <cellStyle name="Normal 4 2 2 4 2 4 5" xfId="19960" xr:uid="{B2C520F3-2664-44C1-ABFE-D132F9628EF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6662843E-E417-48E2-A630-ED76EBF187BE}"/>
    <cellStyle name="Normal 4 2 2 4 2 5 2 2 3" xfId="26735" xr:uid="{E1F68433-986B-4D7A-B6F5-BE8DAB1C5720}"/>
    <cellStyle name="Normal 4 2 2 4 2 5 2 3" xfId="13219" xr:uid="{60D841BD-970A-4E1A-8155-216DF362C69E}"/>
    <cellStyle name="Normal 4 2 2 4 2 5 2 4" xfId="22518" xr:uid="{9A7E39F9-E6DE-41CA-B0B9-E86A81AB02F5}"/>
    <cellStyle name="Normal 4 2 2 4 2 5 3" xfId="5965" xr:uid="{00000000-0005-0000-0000-0000B3120000}"/>
    <cellStyle name="Normal 4 2 2 4 2 5 3 2" xfId="15291" xr:uid="{FD30903C-9689-4CFA-88A6-CBE5C3F2980B}"/>
    <cellStyle name="Normal 4 2 2 4 2 5 3 3" xfId="24590" xr:uid="{B0DB4FF5-90EF-45B7-8F5F-6B51F41AA065}"/>
    <cellStyle name="Normal 4 2 2 4 2 5 4" xfId="11074" xr:uid="{8EB3EB25-10A0-4890-8112-CC5D572B086B}"/>
    <cellStyle name="Normal 4 2 2 4 2 5 5" xfId="20373" xr:uid="{88DC53DE-F36D-4752-A9E8-D15B335C03E8}"/>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CA4710C8-6E5C-4018-840B-E51627A8A687}"/>
    <cellStyle name="Normal 4 2 2 4 2 6 2 2 3" xfId="27148" xr:uid="{F9584B30-FFB7-46DA-805B-88E693CC4045}"/>
    <cellStyle name="Normal 4 2 2 4 2 6 2 3" xfId="13632" xr:uid="{D2C29A0D-58AA-44FF-8CA3-18AD1E37CCCE}"/>
    <cellStyle name="Normal 4 2 2 4 2 6 2 4" xfId="22931" xr:uid="{CD724712-9052-4735-AE55-E9C02216A383}"/>
    <cellStyle name="Normal 4 2 2 4 2 6 3" xfId="6378" xr:uid="{00000000-0005-0000-0000-0000B7120000}"/>
    <cellStyle name="Normal 4 2 2 4 2 6 3 2" xfId="15704" xr:uid="{77FE084B-5EB0-4800-A96C-68CC742B1DA8}"/>
    <cellStyle name="Normal 4 2 2 4 2 6 3 3" xfId="25003" xr:uid="{8A1C7F26-6FA0-45BC-B4A6-6D519ED5FFA8}"/>
    <cellStyle name="Normal 4 2 2 4 2 6 4" xfId="11487" xr:uid="{33040639-0DDB-4FD1-9E85-FF45DB349C53}"/>
    <cellStyle name="Normal 4 2 2 4 2 6 5" xfId="20786" xr:uid="{DEE1BF41-BDE3-4106-826B-FB4A6464DA93}"/>
    <cellStyle name="Normal 4 2 2 4 2 7" xfId="2508" xr:uid="{00000000-0005-0000-0000-0000B8120000}"/>
    <cellStyle name="Normal 4 2 2 4 2 7 2" xfId="6791" xr:uid="{00000000-0005-0000-0000-0000B9120000}"/>
    <cellStyle name="Normal 4 2 2 4 2 7 2 2" xfId="16117" xr:uid="{14606513-E1C1-4B9D-B204-0177952462B0}"/>
    <cellStyle name="Normal 4 2 2 4 2 7 2 3" xfId="25416" xr:uid="{02B139C5-F95D-477E-834D-3C31FDDF4876}"/>
    <cellStyle name="Normal 4 2 2 4 2 7 3" xfId="11900" xr:uid="{826A1072-AB19-48CF-9676-F8B3B6658DDD}"/>
    <cellStyle name="Normal 4 2 2 4 2 7 4" xfId="21199" xr:uid="{FD0D79D5-9457-4ABF-BE55-AB9C121A7491}"/>
    <cellStyle name="Normal 4 2 2 4 2 8" xfId="4726" xr:uid="{00000000-0005-0000-0000-0000BA120000}"/>
    <cellStyle name="Normal 4 2 2 4 2 8 2" xfId="14052" xr:uid="{08D25737-C093-444E-9598-B990A1598590}"/>
    <cellStyle name="Normal 4 2 2 4 2 8 3" xfId="23351" xr:uid="{77861C93-6983-4199-B248-6A38DF90F775}"/>
    <cellStyle name="Normal 4 2 2 4 2 9" xfId="8921" xr:uid="{43AA3CA1-A6D2-47CC-8276-CBFAB7238AA6}"/>
    <cellStyle name="Normal 4 2 2 4 2 9 2" xfId="18245" xr:uid="{D8C8C32F-EA5D-46F3-92CF-7396336BD441}"/>
    <cellStyle name="Normal 4 2 2 4 2 9 3" xfId="27543" xr:uid="{A601AC90-A389-4D3A-9676-2F097AD735EF}"/>
    <cellStyle name="Normal 4 2 2 4 3" xfId="350" xr:uid="{00000000-0005-0000-0000-0000BB120000}"/>
    <cellStyle name="Normal 4 2 2 4 3 10" xfId="19136" xr:uid="{47495F99-AADA-4EC8-90AA-3790ADC65A17}"/>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FABDAAAD-4162-4D61-9736-D2DC2143C2EC}"/>
    <cellStyle name="Normal 4 2 2 4 3 2 2 2 3" xfId="25911" xr:uid="{AA421D7D-6F85-42E7-984B-B025DE3398D6}"/>
    <cellStyle name="Normal 4 2 2 4 3 2 2 3" xfId="12395" xr:uid="{3F862C00-89D5-4CBC-A7A9-1F0FDAEB9DED}"/>
    <cellStyle name="Normal 4 2 2 4 3 2 2 4" xfId="21694" xr:uid="{B02DED43-411E-4B79-89C9-BDF70C27182C}"/>
    <cellStyle name="Normal 4 2 2 4 3 2 3" xfId="5141" xr:uid="{00000000-0005-0000-0000-0000BF120000}"/>
    <cellStyle name="Normal 4 2 2 4 3 2 3 2" xfId="14467" xr:uid="{95C15D72-043B-48FC-901A-5A0B4C6F9C43}"/>
    <cellStyle name="Normal 4 2 2 4 3 2 3 3" xfId="23766" xr:uid="{CE088C06-E2CB-4885-91F6-8CB0C4410CFA}"/>
    <cellStyle name="Normal 4 2 2 4 3 2 4" xfId="9450" xr:uid="{0F54578A-5DA3-4B6E-9E36-71CC7CD6BFE8}"/>
    <cellStyle name="Normal 4 2 2 4 3 2 4 2" xfId="18765" xr:uid="{EE9BA6B6-2675-4410-8080-090227D39784}"/>
    <cellStyle name="Normal 4 2 2 4 3 2 4 3" xfId="28062" xr:uid="{745E91C5-2F08-435C-AB09-DF027C138FCD}"/>
    <cellStyle name="Normal 4 2 2 4 3 2 5" xfId="10250" xr:uid="{5686C4A6-002B-490A-9FB3-2FA202AEB131}"/>
    <cellStyle name="Normal 4 2 2 4 3 2 6" xfId="19549" xr:uid="{2D9044FD-049F-464D-AB06-12DD31526D5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4A9CD685-1DC0-41C9-B7C0-6971FE84AC0B}"/>
    <cellStyle name="Normal 4 2 2 4 3 3 2 2 3" xfId="26324" xr:uid="{52C1AF93-E165-4FB0-91C2-37AAA4CB88CD}"/>
    <cellStyle name="Normal 4 2 2 4 3 3 2 3" xfId="12808" xr:uid="{2F577328-F31F-4A77-BDFF-E648F2DEE546}"/>
    <cellStyle name="Normal 4 2 2 4 3 3 2 4" xfId="22107" xr:uid="{A4F38B58-06A6-428C-ACF6-075790DCCF9F}"/>
    <cellStyle name="Normal 4 2 2 4 3 3 3" xfId="5554" xr:uid="{00000000-0005-0000-0000-0000C3120000}"/>
    <cellStyle name="Normal 4 2 2 4 3 3 3 2" xfId="14880" xr:uid="{73AE2BC8-721B-473F-92AC-EBD4C295F32A}"/>
    <cellStyle name="Normal 4 2 2 4 3 3 3 3" xfId="24179" xr:uid="{C08D6239-BB5A-41A9-9CB6-BDB194C393E8}"/>
    <cellStyle name="Normal 4 2 2 4 3 3 4" xfId="10663" xr:uid="{F921D7C7-368E-4771-B64A-A38CB261A7D2}"/>
    <cellStyle name="Normal 4 2 2 4 3 3 5" xfId="19962" xr:uid="{55C07A79-D461-45D6-AF8A-DC9798E691A8}"/>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A4ED90F4-1F3F-446B-AC3A-682796C8ACF2}"/>
    <cellStyle name="Normal 4 2 2 4 3 4 2 2 3" xfId="26737" xr:uid="{1B3B389A-6522-4315-9635-2FCC9E19EA8A}"/>
    <cellStyle name="Normal 4 2 2 4 3 4 2 3" xfId="13221" xr:uid="{61DC87D3-4833-4B3C-9FDB-9785DE06C60B}"/>
    <cellStyle name="Normal 4 2 2 4 3 4 2 4" xfId="22520" xr:uid="{FB66DBDF-6CE4-4249-9E88-625DAD99DF5B}"/>
    <cellStyle name="Normal 4 2 2 4 3 4 3" xfId="5967" xr:uid="{00000000-0005-0000-0000-0000C7120000}"/>
    <cellStyle name="Normal 4 2 2 4 3 4 3 2" xfId="15293" xr:uid="{8BED4527-ADC4-44BF-89E9-C34D366CFAE4}"/>
    <cellStyle name="Normal 4 2 2 4 3 4 3 3" xfId="24592" xr:uid="{28D22530-26F1-4223-8571-06766E266E41}"/>
    <cellStyle name="Normal 4 2 2 4 3 4 4" xfId="11076" xr:uid="{1BB5E6ED-31C3-411F-B8D6-D977D885F702}"/>
    <cellStyle name="Normal 4 2 2 4 3 4 5" xfId="20375" xr:uid="{E4742140-2613-451B-A7FD-CECF12DD047B}"/>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EECC4AA0-255B-4D95-BB35-136A75C70C48}"/>
    <cellStyle name="Normal 4 2 2 4 3 5 2 2 3" xfId="27150" xr:uid="{C4D78090-A465-41DC-9668-A7C648CB6864}"/>
    <cellStyle name="Normal 4 2 2 4 3 5 2 3" xfId="13634" xr:uid="{ECB4E511-F7AA-4BBE-9E24-48509344EC00}"/>
    <cellStyle name="Normal 4 2 2 4 3 5 2 4" xfId="22933" xr:uid="{D3DD92D3-FF7D-41B3-9799-BD52B928E45D}"/>
    <cellStyle name="Normal 4 2 2 4 3 5 3" xfId="6380" xr:uid="{00000000-0005-0000-0000-0000CB120000}"/>
    <cellStyle name="Normal 4 2 2 4 3 5 3 2" xfId="15706" xr:uid="{E015EE8A-B90D-4A9A-8577-4B7B6E44AEF7}"/>
    <cellStyle name="Normal 4 2 2 4 3 5 3 3" xfId="25005" xr:uid="{494FE7CB-6ADC-4A6B-804A-435AA8C6FFA8}"/>
    <cellStyle name="Normal 4 2 2 4 3 5 4" xfId="11489" xr:uid="{D5C07AA6-086F-48EC-B355-658E97F4490B}"/>
    <cellStyle name="Normal 4 2 2 4 3 5 5" xfId="20788" xr:uid="{42CB37C3-47FC-4312-8241-014C0B4086B4}"/>
    <cellStyle name="Normal 4 2 2 4 3 6" xfId="2510" xr:uid="{00000000-0005-0000-0000-0000CC120000}"/>
    <cellStyle name="Normal 4 2 2 4 3 6 2" xfId="6793" xr:uid="{00000000-0005-0000-0000-0000CD120000}"/>
    <cellStyle name="Normal 4 2 2 4 3 6 2 2" xfId="16119" xr:uid="{E992D4FB-7897-49A6-A52E-58FD7C69B69D}"/>
    <cellStyle name="Normal 4 2 2 4 3 6 2 3" xfId="25418" xr:uid="{D11D9895-E7F7-46E7-8F91-B881AD82AE45}"/>
    <cellStyle name="Normal 4 2 2 4 3 6 3" xfId="11902" xr:uid="{CE784D83-7EA2-4EF8-88C8-9D044F9735E1}"/>
    <cellStyle name="Normal 4 2 2 4 3 6 4" xfId="21201" xr:uid="{A9621178-3B54-498C-83F3-E906F2566E1D}"/>
    <cellStyle name="Normal 4 2 2 4 3 7" xfId="4728" xr:uid="{00000000-0005-0000-0000-0000CE120000}"/>
    <cellStyle name="Normal 4 2 2 4 3 7 2" xfId="14054" xr:uid="{E7170F05-7627-4490-A2C1-6C7BC7577921}"/>
    <cellStyle name="Normal 4 2 2 4 3 7 3" xfId="23353" xr:uid="{0244F637-865A-474D-A17E-EEC758C86CAB}"/>
    <cellStyle name="Normal 4 2 2 4 3 8" xfId="9025" xr:uid="{436CB353-A916-4AB2-B5E2-8C1BDAEA1182}"/>
    <cellStyle name="Normal 4 2 2 4 3 8 2" xfId="18349" xr:uid="{9FB21E47-D25D-4A27-98D8-C9FB38EA2603}"/>
    <cellStyle name="Normal 4 2 2 4 3 8 3" xfId="27647" xr:uid="{9A1ACE4B-96B8-4AB1-9201-475D8528A3DB}"/>
    <cellStyle name="Normal 4 2 2 4 3 9" xfId="9837" xr:uid="{5BC701AE-89BE-4984-B108-83C9C8800CBD}"/>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68789AB9-7EE5-46B7-B1FC-C7F5ACC189DC}"/>
    <cellStyle name="Normal 4 2 2 4 4 2 2 3" xfId="25908" xr:uid="{0CC2ACC2-FB78-4484-AD26-9428C11CCD08}"/>
    <cellStyle name="Normal 4 2 2 4 4 2 3" xfId="12392" xr:uid="{574BFFC4-7A7E-43C4-BAA5-88B869015734}"/>
    <cellStyle name="Normal 4 2 2 4 4 2 4" xfId="21691" xr:uid="{B3089049-2CA8-481B-84A1-04E0001AC1E3}"/>
    <cellStyle name="Normal 4 2 2 4 4 3" xfId="5138" xr:uid="{00000000-0005-0000-0000-0000D2120000}"/>
    <cellStyle name="Normal 4 2 2 4 4 3 2" xfId="14464" xr:uid="{9946229A-4CCC-4D8C-B864-DB875B032625}"/>
    <cellStyle name="Normal 4 2 2 4 4 3 3" xfId="23763" xr:uid="{AA24F9E9-C4EE-498A-AA86-BB58CB9DECF4}"/>
    <cellStyle name="Normal 4 2 2 4 4 4" xfId="9243" xr:uid="{FD46A281-F5BE-478B-950E-209D1D56FC0E}"/>
    <cellStyle name="Normal 4 2 2 4 4 4 2" xfId="18558" xr:uid="{237FD911-41C3-433B-AAE2-2030D7BED460}"/>
    <cellStyle name="Normal 4 2 2 4 4 4 3" xfId="27855" xr:uid="{602EC9A5-27CE-4E87-87B1-D0CBB73CA94E}"/>
    <cellStyle name="Normal 4 2 2 4 4 5" xfId="10247" xr:uid="{EB5FB4AF-CAB7-4C69-8414-83DA9AB2DC61}"/>
    <cellStyle name="Normal 4 2 2 4 4 6" xfId="19546" xr:uid="{FA4AA52A-0772-4D34-9880-F2F0B841061B}"/>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844C555C-2E65-4389-823A-26BE6AFE1A74}"/>
    <cellStyle name="Normal 4 2 2 4 5 2 2 3" xfId="26321" xr:uid="{4B9A36DF-59B9-4534-8AB8-281D947C0394}"/>
    <cellStyle name="Normal 4 2 2 4 5 2 3" xfId="12805" xr:uid="{0A23D829-E13E-4CC4-B085-5AC10D3C790F}"/>
    <cellStyle name="Normal 4 2 2 4 5 2 4" xfId="22104" xr:uid="{9AC63B9B-DA24-41CE-B9E1-6E0E1BDA1417}"/>
    <cellStyle name="Normal 4 2 2 4 5 3" xfId="5551" xr:uid="{00000000-0005-0000-0000-0000D6120000}"/>
    <cellStyle name="Normal 4 2 2 4 5 3 2" xfId="14877" xr:uid="{F56EB622-A1C9-4952-9A0B-DFB3D0054E22}"/>
    <cellStyle name="Normal 4 2 2 4 5 3 3" xfId="24176" xr:uid="{679BE255-1103-4EDF-9C5E-7F130B0FF4B8}"/>
    <cellStyle name="Normal 4 2 2 4 5 4" xfId="10660" xr:uid="{083E24F3-C10F-465E-9789-2B4DFF4E1622}"/>
    <cellStyle name="Normal 4 2 2 4 5 5" xfId="19959" xr:uid="{0D84B4FB-68E9-4969-A50F-4CC96A9527EF}"/>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6E5B467A-207E-4F0B-AA6D-CE6EB99266EB}"/>
    <cellStyle name="Normal 4 2 2 4 6 2 2 3" xfId="26734" xr:uid="{DC4E3F55-5372-439B-849C-66C704A7367A}"/>
    <cellStyle name="Normal 4 2 2 4 6 2 3" xfId="13218" xr:uid="{99DD3399-2DC6-4CDD-A5DB-9ACF830BFB0B}"/>
    <cellStyle name="Normal 4 2 2 4 6 2 4" xfId="22517" xr:uid="{92389E48-BA84-4F87-9A14-2AA39976E95C}"/>
    <cellStyle name="Normal 4 2 2 4 6 3" xfId="5964" xr:uid="{00000000-0005-0000-0000-0000DA120000}"/>
    <cellStyle name="Normal 4 2 2 4 6 3 2" xfId="15290" xr:uid="{EBA39958-7B58-4EC0-BD68-DE2C57F03F9F}"/>
    <cellStyle name="Normal 4 2 2 4 6 3 3" xfId="24589" xr:uid="{63EFA1A2-A2A3-4194-A752-F72EC8B04DB5}"/>
    <cellStyle name="Normal 4 2 2 4 6 4" xfId="11073" xr:uid="{3A36EE11-08C6-4460-A611-31814A5923A5}"/>
    <cellStyle name="Normal 4 2 2 4 6 5" xfId="20372" xr:uid="{25F67443-4469-4702-B7CB-628659D21FED}"/>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42A3E000-D176-47C2-8BF6-37D843AFD131}"/>
    <cellStyle name="Normal 4 2 2 4 7 2 2 3" xfId="27147" xr:uid="{0B754F2B-50AA-4326-B9C0-6F2198E48DFB}"/>
    <cellStyle name="Normal 4 2 2 4 7 2 3" xfId="13631" xr:uid="{6A6F1D5E-6AF7-4BA9-8524-BAF258D9EC98}"/>
    <cellStyle name="Normal 4 2 2 4 7 2 4" xfId="22930" xr:uid="{4656EDDE-2FC6-41BE-95CD-E4F7A1BC2C0B}"/>
    <cellStyle name="Normal 4 2 2 4 7 3" xfId="6377" xr:uid="{00000000-0005-0000-0000-0000DE120000}"/>
    <cellStyle name="Normal 4 2 2 4 7 3 2" xfId="15703" xr:uid="{25ED4741-066D-46C9-BB28-2130D5A7DCBC}"/>
    <cellStyle name="Normal 4 2 2 4 7 3 3" xfId="25002" xr:uid="{8642135B-326E-4D37-8134-2D65083E4B76}"/>
    <cellStyle name="Normal 4 2 2 4 7 4" xfId="11486" xr:uid="{66747CF1-9605-4C0A-80C6-62D2E05638D2}"/>
    <cellStyle name="Normal 4 2 2 4 7 5" xfId="20785" xr:uid="{44C7ABA6-C5CB-4885-B39B-8DF8AA4CF758}"/>
    <cellStyle name="Normal 4 2 2 4 8" xfId="2507" xr:uid="{00000000-0005-0000-0000-0000DF120000}"/>
    <cellStyle name="Normal 4 2 2 4 8 2" xfId="6790" xr:uid="{00000000-0005-0000-0000-0000E0120000}"/>
    <cellStyle name="Normal 4 2 2 4 8 2 2" xfId="16116" xr:uid="{B1335E1C-3DF8-4244-A79A-0FE48DB340CC}"/>
    <cellStyle name="Normal 4 2 2 4 8 2 3" xfId="25415" xr:uid="{28EDC9C4-FBC7-4A4A-A3F0-C8D2BDF8A093}"/>
    <cellStyle name="Normal 4 2 2 4 8 3" xfId="11899" xr:uid="{5CF41463-F956-4035-967A-BBEBA26D9CAC}"/>
    <cellStyle name="Normal 4 2 2 4 8 4" xfId="21198" xr:uid="{200D4878-E7C4-40F5-8596-5905AA40B0DD}"/>
    <cellStyle name="Normal 4 2 2 4 9" xfId="4725" xr:uid="{00000000-0005-0000-0000-0000E1120000}"/>
    <cellStyle name="Normal 4 2 2 4 9 2" xfId="14051" xr:uid="{FE2F9071-86BD-4DAD-B9F8-85C5C2DDCB37}"/>
    <cellStyle name="Normal 4 2 2 4 9 3" xfId="23350" xr:uid="{BA55961F-A83E-4D5F-AAC7-174A385FAB36}"/>
    <cellStyle name="Normal 4 2 2 5" xfId="351" xr:uid="{00000000-0005-0000-0000-0000E2120000}"/>
    <cellStyle name="Normal 4 2 2 5 10" xfId="9838" xr:uid="{8E79F100-4FFC-40DB-8BCE-09951A027266}"/>
    <cellStyle name="Normal 4 2 2 5 11" xfId="19137" xr:uid="{F25536BC-A3CB-45BC-9590-05B6E164A14E}"/>
    <cellStyle name="Normal 4 2 2 5 2" xfId="352" xr:uid="{00000000-0005-0000-0000-0000E3120000}"/>
    <cellStyle name="Normal 4 2 2 5 2 10" xfId="19138" xr:uid="{F23F26CC-A017-458E-9EB0-7703A2D01E0B}"/>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5F0299EB-4CA8-481C-9F18-C610FF2DE336}"/>
    <cellStyle name="Normal 4 2 2 5 2 2 2 2 3" xfId="25913" xr:uid="{C443C2C2-02B4-495A-8573-6434DDEF3CF4}"/>
    <cellStyle name="Normal 4 2 2 5 2 2 2 3" xfId="12397" xr:uid="{96401555-2EC3-4992-8D45-E558269ABC40}"/>
    <cellStyle name="Normal 4 2 2 5 2 2 2 4" xfId="21696" xr:uid="{6E913B18-64CB-488F-8D92-23615AA2A430}"/>
    <cellStyle name="Normal 4 2 2 5 2 2 3" xfId="5143" xr:uid="{00000000-0005-0000-0000-0000E7120000}"/>
    <cellStyle name="Normal 4 2 2 5 2 2 3 2" xfId="14469" xr:uid="{40542C62-D057-4C9A-82F0-36C4B2846487}"/>
    <cellStyle name="Normal 4 2 2 5 2 2 3 3" xfId="23768" xr:uid="{6404AA7A-6EAD-4518-A0E6-4748AE7A0DCC}"/>
    <cellStyle name="Normal 4 2 2 5 2 2 4" xfId="9487" xr:uid="{83D2756E-B983-4EA9-AB48-FF4D3E821CE4}"/>
    <cellStyle name="Normal 4 2 2 5 2 2 4 2" xfId="18802" xr:uid="{F0FD9DC0-C1BE-45FE-9D7E-1394200A65C8}"/>
    <cellStyle name="Normal 4 2 2 5 2 2 4 3" xfId="28099" xr:uid="{87277B63-60A2-484A-84AF-2CD3FB3B68EF}"/>
    <cellStyle name="Normal 4 2 2 5 2 2 5" xfId="10252" xr:uid="{4843A876-A911-4CA2-A2CD-D59C9D0288D7}"/>
    <cellStyle name="Normal 4 2 2 5 2 2 6" xfId="19551" xr:uid="{297A8F5B-9C49-4806-9AA4-6C2FEF2924C8}"/>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80926CA8-F442-4874-B549-266FFDB93A36}"/>
    <cellStyle name="Normal 4 2 2 5 2 3 2 2 3" xfId="26326" xr:uid="{3900679C-C8F4-417A-9D5B-C8F7574F2956}"/>
    <cellStyle name="Normal 4 2 2 5 2 3 2 3" xfId="12810" xr:uid="{33942C99-B643-40C8-B6E7-8F8FCADA6530}"/>
    <cellStyle name="Normal 4 2 2 5 2 3 2 4" xfId="22109" xr:uid="{BC3A589A-8454-45A7-8CD5-D73987A71359}"/>
    <cellStyle name="Normal 4 2 2 5 2 3 3" xfId="5556" xr:uid="{00000000-0005-0000-0000-0000EB120000}"/>
    <cellStyle name="Normal 4 2 2 5 2 3 3 2" xfId="14882" xr:uid="{10EDBAAC-7F14-4F9D-9B99-D91E1E5C76F7}"/>
    <cellStyle name="Normal 4 2 2 5 2 3 3 3" xfId="24181" xr:uid="{D7939815-8ACF-4CE0-8C4D-7C752120967C}"/>
    <cellStyle name="Normal 4 2 2 5 2 3 4" xfId="10665" xr:uid="{D873C056-87CA-4EA4-A8D1-7242ACD5CE59}"/>
    <cellStyle name="Normal 4 2 2 5 2 3 5" xfId="19964" xr:uid="{AFC12833-F9CE-4707-9DFB-F239C729A55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FAB28311-47BE-4369-BCA4-C2AA3CE63EAC}"/>
    <cellStyle name="Normal 4 2 2 5 2 4 2 2 3" xfId="26739" xr:uid="{19E44DD4-437B-40A6-92BE-2C39E6947605}"/>
    <cellStyle name="Normal 4 2 2 5 2 4 2 3" xfId="13223" xr:uid="{93F11A4F-B575-43CB-A6D1-056AB91B3173}"/>
    <cellStyle name="Normal 4 2 2 5 2 4 2 4" xfId="22522" xr:uid="{78928343-FC3C-4A80-899B-9775A13AEBCF}"/>
    <cellStyle name="Normal 4 2 2 5 2 4 3" xfId="5969" xr:uid="{00000000-0005-0000-0000-0000EF120000}"/>
    <cellStyle name="Normal 4 2 2 5 2 4 3 2" xfId="15295" xr:uid="{1ECC20DE-AD00-405C-A276-EFC9FCDF1690}"/>
    <cellStyle name="Normal 4 2 2 5 2 4 3 3" xfId="24594" xr:uid="{89D4FB61-37EC-4370-8B31-70F1C0C1AB70}"/>
    <cellStyle name="Normal 4 2 2 5 2 4 4" xfId="11078" xr:uid="{63355AA3-B7A5-44AD-8252-1A29562DC168}"/>
    <cellStyle name="Normal 4 2 2 5 2 4 5" xfId="20377" xr:uid="{61ABC08C-6EBA-40A3-AAD3-F682C54E164D}"/>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FF0A423D-30A1-4F39-A9AE-690DC0298EF9}"/>
    <cellStyle name="Normal 4 2 2 5 2 5 2 2 3" xfId="27152" xr:uid="{4091D40F-8358-457B-A957-B9233CABFF21}"/>
    <cellStyle name="Normal 4 2 2 5 2 5 2 3" xfId="13636" xr:uid="{E5B19723-6C1F-45F6-9E86-19F88255325C}"/>
    <cellStyle name="Normal 4 2 2 5 2 5 2 4" xfId="22935" xr:uid="{CD1868D7-C896-403E-A1A7-75146F7B1CE2}"/>
    <cellStyle name="Normal 4 2 2 5 2 5 3" xfId="6382" xr:uid="{00000000-0005-0000-0000-0000F3120000}"/>
    <cellStyle name="Normal 4 2 2 5 2 5 3 2" xfId="15708" xr:uid="{F03F521B-3ECE-4794-B8A8-540F74EE5E1A}"/>
    <cellStyle name="Normal 4 2 2 5 2 5 3 3" xfId="25007" xr:uid="{9B418035-84A2-4576-A2CC-4B7A3E3594A6}"/>
    <cellStyle name="Normal 4 2 2 5 2 5 4" xfId="11491" xr:uid="{165BE5E3-7D6C-4D11-887D-7788F9A3BD61}"/>
    <cellStyle name="Normal 4 2 2 5 2 5 5" xfId="20790" xr:uid="{BF115935-9978-4F70-A6EB-5900D8C1E029}"/>
    <cellStyle name="Normal 4 2 2 5 2 6" xfId="2512" xr:uid="{00000000-0005-0000-0000-0000F4120000}"/>
    <cellStyle name="Normal 4 2 2 5 2 6 2" xfId="6795" xr:uid="{00000000-0005-0000-0000-0000F5120000}"/>
    <cellStyle name="Normal 4 2 2 5 2 6 2 2" xfId="16121" xr:uid="{A7C62131-771C-403C-A1C4-2380160B7983}"/>
    <cellStyle name="Normal 4 2 2 5 2 6 2 3" xfId="25420" xr:uid="{720397B2-4771-4C67-93F5-52F82394E04A}"/>
    <cellStyle name="Normal 4 2 2 5 2 6 3" xfId="11904" xr:uid="{CA9B472C-90FE-4516-9AEA-EDB6F30EDE35}"/>
    <cellStyle name="Normal 4 2 2 5 2 6 4" xfId="21203" xr:uid="{97A13B81-2ECC-4D84-AC34-685B87B19FBA}"/>
    <cellStyle name="Normal 4 2 2 5 2 7" xfId="4730" xr:uid="{00000000-0005-0000-0000-0000F6120000}"/>
    <cellStyle name="Normal 4 2 2 5 2 7 2" xfId="14056" xr:uid="{49FCF616-DDE0-4B1A-A773-B25B5EA7322A}"/>
    <cellStyle name="Normal 4 2 2 5 2 7 3" xfId="23355" xr:uid="{74C2C0FE-8236-4096-9E96-D063C0AC2EE1}"/>
    <cellStyle name="Normal 4 2 2 5 2 8" xfId="9062" xr:uid="{FED54422-C2E5-44B3-AA7C-C6088F47A385}"/>
    <cellStyle name="Normal 4 2 2 5 2 8 2" xfId="18386" xr:uid="{691794F7-502A-497B-A6D0-43B03BA06282}"/>
    <cellStyle name="Normal 4 2 2 5 2 8 3" xfId="27684" xr:uid="{86A6082D-86FA-4438-9957-E2A733CC6D35}"/>
    <cellStyle name="Normal 4 2 2 5 2 9" xfId="9839" xr:uid="{23491A6F-03C7-431D-B241-A0134277FA32}"/>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48BA408D-0C7F-4A26-910B-4E9483F98448}"/>
    <cellStyle name="Normal 4 2 2 5 3 2 2 3" xfId="25912" xr:uid="{5422795A-7E9B-4E02-8996-01DAE07928B2}"/>
    <cellStyle name="Normal 4 2 2 5 3 2 3" xfId="12396" xr:uid="{29F7F6AD-5B57-4C80-814F-99FB0E71ED1B}"/>
    <cellStyle name="Normal 4 2 2 5 3 2 4" xfId="21695" xr:uid="{A4395DA6-5EBA-4995-B58A-510479AC11B6}"/>
    <cellStyle name="Normal 4 2 2 5 3 3" xfId="5142" xr:uid="{00000000-0005-0000-0000-0000FA120000}"/>
    <cellStyle name="Normal 4 2 2 5 3 3 2" xfId="14468" xr:uid="{57D8C7F2-B8DE-4947-928F-ED9BCD365A13}"/>
    <cellStyle name="Normal 4 2 2 5 3 3 3" xfId="23767" xr:uid="{0A0C9AE8-F220-4C35-A1C1-1093C075BF89}"/>
    <cellStyle name="Normal 4 2 2 5 3 4" xfId="9280" xr:uid="{C70B18D8-E279-4D37-82EF-3177E9FA554F}"/>
    <cellStyle name="Normal 4 2 2 5 3 4 2" xfId="18595" xr:uid="{E281848E-03FE-4F4B-8A0D-469ECF7BEA6B}"/>
    <cellStyle name="Normal 4 2 2 5 3 4 3" xfId="27892" xr:uid="{3CC4AEF7-B821-4C1F-A45D-C3C0E63E5B25}"/>
    <cellStyle name="Normal 4 2 2 5 3 5" xfId="10251" xr:uid="{A08F9372-529D-4673-942F-74DF844549CF}"/>
    <cellStyle name="Normal 4 2 2 5 3 6" xfId="19550" xr:uid="{10AB5261-54F7-4468-BB1E-707188D830BD}"/>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1AEC0E88-90EE-45AF-9D2E-0E991551B232}"/>
    <cellStyle name="Normal 4 2 2 5 4 2 2 3" xfId="26325" xr:uid="{33F96FDA-2654-4EA6-94B5-B4787A3DABF8}"/>
    <cellStyle name="Normal 4 2 2 5 4 2 3" xfId="12809" xr:uid="{2C7BE9B3-E9A1-4FFF-8E54-D59D60B817B1}"/>
    <cellStyle name="Normal 4 2 2 5 4 2 4" xfId="22108" xr:uid="{811BB07A-1F29-48AB-8840-45E735870D19}"/>
    <cellStyle name="Normal 4 2 2 5 4 3" xfId="5555" xr:uid="{00000000-0005-0000-0000-0000FE120000}"/>
    <cellStyle name="Normal 4 2 2 5 4 3 2" xfId="14881" xr:uid="{5D925DC5-2E6E-4DC7-BA34-332850B3D253}"/>
    <cellStyle name="Normal 4 2 2 5 4 3 3" xfId="24180" xr:uid="{5B9DA9F9-F695-4EC6-942B-0C5A398689C7}"/>
    <cellStyle name="Normal 4 2 2 5 4 4" xfId="10664" xr:uid="{DF9DD5A7-CCA5-4D3B-B396-598ACB87B14C}"/>
    <cellStyle name="Normal 4 2 2 5 4 5" xfId="19963" xr:uid="{C97C9572-6545-4E90-95AF-0B0599555E03}"/>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6A9EF105-14AC-4C62-BBA0-6020E09E3CAB}"/>
    <cellStyle name="Normal 4 2 2 5 5 2 2 3" xfId="26738" xr:uid="{0D8AE512-320C-4860-9F27-144EB9F1EBD2}"/>
    <cellStyle name="Normal 4 2 2 5 5 2 3" xfId="13222" xr:uid="{B5C0BE96-0271-4C1B-92C1-2532DE4B59E4}"/>
    <cellStyle name="Normal 4 2 2 5 5 2 4" xfId="22521" xr:uid="{E80B59C0-D483-4FF1-BD48-361D6E042243}"/>
    <cellStyle name="Normal 4 2 2 5 5 3" xfId="5968" xr:uid="{00000000-0005-0000-0000-000002130000}"/>
    <cellStyle name="Normal 4 2 2 5 5 3 2" xfId="15294" xr:uid="{0E641717-444E-42FA-A4B2-73470C82B19C}"/>
    <cellStyle name="Normal 4 2 2 5 5 3 3" xfId="24593" xr:uid="{3ECB3616-D8D3-4FB6-99DB-ABB43C078753}"/>
    <cellStyle name="Normal 4 2 2 5 5 4" xfId="11077" xr:uid="{C56A10A0-0CC8-4905-91EE-42FC882CD285}"/>
    <cellStyle name="Normal 4 2 2 5 5 5" xfId="20376" xr:uid="{12D2E615-3363-4121-87BE-D72FC0120A56}"/>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3EDB1516-8D38-497F-9E0A-E3C2B15320A4}"/>
    <cellStyle name="Normal 4 2 2 5 6 2 2 3" xfId="27151" xr:uid="{70CA107C-C0AD-467D-823A-C9027A000A81}"/>
    <cellStyle name="Normal 4 2 2 5 6 2 3" xfId="13635" xr:uid="{19199526-AFBB-4A1F-9EC6-5CC32EDC4E6A}"/>
    <cellStyle name="Normal 4 2 2 5 6 2 4" xfId="22934" xr:uid="{AACCC080-C4DD-4777-848B-9DC872B9F59E}"/>
    <cellStyle name="Normal 4 2 2 5 6 3" xfId="6381" xr:uid="{00000000-0005-0000-0000-000006130000}"/>
    <cellStyle name="Normal 4 2 2 5 6 3 2" xfId="15707" xr:uid="{521ABE9D-9C37-4910-BFAB-6DE6F696AFFF}"/>
    <cellStyle name="Normal 4 2 2 5 6 3 3" xfId="25006" xr:uid="{A3510C8E-ACAF-424C-BBEE-7312ABDF4C98}"/>
    <cellStyle name="Normal 4 2 2 5 6 4" xfId="11490" xr:uid="{FF716FA1-6E18-48F3-820F-F9A6A1137BB2}"/>
    <cellStyle name="Normal 4 2 2 5 6 5" xfId="20789" xr:uid="{E8848181-D755-4BBA-B8AB-1627525CBECF}"/>
    <cellStyle name="Normal 4 2 2 5 7" xfId="2511" xr:uid="{00000000-0005-0000-0000-000007130000}"/>
    <cellStyle name="Normal 4 2 2 5 7 2" xfId="6794" xr:uid="{00000000-0005-0000-0000-000008130000}"/>
    <cellStyle name="Normal 4 2 2 5 7 2 2" xfId="16120" xr:uid="{0D27A0E8-812C-4AF1-9A39-81B50E7E097E}"/>
    <cellStyle name="Normal 4 2 2 5 7 2 3" xfId="25419" xr:uid="{F076D2B7-170B-4D20-91C2-BE2EEC69C275}"/>
    <cellStyle name="Normal 4 2 2 5 7 3" xfId="11903" xr:uid="{FE6D876B-FDE4-4FFE-9FBF-70B0311CFD8B}"/>
    <cellStyle name="Normal 4 2 2 5 7 4" xfId="21202" xr:uid="{1A03AB64-5FB1-4545-9C8C-F4F4DA15E9FB}"/>
    <cellStyle name="Normal 4 2 2 5 8" xfId="4729" xr:uid="{00000000-0005-0000-0000-000009130000}"/>
    <cellStyle name="Normal 4 2 2 5 8 2" xfId="14055" xr:uid="{D3649908-96F8-4FCC-A0AA-DDD323329E63}"/>
    <cellStyle name="Normal 4 2 2 5 8 3" xfId="23354" xr:uid="{F96D77E8-BCD4-4B43-AF0E-6152D03A5225}"/>
    <cellStyle name="Normal 4 2 2 5 9" xfId="8855" xr:uid="{894DEE8B-A5CD-4C4E-B41D-DCEB92717109}"/>
    <cellStyle name="Normal 4 2 2 5 9 2" xfId="18179" xr:uid="{1CB9FE63-AB1C-47E0-B917-781855E2179E}"/>
    <cellStyle name="Normal 4 2 2 5 9 3" xfId="27477" xr:uid="{0D5BC9CC-023C-4297-B694-CBC38CD4A632}"/>
    <cellStyle name="Normal 4 2 2 6" xfId="353" xr:uid="{00000000-0005-0000-0000-00000A130000}"/>
    <cellStyle name="Normal 4 2 2 6 10" xfId="19139" xr:uid="{E7823FE9-2DEE-4AE1-920F-BF305950C82E}"/>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4406AAA1-F8CB-4889-AA9F-14DBC318F4E2}"/>
    <cellStyle name="Normal 4 2 2 6 2 2 2 3" xfId="25914" xr:uid="{EDFFBA36-1017-4C03-89E6-03F33577AAEE}"/>
    <cellStyle name="Normal 4 2 2 6 2 2 3" xfId="12398" xr:uid="{BBE9E81D-6FF9-48B8-A4C2-A069690BF99C}"/>
    <cellStyle name="Normal 4 2 2 6 2 2 4" xfId="21697" xr:uid="{1865223D-820F-411B-B004-2D388BBA85B2}"/>
    <cellStyle name="Normal 4 2 2 6 2 3" xfId="5144" xr:uid="{00000000-0005-0000-0000-00000E130000}"/>
    <cellStyle name="Normal 4 2 2 6 2 3 2" xfId="14470" xr:uid="{9A9B9884-C784-486E-A9B8-1F9B96F7DA30}"/>
    <cellStyle name="Normal 4 2 2 6 2 3 3" xfId="23769" xr:uid="{AEEE3EC1-3EF0-4049-9E23-E1E9F3B8221A}"/>
    <cellStyle name="Normal 4 2 2 6 2 4" xfId="9396" xr:uid="{5B10E6C6-987A-4149-BB81-321A07C7666F}"/>
    <cellStyle name="Normal 4 2 2 6 2 4 2" xfId="18711" xr:uid="{D3E8D7B2-E88F-4B4A-947D-08B3D27B9679}"/>
    <cellStyle name="Normal 4 2 2 6 2 4 3" xfId="28008" xr:uid="{8ECD6346-5BCE-4217-8945-C23DDD24DF0E}"/>
    <cellStyle name="Normal 4 2 2 6 2 5" xfId="10253" xr:uid="{F0C4A1CB-C07F-46F4-B47E-0A5B5864FCF2}"/>
    <cellStyle name="Normal 4 2 2 6 2 6" xfId="19552" xr:uid="{40CB0DE8-1CAA-4B82-946C-74BEAEF373D8}"/>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8C527866-517A-4170-BF3C-E2B3A0A7319D}"/>
    <cellStyle name="Normal 4 2 2 6 3 2 2 3" xfId="26327" xr:uid="{691CC5B0-C9AB-4A5A-8A6A-56060E4C94D6}"/>
    <cellStyle name="Normal 4 2 2 6 3 2 3" xfId="12811" xr:uid="{5E0E2D19-4BD8-4388-843C-84463F79EE29}"/>
    <cellStyle name="Normal 4 2 2 6 3 2 4" xfId="22110" xr:uid="{D1476CE9-7F12-4F6F-B786-C7B79DD999C6}"/>
    <cellStyle name="Normal 4 2 2 6 3 3" xfId="5557" xr:uid="{00000000-0005-0000-0000-000012130000}"/>
    <cellStyle name="Normal 4 2 2 6 3 3 2" xfId="14883" xr:uid="{2A5F2F73-1F1F-496D-A310-AF5027BFCA1C}"/>
    <cellStyle name="Normal 4 2 2 6 3 3 3" xfId="24182" xr:uid="{7A48EEC7-8AE8-4F6B-916A-6F7E0D699459}"/>
    <cellStyle name="Normal 4 2 2 6 3 4" xfId="10666" xr:uid="{68A79217-FF5B-4C19-9BF0-C949B396BB23}"/>
    <cellStyle name="Normal 4 2 2 6 3 5" xfId="19965" xr:uid="{A401FA92-DC67-4A6F-BF09-21464FAB7BE7}"/>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2321BCF1-27D6-4D49-ADD8-EC574C0030CD}"/>
    <cellStyle name="Normal 4 2 2 6 4 2 2 3" xfId="26740" xr:uid="{16D30E5F-0481-4ED8-8D81-6D096E9F14FF}"/>
    <cellStyle name="Normal 4 2 2 6 4 2 3" xfId="13224" xr:uid="{854C3259-6A34-4EDA-94FC-51DACE175D10}"/>
    <cellStyle name="Normal 4 2 2 6 4 2 4" xfId="22523" xr:uid="{E061FCE9-4353-42D2-AA78-405A37AE4711}"/>
    <cellStyle name="Normal 4 2 2 6 4 3" xfId="5970" xr:uid="{00000000-0005-0000-0000-000016130000}"/>
    <cellStyle name="Normal 4 2 2 6 4 3 2" xfId="15296" xr:uid="{D973D285-CDE6-43E9-B4A1-4270C19291DD}"/>
    <cellStyle name="Normal 4 2 2 6 4 3 3" xfId="24595" xr:uid="{154F6EF3-25E9-4FFF-9C6E-05F48F0B047D}"/>
    <cellStyle name="Normal 4 2 2 6 4 4" xfId="11079" xr:uid="{97AB1B9D-5EAF-425D-BC3E-05DBC874AE45}"/>
    <cellStyle name="Normal 4 2 2 6 4 5" xfId="20378" xr:uid="{4A1ED557-4FC3-4B1E-93D7-528CBD4F5CDD}"/>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207DD77A-AF1A-4156-8027-23F88269EC11}"/>
    <cellStyle name="Normal 4 2 2 6 5 2 2 3" xfId="27153" xr:uid="{4429558A-E90D-48E6-9C0A-EEBC02D63051}"/>
    <cellStyle name="Normal 4 2 2 6 5 2 3" xfId="13637" xr:uid="{BF40D94D-EADC-4A24-A579-3CDB0EC1646E}"/>
    <cellStyle name="Normal 4 2 2 6 5 2 4" xfId="22936" xr:uid="{B9BE66F2-3383-4712-9614-C6746F122C44}"/>
    <cellStyle name="Normal 4 2 2 6 5 3" xfId="6383" xr:uid="{00000000-0005-0000-0000-00001A130000}"/>
    <cellStyle name="Normal 4 2 2 6 5 3 2" xfId="15709" xr:uid="{3C3A1DF8-129E-44D7-9D11-ED4998A9982E}"/>
    <cellStyle name="Normal 4 2 2 6 5 3 3" xfId="25008" xr:uid="{21983EB1-8E28-4DE1-877D-CE84382BB4D0}"/>
    <cellStyle name="Normal 4 2 2 6 5 4" xfId="11492" xr:uid="{165D3DE1-3299-4C8F-922C-677525ADF84E}"/>
    <cellStyle name="Normal 4 2 2 6 5 5" xfId="20791" xr:uid="{2E948DAF-1394-4CE8-99EB-707C5E3611F6}"/>
    <cellStyle name="Normal 4 2 2 6 6" xfId="2513" xr:uid="{00000000-0005-0000-0000-00001B130000}"/>
    <cellStyle name="Normal 4 2 2 6 6 2" xfId="6796" xr:uid="{00000000-0005-0000-0000-00001C130000}"/>
    <cellStyle name="Normal 4 2 2 6 6 2 2" xfId="16122" xr:uid="{CC5AA3ED-641C-4AD9-B7B9-EC836037DF60}"/>
    <cellStyle name="Normal 4 2 2 6 6 2 3" xfId="25421" xr:uid="{FE5EBB81-26B4-4765-A0AA-8A67DC4C1FC1}"/>
    <cellStyle name="Normal 4 2 2 6 6 3" xfId="11905" xr:uid="{0EC913C5-656E-4995-B25B-C3699D5B0442}"/>
    <cellStyle name="Normal 4 2 2 6 6 4" xfId="21204" xr:uid="{57A71A00-CBC7-4ADB-B4E4-C19FAEE368E7}"/>
    <cellStyle name="Normal 4 2 2 6 7" xfId="4731" xr:uid="{00000000-0005-0000-0000-00001D130000}"/>
    <cellStyle name="Normal 4 2 2 6 7 2" xfId="14057" xr:uid="{34C54304-9599-4321-AD1C-11645566C340}"/>
    <cellStyle name="Normal 4 2 2 6 7 3" xfId="23356" xr:uid="{195AC2A0-7506-4BD0-847D-FCE66D174EFC}"/>
    <cellStyle name="Normal 4 2 2 6 8" xfId="8971" xr:uid="{7BBA3CD4-2D32-439A-A2D5-9F7EB5E5A47E}"/>
    <cellStyle name="Normal 4 2 2 6 8 2" xfId="18295" xr:uid="{2FCC1671-1428-4C7E-BDE9-3F154C1A7E1B}"/>
    <cellStyle name="Normal 4 2 2 6 8 3" xfId="27593" xr:uid="{E61E9BBA-7235-47A0-9286-11FBFC16C6B7}"/>
    <cellStyle name="Normal 4 2 2 6 9" xfId="9840" xr:uid="{4D305A1B-6BCD-4FFA-A8F6-88D06CE0DDE5}"/>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50764612-CCFE-4F1D-A31B-8808188E8FA3}"/>
    <cellStyle name="Normal 4 2 2 7 2 2 3" xfId="25899" xr:uid="{B84D5BD7-357D-433A-91E1-1B3F637DDCC4}"/>
    <cellStyle name="Normal 4 2 2 7 2 3" xfId="12383" xr:uid="{8D7EF44C-C524-4962-83AF-E1D468B34D9A}"/>
    <cellStyle name="Normal 4 2 2 7 2 4" xfId="21682" xr:uid="{EFB46ED5-A0CC-4920-9015-CB791DF8AAF0}"/>
    <cellStyle name="Normal 4 2 2 7 3" xfId="5129" xr:uid="{00000000-0005-0000-0000-000021130000}"/>
    <cellStyle name="Normal 4 2 2 7 3 2" xfId="14455" xr:uid="{465D745C-F19D-4DAD-AC2A-07A0F43E5461}"/>
    <cellStyle name="Normal 4 2 2 7 3 3" xfId="23754" xr:uid="{0ED96807-1C79-4A5E-B8A4-DBC820954AE8}"/>
    <cellStyle name="Normal 4 2 2 7 4" xfId="9174" xr:uid="{5FB177AF-8B2E-4B7E-A1B7-4F6E323AF880}"/>
    <cellStyle name="Normal 4 2 2 7 4 2" xfId="18492" xr:uid="{978FB704-353B-4AC3-A40C-0DE8DE267D80}"/>
    <cellStyle name="Normal 4 2 2 7 4 3" xfId="27789" xr:uid="{A564DF12-14AA-49A8-840F-55C78B3A2813}"/>
    <cellStyle name="Normal 4 2 2 7 5" xfId="10238" xr:uid="{0EEA28E5-BB95-4C2D-A116-6B6372C750FD}"/>
    <cellStyle name="Normal 4 2 2 7 6" xfId="19537" xr:uid="{C7146884-3F2B-4307-BCDA-5B08712FA367}"/>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5EECCE20-7BEE-4AFD-B001-15BA78249E9C}"/>
    <cellStyle name="Normal 4 2 2 8 2 2 3" xfId="26312" xr:uid="{A2893440-3037-491B-B951-F58E67D589EA}"/>
    <cellStyle name="Normal 4 2 2 8 2 3" xfId="12796" xr:uid="{51026E47-FE10-4203-B1F7-C56147EFB23F}"/>
    <cellStyle name="Normal 4 2 2 8 2 4" xfId="22095" xr:uid="{1FD7AD2C-055F-4597-A4FD-740943C9C13E}"/>
    <cellStyle name="Normal 4 2 2 8 3" xfId="5542" xr:uid="{00000000-0005-0000-0000-000025130000}"/>
    <cellStyle name="Normal 4 2 2 8 3 2" xfId="14868" xr:uid="{2CF947F2-4679-4F62-96E0-1F9EB9C5A9CC}"/>
    <cellStyle name="Normal 4 2 2 8 3 3" xfId="24167" xr:uid="{E593C772-F05F-45E2-8A1B-1CE4A2118065}"/>
    <cellStyle name="Normal 4 2 2 8 4" xfId="10651" xr:uid="{958489E1-926C-43A3-B677-3310F7925EB1}"/>
    <cellStyle name="Normal 4 2 2 8 5" xfId="19950" xr:uid="{1F651323-D77A-4456-A97B-F47F7927A031}"/>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515C08F9-AAA2-4704-AE99-B0E78E3ABE95}"/>
    <cellStyle name="Normal 4 2 2 9 2 2 3" xfId="26725" xr:uid="{8DB46921-BB9E-4851-8CC7-D0CA9C854156}"/>
    <cellStyle name="Normal 4 2 2 9 2 3" xfId="13209" xr:uid="{7E360E36-375F-4BA6-A987-9FDFF0422E62}"/>
    <cellStyle name="Normal 4 2 2 9 2 4" xfId="22508" xr:uid="{1EB70AF8-B7B7-4F45-BD4A-E93FC925ABE3}"/>
    <cellStyle name="Normal 4 2 2 9 3" xfId="5955" xr:uid="{00000000-0005-0000-0000-000029130000}"/>
    <cellStyle name="Normal 4 2 2 9 3 2" xfId="15281" xr:uid="{E863E6BD-811E-4B4A-AEEE-F3471134EB3A}"/>
    <cellStyle name="Normal 4 2 2 9 3 3" xfId="24580" xr:uid="{91F225C1-9BA3-4DE4-A6CE-2B3DA35081FE}"/>
    <cellStyle name="Normal 4 2 2 9 4" xfId="11064" xr:uid="{266C8FA9-DFA7-4258-82CF-6B530CB6EAA9}"/>
    <cellStyle name="Normal 4 2 2 9 5" xfId="20363" xr:uid="{A0594A50-739C-40B0-9848-F84D6FEAD889}"/>
    <cellStyle name="Normal 4 2 3" xfId="354" xr:uid="{00000000-0005-0000-0000-00002A130000}"/>
    <cellStyle name="Normal 4 2 4" xfId="355" xr:uid="{00000000-0005-0000-0000-00002B130000}"/>
    <cellStyle name="Normal 4 2 4 10" xfId="4732" xr:uid="{00000000-0005-0000-0000-00002C130000}"/>
    <cellStyle name="Normal 4 2 4 10 2" xfId="14058" xr:uid="{4BB89D25-CA1F-4F2C-A5F1-3354417C1F4A}"/>
    <cellStyle name="Normal 4 2 4 10 3" xfId="23357" xr:uid="{02F2E8BD-6A32-4AAE-8C3F-4F9A5C9D55A8}"/>
    <cellStyle name="Normal 4 2 4 11" xfId="8775" xr:uid="{7AC259AB-9C32-4DC1-A787-2E2187A7C2D6}"/>
    <cellStyle name="Normal 4 2 4 11 2" xfId="18099" xr:uid="{0621F80C-8E83-4837-B015-DDFB05578BE2}"/>
    <cellStyle name="Normal 4 2 4 11 3" xfId="27397" xr:uid="{58ED6E6A-DB05-4C5B-BB5F-D7E65D694491}"/>
    <cellStyle name="Normal 4 2 4 12" xfId="9841" xr:uid="{0D6F7678-60E0-4743-9285-FA5F80405CA2}"/>
    <cellStyle name="Normal 4 2 4 13" xfId="19140" xr:uid="{D1FD32E4-E2E5-4797-A2F1-83F834C8F6D2}"/>
    <cellStyle name="Normal 4 2 4 2" xfId="356" xr:uid="{00000000-0005-0000-0000-00002D130000}"/>
    <cellStyle name="Normal 4 2 4 2 10" xfId="8820" xr:uid="{8B50D4F4-4786-467C-8322-69D665B73C2B}"/>
    <cellStyle name="Normal 4 2 4 2 10 2" xfId="18144" xr:uid="{570F081F-AEC3-4D33-A3E4-7875351B7E2B}"/>
    <cellStyle name="Normal 4 2 4 2 10 3" xfId="27442" xr:uid="{4A8B074C-4309-4317-B240-860266D18CBA}"/>
    <cellStyle name="Normal 4 2 4 2 11" xfId="9842" xr:uid="{64AC4BD9-5F62-4EF3-AA12-DBB1273E286A}"/>
    <cellStyle name="Normal 4 2 4 2 12" xfId="19141" xr:uid="{637F5F30-10E9-4368-A89B-6F0E4FDAB6E9}"/>
    <cellStyle name="Normal 4 2 4 2 2" xfId="357" xr:uid="{00000000-0005-0000-0000-00002E130000}"/>
    <cellStyle name="Normal 4 2 4 2 2 10" xfId="9843" xr:uid="{F6331B33-4FC6-4F9C-A584-A7B0B1FE677A}"/>
    <cellStyle name="Normal 4 2 4 2 2 11" xfId="19142" xr:uid="{34BE411D-1F28-40C6-BC2E-E68540E23E93}"/>
    <cellStyle name="Normal 4 2 4 2 2 2" xfId="358" xr:uid="{00000000-0005-0000-0000-00002F130000}"/>
    <cellStyle name="Normal 4 2 4 2 2 2 10" xfId="19143" xr:uid="{E43748D7-5027-4C9F-BD5C-44351E697CB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D9AC1864-B74F-4581-88DF-F60199B74648}"/>
    <cellStyle name="Normal 4 2 4 2 2 2 2 2 2 3" xfId="25918" xr:uid="{4C4A2C4C-4DB3-472B-A745-3E6DC1E4422C}"/>
    <cellStyle name="Normal 4 2 4 2 2 2 2 2 3" xfId="12402" xr:uid="{74C02778-2B18-4524-A902-BFC159E76714}"/>
    <cellStyle name="Normal 4 2 4 2 2 2 2 2 4" xfId="21701" xr:uid="{555FE0FC-B71C-4EB4-BAEB-E1D03BF75BC5}"/>
    <cellStyle name="Normal 4 2 4 2 2 2 2 3" xfId="5148" xr:uid="{00000000-0005-0000-0000-000033130000}"/>
    <cellStyle name="Normal 4 2 4 2 2 2 2 3 2" xfId="14474" xr:uid="{72F6A079-5868-4360-B1AC-0A9406A612E2}"/>
    <cellStyle name="Normal 4 2 4 2 2 2 2 3 3" xfId="23773" xr:uid="{D2ADFEEC-0C2B-4825-A996-B057AF2ABB18}"/>
    <cellStyle name="Normal 4 2 4 2 2 2 2 4" xfId="9555" xr:uid="{31AE7BD4-4F26-4658-9939-15FCE733560E}"/>
    <cellStyle name="Normal 4 2 4 2 2 2 2 4 2" xfId="18870" xr:uid="{52EB6217-1FFE-4D55-BEDB-16AEDCEF5FC1}"/>
    <cellStyle name="Normal 4 2 4 2 2 2 2 4 3" xfId="28167" xr:uid="{BAF769FD-AA5D-4D38-82FB-059FC1A3C12C}"/>
    <cellStyle name="Normal 4 2 4 2 2 2 2 5" xfId="10257" xr:uid="{AD13D9C6-E8D0-4D3A-B6B0-852DE47C3C78}"/>
    <cellStyle name="Normal 4 2 4 2 2 2 2 6" xfId="19556" xr:uid="{1314D160-6C37-4E0C-81C1-B54723B072FF}"/>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0F2B3607-0826-4FBD-9604-9CC0770C0E21}"/>
    <cellStyle name="Normal 4 2 4 2 2 2 3 2 2 3" xfId="26331" xr:uid="{8DCB24AE-2A54-486B-8CC7-91DD02322C8F}"/>
    <cellStyle name="Normal 4 2 4 2 2 2 3 2 3" xfId="12815" xr:uid="{7939008E-7CCB-406C-AB2E-53D339D6514F}"/>
    <cellStyle name="Normal 4 2 4 2 2 2 3 2 4" xfId="22114" xr:uid="{C290323F-0843-444D-BBC5-C33D9609B44A}"/>
    <cellStyle name="Normal 4 2 4 2 2 2 3 3" xfId="5561" xr:uid="{00000000-0005-0000-0000-000037130000}"/>
    <cellStyle name="Normal 4 2 4 2 2 2 3 3 2" xfId="14887" xr:uid="{0C398F9C-0313-4D9E-8091-6C902A944AFC}"/>
    <cellStyle name="Normal 4 2 4 2 2 2 3 3 3" xfId="24186" xr:uid="{DA9A9F37-89C7-455A-95C4-5BD54269B8EB}"/>
    <cellStyle name="Normal 4 2 4 2 2 2 3 4" xfId="10670" xr:uid="{AD610B3C-5964-40F6-A025-0B08D77965CC}"/>
    <cellStyle name="Normal 4 2 4 2 2 2 3 5" xfId="19969" xr:uid="{EEFFE490-3F28-491B-958B-F56A9C3993BB}"/>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549114E4-8B6C-40D8-81E6-0D7A457DFBF2}"/>
    <cellStyle name="Normal 4 2 4 2 2 2 4 2 2 3" xfId="26744" xr:uid="{D8A4CE3E-0B07-4C62-9A44-69C413CF9C82}"/>
    <cellStyle name="Normal 4 2 4 2 2 2 4 2 3" xfId="13228" xr:uid="{6CD9ECF0-77EB-4571-85F6-29CBE2E229F9}"/>
    <cellStyle name="Normal 4 2 4 2 2 2 4 2 4" xfId="22527" xr:uid="{0FBD4292-948F-4972-8888-87D70B36EA19}"/>
    <cellStyle name="Normal 4 2 4 2 2 2 4 3" xfId="5974" xr:uid="{00000000-0005-0000-0000-00003B130000}"/>
    <cellStyle name="Normal 4 2 4 2 2 2 4 3 2" xfId="15300" xr:uid="{3F432193-F361-4706-B48B-52D129F41D5A}"/>
    <cellStyle name="Normal 4 2 4 2 2 2 4 3 3" xfId="24599" xr:uid="{7770D8C0-ADBD-4C76-9332-8D87A7789DE8}"/>
    <cellStyle name="Normal 4 2 4 2 2 2 4 4" xfId="11083" xr:uid="{97E154BB-99FB-4C28-B278-E9F8993C7229}"/>
    <cellStyle name="Normal 4 2 4 2 2 2 4 5" xfId="20382" xr:uid="{985CB78C-0702-4221-9EB3-895F6CDA5085}"/>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9A352A31-49AE-44F6-BF75-6C6FE7C6E338}"/>
    <cellStyle name="Normal 4 2 4 2 2 2 5 2 2 3" xfId="27157" xr:uid="{30639AA2-FB2B-4147-8216-03546C08400C}"/>
    <cellStyle name="Normal 4 2 4 2 2 2 5 2 3" xfId="13641" xr:uid="{1AA5AB65-EF02-4DC6-B187-37688AA25620}"/>
    <cellStyle name="Normal 4 2 4 2 2 2 5 2 4" xfId="22940" xr:uid="{EE9DED20-F34C-42BF-91BE-B74A687B73EF}"/>
    <cellStyle name="Normal 4 2 4 2 2 2 5 3" xfId="6387" xr:uid="{00000000-0005-0000-0000-00003F130000}"/>
    <cellStyle name="Normal 4 2 4 2 2 2 5 3 2" xfId="15713" xr:uid="{5E411122-EF43-4B9B-8BE5-91731748781B}"/>
    <cellStyle name="Normal 4 2 4 2 2 2 5 3 3" xfId="25012" xr:uid="{3138FF1F-7A6F-4570-A7FC-68C5E37688C0}"/>
    <cellStyle name="Normal 4 2 4 2 2 2 5 4" xfId="11496" xr:uid="{C5433782-C43B-48D1-BF43-2E0B3C7E274C}"/>
    <cellStyle name="Normal 4 2 4 2 2 2 5 5" xfId="20795" xr:uid="{7C6DC02C-9977-41CA-8E20-B172F68EB39B}"/>
    <cellStyle name="Normal 4 2 4 2 2 2 6" xfId="2517" xr:uid="{00000000-0005-0000-0000-000040130000}"/>
    <cellStyle name="Normal 4 2 4 2 2 2 6 2" xfId="6800" xr:uid="{00000000-0005-0000-0000-000041130000}"/>
    <cellStyle name="Normal 4 2 4 2 2 2 6 2 2" xfId="16126" xr:uid="{3D13CBD1-040C-4294-83BA-3D7E4C0566DB}"/>
    <cellStyle name="Normal 4 2 4 2 2 2 6 2 3" xfId="25425" xr:uid="{537E7174-10FE-4BFD-8ACF-487F127D2895}"/>
    <cellStyle name="Normal 4 2 4 2 2 2 6 3" xfId="11909" xr:uid="{31E53E56-9CA8-4D36-968E-B94B62BE0F93}"/>
    <cellStyle name="Normal 4 2 4 2 2 2 6 4" xfId="21208" xr:uid="{FD8661C8-65B7-400E-92BB-B0B8FF22D6EE}"/>
    <cellStyle name="Normal 4 2 4 2 2 2 7" xfId="4735" xr:uid="{00000000-0005-0000-0000-000042130000}"/>
    <cellStyle name="Normal 4 2 4 2 2 2 7 2" xfId="14061" xr:uid="{29462FD1-D841-41AE-ACC5-CF4B3A2582D7}"/>
    <cellStyle name="Normal 4 2 4 2 2 2 7 3" xfId="23360" xr:uid="{1DA10C0F-73B8-476E-BC9B-B00D63374A99}"/>
    <cellStyle name="Normal 4 2 4 2 2 2 8" xfId="9130" xr:uid="{E4AAEB37-D6CE-4BD9-A166-BE52F754DAC4}"/>
    <cellStyle name="Normal 4 2 4 2 2 2 8 2" xfId="18454" xr:uid="{5100EBE6-5040-4D40-B28C-497DE8F929BD}"/>
    <cellStyle name="Normal 4 2 4 2 2 2 8 3" xfId="27752" xr:uid="{B587B38C-E39F-40A0-94CC-C840B427F52A}"/>
    <cellStyle name="Normal 4 2 4 2 2 2 9" xfId="9844" xr:uid="{C2FE1D03-E93B-4DEF-BB22-1C6C97F99F8E}"/>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6937347C-E332-4F46-A0EF-E6BD1BA4A6A3}"/>
    <cellStyle name="Normal 4 2 4 2 2 3 2 2 3" xfId="25917" xr:uid="{D9B1CF55-41F1-4F4A-9293-47C3444B28FC}"/>
    <cellStyle name="Normal 4 2 4 2 2 3 2 3" xfId="12401" xr:uid="{D10488E0-BE31-48EE-8C46-CB6604E04708}"/>
    <cellStyle name="Normal 4 2 4 2 2 3 2 4" xfId="21700" xr:uid="{1A8F80F2-9165-48AA-8FB2-1D829C619E0E}"/>
    <cellStyle name="Normal 4 2 4 2 2 3 3" xfId="5147" xr:uid="{00000000-0005-0000-0000-000046130000}"/>
    <cellStyle name="Normal 4 2 4 2 2 3 3 2" xfId="14473" xr:uid="{E5DF8196-4AF1-4F98-B0CA-802B12B16087}"/>
    <cellStyle name="Normal 4 2 4 2 2 3 3 3" xfId="23772" xr:uid="{744A586F-14AC-403E-BB8B-4F7C6EAE6115}"/>
    <cellStyle name="Normal 4 2 4 2 2 3 4" xfId="9348" xr:uid="{E9E52CF6-B3CF-482F-B496-A22B0452951D}"/>
    <cellStyle name="Normal 4 2 4 2 2 3 4 2" xfId="18663" xr:uid="{8BAC34A5-1355-4652-AE5B-194DD4450505}"/>
    <cellStyle name="Normal 4 2 4 2 2 3 4 3" xfId="27960" xr:uid="{F3949AC9-9DDE-4CEF-97B2-0EC03B02994F}"/>
    <cellStyle name="Normal 4 2 4 2 2 3 5" xfId="10256" xr:uid="{73850E9E-D867-4E74-A17B-89CE9961BE37}"/>
    <cellStyle name="Normal 4 2 4 2 2 3 6" xfId="19555" xr:uid="{65662025-3C14-4595-A74E-3A527BCE32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423220CD-40F0-4B77-A2AF-DD3927AF0EAC}"/>
    <cellStyle name="Normal 4 2 4 2 2 4 2 2 3" xfId="26330" xr:uid="{7A4D8443-7DDA-44A6-B777-82AC5BB83667}"/>
    <cellStyle name="Normal 4 2 4 2 2 4 2 3" xfId="12814" xr:uid="{D1910459-1816-49D0-AD9B-A6412C70B579}"/>
    <cellStyle name="Normal 4 2 4 2 2 4 2 4" xfId="22113" xr:uid="{D12B777A-C81C-4A96-B218-32B10893FA13}"/>
    <cellStyle name="Normal 4 2 4 2 2 4 3" xfId="5560" xr:uid="{00000000-0005-0000-0000-00004A130000}"/>
    <cellStyle name="Normal 4 2 4 2 2 4 3 2" xfId="14886" xr:uid="{D2585BEE-E6B8-4063-AEEE-6D403AB15E61}"/>
    <cellStyle name="Normal 4 2 4 2 2 4 3 3" xfId="24185" xr:uid="{79EF98C2-8EF0-4239-8242-1D63D4BE449F}"/>
    <cellStyle name="Normal 4 2 4 2 2 4 4" xfId="10669" xr:uid="{86236B2F-6790-4786-A472-CED79E67C55B}"/>
    <cellStyle name="Normal 4 2 4 2 2 4 5" xfId="19968" xr:uid="{3DF910F4-F2B8-45B9-AC15-EBCEC7151F16}"/>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19113D04-6E97-4BFC-AF43-166A52B7A98F}"/>
    <cellStyle name="Normal 4 2 4 2 2 5 2 2 3" xfId="26743" xr:uid="{964ABBD4-06F2-41BD-BACF-11102AC885C7}"/>
    <cellStyle name="Normal 4 2 4 2 2 5 2 3" xfId="13227" xr:uid="{4841FF17-D3F6-4A1B-92C9-14C91DB9AEBC}"/>
    <cellStyle name="Normal 4 2 4 2 2 5 2 4" xfId="22526" xr:uid="{2575A775-391D-4F1C-8900-17ED637EDAEF}"/>
    <cellStyle name="Normal 4 2 4 2 2 5 3" xfId="5973" xr:uid="{00000000-0005-0000-0000-00004E130000}"/>
    <cellStyle name="Normal 4 2 4 2 2 5 3 2" xfId="15299" xr:uid="{3781390C-392A-48F4-866A-B242EEC1F4FB}"/>
    <cellStyle name="Normal 4 2 4 2 2 5 3 3" xfId="24598" xr:uid="{E094A88E-6CD4-4353-9A41-E500148F6F6F}"/>
    <cellStyle name="Normal 4 2 4 2 2 5 4" xfId="11082" xr:uid="{AAC5FE2F-842F-4D90-BA02-7AF36A509A1C}"/>
    <cellStyle name="Normal 4 2 4 2 2 5 5" xfId="20381" xr:uid="{42E28060-4CBC-4E22-91F7-19D939676557}"/>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2FA78E36-032C-4249-BE73-32DD64125B12}"/>
    <cellStyle name="Normal 4 2 4 2 2 6 2 2 3" xfId="27156" xr:uid="{DFEFCBAF-BC43-41A7-9C3F-9EC28CE4A5AE}"/>
    <cellStyle name="Normal 4 2 4 2 2 6 2 3" xfId="13640" xr:uid="{4EA0B0CC-CDA8-473F-BE66-FE7DA2C3BF38}"/>
    <cellStyle name="Normal 4 2 4 2 2 6 2 4" xfId="22939" xr:uid="{E167C38A-8846-44B3-BD16-1611D1783D9F}"/>
    <cellStyle name="Normal 4 2 4 2 2 6 3" xfId="6386" xr:uid="{00000000-0005-0000-0000-000052130000}"/>
    <cellStyle name="Normal 4 2 4 2 2 6 3 2" xfId="15712" xr:uid="{08565256-FE6B-4A73-969E-724DC40DCBAC}"/>
    <cellStyle name="Normal 4 2 4 2 2 6 3 3" xfId="25011" xr:uid="{ACFDA057-9D59-440F-AB96-C81844A03266}"/>
    <cellStyle name="Normal 4 2 4 2 2 6 4" xfId="11495" xr:uid="{9050F8F1-C52B-45FD-8B5F-B494CA8C51C5}"/>
    <cellStyle name="Normal 4 2 4 2 2 6 5" xfId="20794" xr:uid="{A90B133E-9602-4CA3-83DB-64C57FF7B22A}"/>
    <cellStyle name="Normal 4 2 4 2 2 7" xfId="2516" xr:uid="{00000000-0005-0000-0000-000053130000}"/>
    <cellStyle name="Normal 4 2 4 2 2 7 2" xfId="6799" xr:uid="{00000000-0005-0000-0000-000054130000}"/>
    <cellStyle name="Normal 4 2 4 2 2 7 2 2" xfId="16125" xr:uid="{0E39935F-E51F-4221-A9CA-D432BBFB201E}"/>
    <cellStyle name="Normal 4 2 4 2 2 7 2 3" xfId="25424" xr:uid="{23DFF470-6B01-4308-B64A-7AC80D2A2168}"/>
    <cellStyle name="Normal 4 2 4 2 2 7 3" xfId="11908" xr:uid="{2F415808-4F0A-4406-812B-F9EBF9AC1F44}"/>
    <cellStyle name="Normal 4 2 4 2 2 7 4" xfId="21207" xr:uid="{B11A89A6-07C3-4751-97D5-CDBA66702C28}"/>
    <cellStyle name="Normal 4 2 4 2 2 8" xfId="4734" xr:uid="{00000000-0005-0000-0000-000055130000}"/>
    <cellStyle name="Normal 4 2 4 2 2 8 2" xfId="14060" xr:uid="{2683A054-F760-4899-ACE3-440ED664F57A}"/>
    <cellStyle name="Normal 4 2 4 2 2 8 3" xfId="23359" xr:uid="{995BE701-F839-4654-9F1B-B5D5A63D683F}"/>
    <cellStyle name="Normal 4 2 4 2 2 9" xfId="8923" xr:uid="{2BBE6936-33B8-4624-9F85-2EE83C62ACB2}"/>
    <cellStyle name="Normal 4 2 4 2 2 9 2" xfId="18247" xr:uid="{694C67E2-2424-46D8-877C-C6F7173EE231}"/>
    <cellStyle name="Normal 4 2 4 2 2 9 3" xfId="27545" xr:uid="{784EA63E-2789-45B1-B75A-574CCB8091B9}"/>
    <cellStyle name="Normal 4 2 4 2 3" xfId="359" xr:uid="{00000000-0005-0000-0000-000056130000}"/>
    <cellStyle name="Normal 4 2 4 2 3 10" xfId="19144" xr:uid="{7910982B-87AD-401C-AC0C-9B780DC8678B}"/>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BC4E8864-64B9-4AB5-B2F3-37BCBC2AF99C}"/>
    <cellStyle name="Normal 4 2 4 2 3 2 2 2 3" xfId="25919" xr:uid="{EE67BEE9-EAD9-4108-9DE9-22E3DC2440F5}"/>
    <cellStyle name="Normal 4 2 4 2 3 2 2 3" xfId="12403" xr:uid="{52E8672C-6986-4A9A-915B-C9DFD2992AF4}"/>
    <cellStyle name="Normal 4 2 4 2 3 2 2 4" xfId="21702" xr:uid="{4D969580-9083-430C-BD2D-99FB2366FB45}"/>
    <cellStyle name="Normal 4 2 4 2 3 2 3" xfId="5149" xr:uid="{00000000-0005-0000-0000-00005A130000}"/>
    <cellStyle name="Normal 4 2 4 2 3 2 3 2" xfId="14475" xr:uid="{51FF26D4-2224-473F-9291-76AE59672534}"/>
    <cellStyle name="Normal 4 2 4 2 3 2 3 3" xfId="23774" xr:uid="{5BD7E5F8-0653-4863-85B6-BACB74F84683}"/>
    <cellStyle name="Normal 4 2 4 2 3 2 4" xfId="9452" xr:uid="{58F46659-8F00-4705-8554-54AEBE9B8A77}"/>
    <cellStyle name="Normal 4 2 4 2 3 2 4 2" xfId="18767" xr:uid="{D6BF8362-04A1-4C63-A400-9A6D74701495}"/>
    <cellStyle name="Normal 4 2 4 2 3 2 4 3" xfId="28064" xr:uid="{2F0F42D2-CBB6-494A-86F8-A61AB474319F}"/>
    <cellStyle name="Normal 4 2 4 2 3 2 5" xfId="10258" xr:uid="{165E5537-A9E5-4848-BA5D-72E99C198CE8}"/>
    <cellStyle name="Normal 4 2 4 2 3 2 6" xfId="19557" xr:uid="{747C31A2-BB95-414E-AB82-B6C7029A792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44CFD990-5674-4920-89DD-03C12D82AD95}"/>
    <cellStyle name="Normal 4 2 4 2 3 3 2 2 3" xfId="26332" xr:uid="{11DBC494-8FE3-4573-92D6-54242933E0F7}"/>
    <cellStyle name="Normal 4 2 4 2 3 3 2 3" xfId="12816" xr:uid="{B0C964FB-1A5A-4E63-AF08-EA553B2E6407}"/>
    <cellStyle name="Normal 4 2 4 2 3 3 2 4" xfId="22115" xr:uid="{D881DC85-0C54-45EB-857E-6F023FCB0BB6}"/>
    <cellStyle name="Normal 4 2 4 2 3 3 3" xfId="5562" xr:uid="{00000000-0005-0000-0000-00005E130000}"/>
    <cellStyle name="Normal 4 2 4 2 3 3 3 2" xfId="14888" xr:uid="{33D7A663-F17E-4ECB-A12E-B3BB51222544}"/>
    <cellStyle name="Normal 4 2 4 2 3 3 3 3" xfId="24187" xr:uid="{252172C2-5F4D-4FFE-B4B0-5ED49B1E5088}"/>
    <cellStyle name="Normal 4 2 4 2 3 3 4" xfId="10671" xr:uid="{87DBF66D-FF08-4CAD-BB83-6058579E96AA}"/>
    <cellStyle name="Normal 4 2 4 2 3 3 5" xfId="19970" xr:uid="{A1C6B3E9-8428-434B-845A-2D1E743E6586}"/>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EBE18B58-046B-4EE2-A00D-2DE03B69BD0E}"/>
    <cellStyle name="Normal 4 2 4 2 3 4 2 2 3" xfId="26745" xr:uid="{4FDDCB4F-A04A-4BDC-989E-8812D57AA816}"/>
    <cellStyle name="Normal 4 2 4 2 3 4 2 3" xfId="13229" xr:uid="{3166C63C-C6F8-4B80-B0C8-B1E2A4952117}"/>
    <cellStyle name="Normal 4 2 4 2 3 4 2 4" xfId="22528" xr:uid="{8BF7E8EB-C2A2-4904-BCB9-57728190BCE3}"/>
    <cellStyle name="Normal 4 2 4 2 3 4 3" xfId="5975" xr:uid="{00000000-0005-0000-0000-000062130000}"/>
    <cellStyle name="Normal 4 2 4 2 3 4 3 2" xfId="15301" xr:uid="{154DCFAE-0D6B-415A-BFEF-A674A359AC83}"/>
    <cellStyle name="Normal 4 2 4 2 3 4 3 3" xfId="24600" xr:uid="{5874D14D-EF2C-4D2C-BD2B-52246539655F}"/>
    <cellStyle name="Normal 4 2 4 2 3 4 4" xfId="11084" xr:uid="{5350535A-CED9-4528-953B-9298168D25DB}"/>
    <cellStyle name="Normal 4 2 4 2 3 4 5" xfId="20383" xr:uid="{12762D1E-5182-4A56-8617-3781A5928C3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08F86793-7C51-4CEA-BFCC-E571FD07AFF6}"/>
    <cellStyle name="Normal 4 2 4 2 3 5 2 2 3" xfId="27158" xr:uid="{E19ED397-1002-43A6-BBA8-4920A88A5D89}"/>
    <cellStyle name="Normal 4 2 4 2 3 5 2 3" xfId="13642" xr:uid="{D8FAF9CA-8DC7-40EE-9727-F2E046241D52}"/>
    <cellStyle name="Normal 4 2 4 2 3 5 2 4" xfId="22941" xr:uid="{7533B1EC-9C0B-4B01-99F3-8477441F06D5}"/>
    <cellStyle name="Normal 4 2 4 2 3 5 3" xfId="6388" xr:uid="{00000000-0005-0000-0000-000066130000}"/>
    <cellStyle name="Normal 4 2 4 2 3 5 3 2" xfId="15714" xr:uid="{771EDC5B-B0B3-4C23-8562-EC33FCC341FE}"/>
    <cellStyle name="Normal 4 2 4 2 3 5 3 3" xfId="25013" xr:uid="{E69C4B93-39D2-48DD-BF5E-104709737A78}"/>
    <cellStyle name="Normal 4 2 4 2 3 5 4" xfId="11497" xr:uid="{E4945D81-B5E8-4818-8730-5D0E915E3B7B}"/>
    <cellStyle name="Normal 4 2 4 2 3 5 5" xfId="20796" xr:uid="{3420C60F-4821-407F-ACF8-DCE005EE96E8}"/>
    <cellStyle name="Normal 4 2 4 2 3 6" xfId="2518" xr:uid="{00000000-0005-0000-0000-000067130000}"/>
    <cellStyle name="Normal 4 2 4 2 3 6 2" xfId="6801" xr:uid="{00000000-0005-0000-0000-000068130000}"/>
    <cellStyle name="Normal 4 2 4 2 3 6 2 2" xfId="16127" xr:uid="{9A0614E2-715A-4F45-95B2-37B45E8B1CDD}"/>
    <cellStyle name="Normal 4 2 4 2 3 6 2 3" xfId="25426" xr:uid="{6FC2CA97-D1E5-46CA-B489-83E881EFC064}"/>
    <cellStyle name="Normal 4 2 4 2 3 6 3" xfId="11910" xr:uid="{77A408F2-909A-4C86-A529-EACFFFB75D44}"/>
    <cellStyle name="Normal 4 2 4 2 3 6 4" xfId="21209" xr:uid="{BF8E1BE4-E021-4740-B477-529E01579B90}"/>
    <cellStyle name="Normal 4 2 4 2 3 7" xfId="4736" xr:uid="{00000000-0005-0000-0000-000069130000}"/>
    <cellStyle name="Normal 4 2 4 2 3 7 2" xfId="14062" xr:uid="{11C68F71-3D9E-4725-9003-92E6C2F695FC}"/>
    <cellStyle name="Normal 4 2 4 2 3 7 3" xfId="23361" xr:uid="{2D3F66FE-16E5-4F91-8B4F-486D879A6948}"/>
    <cellStyle name="Normal 4 2 4 2 3 8" xfId="9027" xr:uid="{DA430019-E492-48BB-ACD5-5BE853C50FBC}"/>
    <cellStyle name="Normal 4 2 4 2 3 8 2" xfId="18351" xr:uid="{9069EB27-6DC0-403E-A068-1F8FD05CB905}"/>
    <cellStyle name="Normal 4 2 4 2 3 8 3" xfId="27649" xr:uid="{4AD0AC29-4170-4D19-9784-1034ED4EF531}"/>
    <cellStyle name="Normal 4 2 4 2 3 9" xfId="9845" xr:uid="{5433133B-F11A-4076-9904-5C1C845EAEEA}"/>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54BAEF4B-F5CC-4F3C-9170-D14C8519774C}"/>
    <cellStyle name="Normal 4 2 4 2 4 2 2 3" xfId="25916" xr:uid="{B94356C6-82F8-4FE6-9D5B-A82746A7F00D}"/>
    <cellStyle name="Normal 4 2 4 2 4 2 3" xfId="12400" xr:uid="{45D5F448-9B5F-432B-ADB3-27DFBA520181}"/>
    <cellStyle name="Normal 4 2 4 2 4 2 4" xfId="21699" xr:uid="{B95BEF81-80B9-44B9-B143-EE8FFB0CD968}"/>
    <cellStyle name="Normal 4 2 4 2 4 3" xfId="5146" xr:uid="{00000000-0005-0000-0000-00006D130000}"/>
    <cellStyle name="Normal 4 2 4 2 4 3 2" xfId="14472" xr:uid="{AB5C31DD-206B-42EC-94D2-F41C83447117}"/>
    <cellStyle name="Normal 4 2 4 2 4 3 3" xfId="23771" xr:uid="{2027AF5F-7BD3-407E-876E-1FBCEB51DF6A}"/>
    <cellStyle name="Normal 4 2 4 2 4 4" xfId="9245" xr:uid="{A0383DD8-843E-4601-922A-5CDD979D0589}"/>
    <cellStyle name="Normal 4 2 4 2 4 4 2" xfId="18560" xr:uid="{373ABB20-4C5E-48FD-83DE-73DB1E3D9E8C}"/>
    <cellStyle name="Normal 4 2 4 2 4 4 3" xfId="27857" xr:uid="{F8883828-C55D-4E36-9D88-33AB99F03C93}"/>
    <cellStyle name="Normal 4 2 4 2 4 5" xfId="10255" xr:uid="{978920E0-B698-4188-A75E-A92D649A993A}"/>
    <cellStyle name="Normal 4 2 4 2 4 6" xfId="19554" xr:uid="{9F8A4139-DD07-4FEA-8856-FECC089320E0}"/>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78AE52DC-7EDD-4FCC-AEEF-675D1F5895FB}"/>
    <cellStyle name="Normal 4 2 4 2 5 2 2 3" xfId="26329" xr:uid="{DA6DDDFC-41A7-4008-A775-98EC642327F6}"/>
    <cellStyle name="Normal 4 2 4 2 5 2 3" xfId="12813" xr:uid="{9FFB9B40-C49D-4CA8-8831-248991D17670}"/>
    <cellStyle name="Normal 4 2 4 2 5 2 4" xfId="22112" xr:uid="{5D4CE759-C218-490A-9B56-D9A5058D7254}"/>
    <cellStyle name="Normal 4 2 4 2 5 3" xfId="5559" xr:uid="{00000000-0005-0000-0000-000071130000}"/>
    <cellStyle name="Normal 4 2 4 2 5 3 2" xfId="14885" xr:uid="{F3D18963-42DF-47B5-8E04-7D242BAF9E29}"/>
    <cellStyle name="Normal 4 2 4 2 5 3 3" xfId="24184" xr:uid="{FD6AE440-B149-4ED6-B244-C887478D2B7C}"/>
    <cellStyle name="Normal 4 2 4 2 5 4" xfId="10668" xr:uid="{23AAD215-3D21-4C0A-973F-120D48D2371A}"/>
    <cellStyle name="Normal 4 2 4 2 5 5" xfId="19967" xr:uid="{4948DCD4-077C-40BF-BA37-4D34CB01A1EE}"/>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EB683122-DD08-449F-9444-DB88EAAB7D40}"/>
    <cellStyle name="Normal 4 2 4 2 6 2 2 3" xfId="26742" xr:uid="{BD8F688F-A556-4423-84EC-82502E4896B1}"/>
    <cellStyle name="Normal 4 2 4 2 6 2 3" xfId="13226" xr:uid="{A487E7AE-FE6F-4C66-B1FC-BFECDA44AAD4}"/>
    <cellStyle name="Normal 4 2 4 2 6 2 4" xfId="22525" xr:uid="{E48E5FA2-6311-42EB-8CD1-241FCC3835E9}"/>
    <cellStyle name="Normal 4 2 4 2 6 3" xfId="5972" xr:uid="{00000000-0005-0000-0000-000075130000}"/>
    <cellStyle name="Normal 4 2 4 2 6 3 2" xfId="15298" xr:uid="{9441DD6B-8FF4-42F3-A1B4-B83D4011597C}"/>
    <cellStyle name="Normal 4 2 4 2 6 3 3" xfId="24597" xr:uid="{4E3393ED-9D6E-4925-808A-5328E4D9C86F}"/>
    <cellStyle name="Normal 4 2 4 2 6 4" xfId="11081" xr:uid="{0D884FE7-5287-4C21-8ED3-CE3C168172F6}"/>
    <cellStyle name="Normal 4 2 4 2 6 5" xfId="20380" xr:uid="{19172E67-4446-4E57-8966-1A97BD217107}"/>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76DC36E6-D14F-4B83-8DB8-5419F397535A}"/>
    <cellStyle name="Normal 4 2 4 2 7 2 2 3" xfId="27155" xr:uid="{7204B521-D434-4A07-8308-AD8F6725DBF4}"/>
    <cellStyle name="Normal 4 2 4 2 7 2 3" xfId="13639" xr:uid="{5801405E-99BD-4B3D-BA3E-37F91E26385B}"/>
    <cellStyle name="Normal 4 2 4 2 7 2 4" xfId="22938" xr:uid="{6A54A57F-FF54-4295-B34A-1AD7E4C7D275}"/>
    <cellStyle name="Normal 4 2 4 2 7 3" xfId="6385" xr:uid="{00000000-0005-0000-0000-000079130000}"/>
    <cellStyle name="Normal 4 2 4 2 7 3 2" xfId="15711" xr:uid="{D8D27F14-CA65-4924-A13C-406A536C5F71}"/>
    <cellStyle name="Normal 4 2 4 2 7 3 3" xfId="25010" xr:uid="{20E1CD99-952C-4211-937C-79695E069B3D}"/>
    <cellStyle name="Normal 4 2 4 2 7 4" xfId="11494" xr:uid="{3F01147B-2CDE-415E-91DB-2812DA18B443}"/>
    <cellStyle name="Normal 4 2 4 2 7 5" xfId="20793" xr:uid="{BE85BAF9-5761-4F9F-9844-4B1F36DCB87B}"/>
    <cellStyle name="Normal 4 2 4 2 8" xfId="2515" xr:uid="{00000000-0005-0000-0000-00007A130000}"/>
    <cellStyle name="Normal 4 2 4 2 8 2" xfId="6798" xr:uid="{00000000-0005-0000-0000-00007B130000}"/>
    <cellStyle name="Normal 4 2 4 2 8 2 2" xfId="16124" xr:uid="{AE07E07C-754B-42C1-9826-462906FB6FFF}"/>
    <cellStyle name="Normal 4 2 4 2 8 2 3" xfId="25423" xr:uid="{88A02808-CFF2-4C55-9F4A-A41B04689DED}"/>
    <cellStyle name="Normal 4 2 4 2 8 3" xfId="11907" xr:uid="{E7283D6E-92B7-4E66-8430-5E273C3B740C}"/>
    <cellStyle name="Normal 4 2 4 2 8 4" xfId="21206" xr:uid="{27279B66-F8F3-484C-946F-CA75CBDF0ECB}"/>
    <cellStyle name="Normal 4 2 4 2 9" xfId="4733" xr:uid="{00000000-0005-0000-0000-00007C130000}"/>
    <cellStyle name="Normal 4 2 4 2 9 2" xfId="14059" xr:uid="{C83B6868-5990-44A4-BC75-79EF05BC12CF}"/>
    <cellStyle name="Normal 4 2 4 2 9 3" xfId="23358" xr:uid="{7649D119-48E4-427B-8DD9-E92B462D61F5}"/>
    <cellStyle name="Normal 4 2 4 3" xfId="360" xr:uid="{00000000-0005-0000-0000-00007D130000}"/>
    <cellStyle name="Normal 4 2 4 3 10" xfId="9846" xr:uid="{413CAF40-5225-4E4C-8262-B9C71E04F8C2}"/>
    <cellStyle name="Normal 4 2 4 3 11" xfId="19145" xr:uid="{F1334BC3-0112-4B7F-B60A-52628A363A38}"/>
    <cellStyle name="Normal 4 2 4 3 2" xfId="361" xr:uid="{00000000-0005-0000-0000-00007E130000}"/>
    <cellStyle name="Normal 4 2 4 3 2 10" xfId="19146" xr:uid="{D75E3AEF-A3BE-4485-B86B-E1F517BBB303}"/>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BD49E9FE-C472-4337-BB58-A2293FB8ACB8}"/>
    <cellStyle name="Normal 4 2 4 3 2 2 2 2 3" xfId="25921" xr:uid="{22EF1C84-0B6D-4FBE-9F2E-6ACC0FDEB112}"/>
    <cellStyle name="Normal 4 2 4 3 2 2 2 3" xfId="12405" xr:uid="{D36F0A14-DD5B-4511-9B1A-9CE520EF3E2B}"/>
    <cellStyle name="Normal 4 2 4 3 2 2 2 4" xfId="21704" xr:uid="{F97DA738-D44F-4657-8E2F-11ACBAB9BF7C}"/>
    <cellStyle name="Normal 4 2 4 3 2 2 3" xfId="5151" xr:uid="{00000000-0005-0000-0000-000082130000}"/>
    <cellStyle name="Normal 4 2 4 3 2 2 3 2" xfId="14477" xr:uid="{8AC01F9C-2383-456D-A3DE-44958E345ADC}"/>
    <cellStyle name="Normal 4 2 4 3 2 2 3 3" xfId="23776" xr:uid="{C13A33E5-446E-4452-ADDC-38332BEB8A6E}"/>
    <cellStyle name="Normal 4 2 4 3 2 2 4" xfId="9510" xr:uid="{AA534F18-B7F5-44D9-AE7D-03E6DE45E4F9}"/>
    <cellStyle name="Normal 4 2 4 3 2 2 4 2" xfId="18825" xr:uid="{137D1652-5E1F-472D-A9B1-0AA55E2C3558}"/>
    <cellStyle name="Normal 4 2 4 3 2 2 4 3" xfId="28122" xr:uid="{574F5001-B7DC-467D-975C-4AAF66A73490}"/>
    <cellStyle name="Normal 4 2 4 3 2 2 5" xfId="10260" xr:uid="{9B87CD51-63CA-4257-83A8-6939A00D29F6}"/>
    <cellStyle name="Normal 4 2 4 3 2 2 6" xfId="19559" xr:uid="{8D28A414-2A56-4E59-A459-030950CD67F8}"/>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1DFE13B3-AC52-4981-A604-9296CEF1252C}"/>
    <cellStyle name="Normal 4 2 4 3 2 3 2 2 3" xfId="26334" xr:uid="{3F4914C6-3E04-405A-B094-4DA659470B3B}"/>
    <cellStyle name="Normal 4 2 4 3 2 3 2 3" xfId="12818" xr:uid="{4850044C-B413-48E1-9122-830B1E603055}"/>
    <cellStyle name="Normal 4 2 4 3 2 3 2 4" xfId="22117" xr:uid="{4B686744-E4CA-4FB9-91BA-39AD27BA2D70}"/>
    <cellStyle name="Normal 4 2 4 3 2 3 3" xfId="5564" xr:uid="{00000000-0005-0000-0000-000086130000}"/>
    <cellStyle name="Normal 4 2 4 3 2 3 3 2" xfId="14890" xr:uid="{70888857-7F19-435D-B01D-0C57A309F878}"/>
    <cellStyle name="Normal 4 2 4 3 2 3 3 3" xfId="24189" xr:uid="{FB967CB6-E677-47F5-B151-939BD619B163}"/>
    <cellStyle name="Normal 4 2 4 3 2 3 4" xfId="10673" xr:uid="{BD60DDE0-72AD-418F-B701-384A383E7C17}"/>
    <cellStyle name="Normal 4 2 4 3 2 3 5" xfId="19972" xr:uid="{FB8428C6-649E-4457-939F-9BE16FC6877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E42016FE-B608-47E0-92EA-DE701E7A3027}"/>
    <cellStyle name="Normal 4 2 4 3 2 4 2 2 3" xfId="26747" xr:uid="{9DF7425F-D8F7-4ADB-B250-9A9CAFC6A40A}"/>
    <cellStyle name="Normal 4 2 4 3 2 4 2 3" xfId="13231" xr:uid="{4C0AC359-4520-464E-AD17-E5A843B65560}"/>
    <cellStyle name="Normal 4 2 4 3 2 4 2 4" xfId="22530" xr:uid="{873E9CD7-CC80-404C-9CE3-07AD49367107}"/>
    <cellStyle name="Normal 4 2 4 3 2 4 3" xfId="5977" xr:uid="{00000000-0005-0000-0000-00008A130000}"/>
    <cellStyle name="Normal 4 2 4 3 2 4 3 2" xfId="15303" xr:uid="{EB6054C6-50F6-4395-9A87-B0C407DA5978}"/>
    <cellStyle name="Normal 4 2 4 3 2 4 3 3" xfId="24602" xr:uid="{A8D5FC57-4CC9-4B77-8898-BB918A1038DC}"/>
    <cellStyle name="Normal 4 2 4 3 2 4 4" xfId="11086" xr:uid="{B8F37DB0-602A-420F-AB5A-30210C80A926}"/>
    <cellStyle name="Normal 4 2 4 3 2 4 5" xfId="20385" xr:uid="{3AE2A812-583A-4743-BD64-A8B2B912321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C1A33D46-46A4-418D-B09A-0069CD8ACD51}"/>
    <cellStyle name="Normal 4 2 4 3 2 5 2 2 3" xfId="27160" xr:uid="{778AC9EB-1E87-40C7-861B-ABC8A02BC636}"/>
    <cellStyle name="Normal 4 2 4 3 2 5 2 3" xfId="13644" xr:uid="{DC5F290D-B273-4D57-BD82-03B1D0AC4199}"/>
    <cellStyle name="Normal 4 2 4 3 2 5 2 4" xfId="22943" xr:uid="{8303BAB7-F93B-4DBD-B007-1052BB978E1C}"/>
    <cellStyle name="Normal 4 2 4 3 2 5 3" xfId="6390" xr:uid="{00000000-0005-0000-0000-00008E130000}"/>
    <cellStyle name="Normal 4 2 4 3 2 5 3 2" xfId="15716" xr:uid="{170460AC-48A1-47FF-95E1-1B1B356DF279}"/>
    <cellStyle name="Normal 4 2 4 3 2 5 3 3" xfId="25015" xr:uid="{95CCEDF6-3F2F-4F20-98B6-BF1A90AD041D}"/>
    <cellStyle name="Normal 4 2 4 3 2 5 4" xfId="11499" xr:uid="{792C12AC-70C3-4A95-81F2-63D9C687BC33}"/>
    <cellStyle name="Normal 4 2 4 3 2 5 5" xfId="20798" xr:uid="{3CF983F2-71FC-423D-8B5B-4377DE84AAA9}"/>
    <cellStyle name="Normal 4 2 4 3 2 6" xfId="2520" xr:uid="{00000000-0005-0000-0000-00008F130000}"/>
    <cellStyle name="Normal 4 2 4 3 2 6 2" xfId="6803" xr:uid="{00000000-0005-0000-0000-000090130000}"/>
    <cellStyle name="Normal 4 2 4 3 2 6 2 2" xfId="16129" xr:uid="{79920DB7-35FA-4E4F-94C4-D06E2F0CB611}"/>
    <cellStyle name="Normal 4 2 4 3 2 6 2 3" xfId="25428" xr:uid="{79853E35-2B42-4631-95B3-B39DFE7034D4}"/>
    <cellStyle name="Normal 4 2 4 3 2 6 3" xfId="11912" xr:uid="{4DE8ECC6-CC1A-4146-98F7-2FED6E500090}"/>
    <cellStyle name="Normal 4 2 4 3 2 6 4" xfId="21211" xr:uid="{26C19893-B518-4F48-8D03-76A874135B2C}"/>
    <cellStyle name="Normal 4 2 4 3 2 7" xfId="4738" xr:uid="{00000000-0005-0000-0000-000091130000}"/>
    <cellStyle name="Normal 4 2 4 3 2 7 2" xfId="14064" xr:uid="{58D017B6-C5DE-4977-AE01-77A9826CA20D}"/>
    <cellStyle name="Normal 4 2 4 3 2 7 3" xfId="23363" xr:uid="{E159A1A5-3673-4A02-9750-0B799D13E64C}"/>
    <cellStyle name="Normal 4 2 4 3 2 8" xfId="9085" xr:uid="{0181E53C-86DC-4588-8447-D559FCF01541}"/>
    <cellStyle name="Normal 4 2 4 3 2 8 2" xfId="18409" xr:uid="{1302E959-3176-4516-BC18-64A7CBC13224}"/>
    <cellStyle name="Normal 4 2 4 3 2 8 3" xfId="27707" xr:uid="{A77C7E62-D9D1-4000-8C3E-63C89F472D63}"/>
    <cellStyle name="Normal 4 2 4 3 2 9" xfId="9847" xr:uid="{5ED568E4-A4F2-498C-A154-7996A736CF54}"/>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9ECBB2CF-4A0A-4090-9D6E-F08DC0D3FF38}"/>
    <cellStyle name="Normal 4 2 4 3 3 2 2 3" xfId="25920" xr:uid="{3F8D04C0-70B3-47EF-8586-DF430286FD9D}"/>
    <cellStyle name="Normal 4 2 4 3 3 2 3" xfId="12404" xr:uid="{1DFB5B0E-EAE0-4E8D-A30F-C89B4BAE9305}"/>
    <cellStyle name="Normal 4 2 4 3 3 2 4" xfId="21703" xr:uid="{78946468-A825-415E-8C73-FB65ACA72995}"/>
    <cellStyle name="Normal 4 2 4 3 3 3" xfId="5150" xr:uid="{00000000-0005-0000-0000-000095130000}"/>
    <cellStyle name="Normal 4 2 4 3 3 3 2" xfId="14476" xr:uid="{2B55797F-1316-4E54-B683-834F65AD98A1}"/>
    <cellStyle name="Normal 4 2 4 3 3 3 3" xfId="23775" xr:uid="{7A379937-F544-4F8A-A324-44800C160DBA}"/>
    <cellStyle name="Normal 4 2 4 3 3 4" xfId="9303" xr:uid="{51CE977A-E9B9-47DD-B6CE-3ECF34A578F1}"/>
    <cellStyle name="Normal 4 2 4 3 3 4 2" xfId="18618" xr:uid="{ACD6447D-E3C3-4D46-B7A1-AF853803F020}"/>
    <cellStyle name="Normal 4 2 4 3 3 4 3" xfId="27915" xr:uid="{5CB285ED-5F60-4723-A706-52D76CC2F304}"/>
    <cellStyle name="Normal 4 2 4 3 3 5" xfId="10259" xr:uid="{4D80D9E4-DBB9-4F7A-A8E5-F5E0E025C782}"/>
    <cellStyle name="Normal 4 2 4 3 3 6" xfId="19558" xr:uid="{E3B4C31B-52DD-4717-8E90-6276ED8D5B7A}"/>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A608F375-7BEE-470C-854F-AFF398F542E1}"/>
    <cellStyle name="Normal 4 2 4 3 4 2 2 3" xfId="26333" xr:uid="{10FC0866-358D-4B47-B609-B7F3FBE67186}"/>
    <cellStyle name="Normal 4 2 4 3 4 2 3" xfId="12817" xr:uid="{3B09E804-3B17-4036-8E1E-41B7ADC6EEBA}"/>
    <cellStyle name="Normal 4 2 4 3 4 2 4" xfId="22116" xr:uid="{DD4679B9-FF02-4F1D-AA9A-2B4696D7F4C1}"/>
    <cellStyle name="Normal 4 2 4 3 4 3" xfId="5563" xr:uid="{00000000-0005-0000-0000-000099130000}"/>
    <cellStyle name="Normal 4 2 4 3 4 3 2" xfId="14889" xr:uid="{217CB2B4-E963-402F-910B-F36CE2E8ED6E}"/>
    <cellStyle name="Normal 4 2 4 3 4 3 3" xfId="24188" xr:uid="{B0AE7361-A55E-435D-AA23-A9E7724422C4}"/>
    <cellStyle name="Normal 4 2 4 3 4 4" xfId="10672" xr:uid="{A179FA02-D238-486E-ACCD-E8952B5B36E5}"/>
    <cellStyle name="Normal 4 2 4 3 4 5" xfId="19971" xr:uid="{FE1B24B6-1B80-451D-9396-33F7A78B85A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ACA70F40-6285-4DAE-95AD-3A8121B29A10}"/>
    <cellStyle name="Normal 4 2 4 3 5 2 2 3" xfId="26746" xr:uid="{5A191BCD-FE7D-4246-9876-B473FE616241}"/>
    <cellStyle name="Normal 4 2 4 3 5 2 3" xfId="13230" xr:uid="{247D0F24-93EA-40B9-92D4-C17404CCE5B4}"/>
    <cellStyle name="Normal 4 2 4 3 5 2 4" xfId="22529" xr:uid="{B2CD0520-43E2-45EE-BF61-6FF5998FFD49}"/>
    <cellStyle name="Normal 4 2 4 3 5 3" xfId="5976" xr:uid="{00000000-0005-0000-0000-00009D130000}"/>
    <cellStyle name="Normal 4 2 4 3 5 3 2" xfId="15302" xr:uid="{4085FD7B-1B64-4C3C-8F4C-B78A1E132C17}"/>
    <cellStyle name="Normal 4 2 4 3 5 3 3" xfId="24601" xr:uid="{62E53CCB-1BB5-48B5-8DB6-0C1C3C496107}"/>
    <cellStyle name="Normal 4 2 4 3 5 4" xfId="11085" xr:uid="{D010D9E8-2733-4C79-85AC-F19B4F213E22}"/>
    <cellStyle name="Normal 4 2 4 3 5 5" xfId="20384" xr:uid="{89447BF5-329D-4F26-B1FC-90D90FF2027D}"/>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4929FC6E-379A-4B37-9400-EBCD8AF452F3}"/>
    <cellStyle name="Normal 4 2 4 3 6 2 2 3" xfId="27159" xr:uid="{3B689FDF-FEE8-4F55-A489-D508A6897817}"/>
    <cellStyle name="Normal 4 2 4 3 6 2 3" xfId="13643" xr:uid="{00098998-4877-40A1-A211-9EEC27970F3F}"/>
    <cellStyle name="Normal 4 2 4 3 6 2 4" xfId="22942" xr:uid="{4C5176C2-E472-485B-9CD3-E8443E117223}"/>
    <cellStyle name="Normal 4 2 4 3 6 3" xfId="6389" xr:uid="{00000000-0005-0000-0000-0000A1130000}"/>
    <cellStyle name="Normal 4 2 4 3 6 3 2" xfId="15715" xr:uid="{7705833D-F9FC-44EC-8CD4-0DDF506C687D}"/>
    <cellStyle name="Normal 4 2 4 3 6 3 3" xfId="25014" xr:uid="{665C4DC2-3BC1-439A-A161-6AE1AE4E1ECB}"/>
    <cellStyle name="Normal 4 2 4 3 6 4" xfId="11498" xr:uid="{87F885C4-02E6-4EC0-8013-81B05AFF723A}"/>
    <cellStyle name="Normal 4 2 4 3 6 5" xfId="20797" xr:uid="{EE3A301D-11A2-47B6-BDB9-D92AEB84B80B}"/>
    <cellStyle name="Normal 4 2 4 3 7" xfId="2519" xr:uid="{00000000-0005-0000-0000-0000A2130000}"/>
    <cellStyle name="Normal 4 2 4 3 7 2" xfId="6802" xr:uid="{00000000-0005-0000-0000-0000A3130000}"/>
    <cellStyle name="Normal 4 2 4 3 7 2 2" xfId="16128" xr:uid="{0BC3C68F-79F3-40D1-8AB0-368212734F8F}"/>
    <cellStyle name="Normal 4 2 4 3 7 2 3" xfId="25427" xr:uid="{C4C45532-274B-460B-82A5-510470BA1BDB}"/>
    <cellStyle name="Normal 4 2 4 3 7 3" xfId="11911" xr:uid="{28A35C19-4711-4644-BA49-23B10A30C926}"/>
    <cellStyle name="Normal 4 2 4 3 7 4" xfId="21210" xr:uid="{91DBD6F1-F17D-4C1D-B3E8-131E54C81DD6}"/>
    <cellStyle name="Normal 4 2 4 3 8" xfId="4737" xr:uid="{00000000-0005-0000-0000-0000A4130000}"/>
    <cellStyle name="Normal 4 2 4 3 8 2" xfId="14063" xr:uid="{44541A4D-92A4-4913-91B1-84AD886730EF}"/>
    <cellStyle name="Normal 4 2 4 3 8 3" xfId="23362" xr:uid="{BA8180F9-31E2-4730-8B31-F757786AC1E1}"/>
    <cellStyle name="Normal 4 2 4 3 9" xfId="8878" xr:uid="{B73EE68A-BBFC-4E7A-B773-E14FCCFC8837}"/>
    <cellStyle name="Normal 4 2 4 3 9 2" xfId="18202" xr:uid="{B386A62C-2A0E-4496-AA0F-0582B4CC79B0}"/>
    <cellStyle name="Normal 4 2 4 3 9 3" xfId="27500" xr:uid="{474954F4-CA70-4454-B03F-0557D1E1B6AC}"/>
    <cellStyle name="Normal 4 2 4 4" xfId="362" xr:uid="{00000000-0005-0000-0000-0000A5130000}"/>
    <cellStyle name="Normal 4 2 4 4 10" xfId="19147" xr:uid="{7B0C62C8-25A0-4E1E-B1F9-DF8277B500B9}"/>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687DB0C9-B475-4DF0-90E7-CB9C550DF30E}"/>
    <cellStyle name="Normal 4 2 4 4 2 2 2 3" xfId="25922" xr:uid="{BEE48D03-79B1-4C33-845E-80880F64ECA7}"/>
    <cellStyle name="Normal 4 2 4 4 2 2 3" xfId="12406" xr:uid="{9288970F-9556-4DE2-8DA9-5B4AA59C2C76}"/>
    <cellStyle name="Normal 4 2 4 4 2 2 4" xfId="21705" xr:uid="{550F066E-59CD-42B1-AFF3-1B5A2BFDA71B}"/>
    <cellStyle name="Normal 4 2 4 4 2 3" xfId="5152" xr:uid="{00000000-0005-0000-0000-0000A9130000}"/>
    <cellStyle name="Normal 4 2 4 4 2 3 2" xfId="14478" xr:uid="{99D6706D-0BE6-4143-8C6D-AE474A8BF840}"/>
    <cellStyle name="Normal 4 2 4 4 2 3 3" xfId="23777" xr:uid="{F7D48B1E-BAEC-43AA-A9FF-35469047CFC7}"/>
    <cellStyle name="Normal 4 2 4 4 2 4" xfId="9407" xr:uid="{5D8D6A7A-388E-41EC-80E9-28307FA015D6}"/>
    <cellStyle name="Normal 4 2 4 4 2 4 2" xfId="18722" xr:uid="{5BFEC149-7D36-4BCE-B123-0CA8EAEF4DD9}"/>
    <cellStyle name="Normal 4 2 4 4 2 4 3" xfId="28019" xr:uid="{C8F3AE4B-DC94-4636-A6F3-9939049E841D}"/>
    <cellStyle name="Normal 4 2 4 4 2 5" xfId="10261" xr:uid="{74CAF2E5-63E7-4759-A085-875615401127}"/>
    <cellStyle name="Normal 4 2 4 4 2 6" xfId="19560" xr:uid="{A63BC8CE-F980-467C-BD98-9DB9BF467CBE}"/>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ACD11F97-B85C-4AC3-91FE-C881916C2094}"/>
    <cellStyle name="Normal 4 2 4 4 3 2 2 3" xfId="26335" xr:uid="{A17D90A9-C96F-459B-B3DA-55889E295F4B}"/>
    <cellStyle name="Normal 4 2 4 4 3 2 3" xfId="12819" xr:uid="{2A3D2F7C-613D-4338-8CBD-5329C45DCFBE}"/>
    <cellStyle name="Normal 4 2 4 4 3 2 4" xfId="22118" xr:uid="{3C0EFBB5-D560-473A-98FB-7F4079A5D240}"/>
    <cellStyle name="Normal 4 2 4 4 3 3" xfId="5565" xr:uid="{00000000-0005-0000-0000-0000AD130000}"/>
    <cellStyle name="Normal 4 2 4 4 3 3 2" xfId="14891" xr:uid="{921E5AD6-908A-48C4-8077-33E889B2ADE1}"/>
    <cellStyle name="Normal 4 2 4 4 3 3 3" xfId="24190" xr:uid="{F11213D9-2F90-47C9-A14F-B119D6FBC090}"/>
    <cellStyle name="Normal 4 2 4 4 3 4" xfId="10674" xr:uid="{A67188D6-9DCD-4E55-ABF4-AEDB90EBA4EE}"/>
    <cellStyle name="Normal 4 2 4 4 3 5" xfId="19973" xr:uid="{0A964CF3-31BB-46BC-B3D4-8A205713B957}"/>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BF35E068-C024-4D15-AA49-C4C7DACE2802}"/>
    <cellStyle name="Normal 4 2 4 4 4 2 2 3" xfId="26748" xr:uid="{69A3BD48-9C2D-4AAD-B8EA-9D83A956C600}"/>
    <cellStyle name="Normal 4 2 4 4 4 2 3" xfId="13232" xr:uid="{F3C74150-1F8B-4F5D-97B8-30EFCAC64405}"/>
    <cellStyle name="Normal 4 2 4 4 4 2 4" xfId="22531" xr:uid="{6470DD6F-362D-4DD2-BE46-0B5BECE0B9E4}"/>
    <cellStyle name="Normal 4 2 4 4 4 3" xfId="5978" xr:uid="{00000000-0005-0000-0000-0000B1130000}"/>
    <cellStyle name="Normal 4 2 4 4 4 3 2" xfId="15304" xr:uid="{7D8E65C1-DDB3-4CF7-9A89-19F8C89B3FA5}"/>
    <cellStyle name="Normal 4 2 4 4 4 3 3" xfId="24603" xr:uid="{28EA0B45-1452-4AA9-A9C0-3E5435C90751}"/>
    <cellStyle name="Normal 4 2 4 4 4 4" xfId="11087" xr:uid="{8FA8EDED-B4F7-434B-8ACD-CC1C6E855C05}"/>
    <cellStyle name="Normal 4 2 4 4 4 5" xfId="20386" xr:uid="{A82CA15B-3E4E-4C0D-9052-58CC21EC44B3}"/>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047AC075-5227-46EB-885E-5E5C5D5FBFF4}"/>
    <cellStyle name="Normal 4 2 4 4 5 2 2 3" xfId="27161" xr:uid="{BFA1027C-B8CA-4065-A5D5-9B8FF6DCEF0E}"/>
    <cellStyle name="Normal 4 2 4 4 5 2 3" xfId="13645" xr:uid="{3F0EEC77-38EF-4467-AC9E-726E80EB6575}"/>
    <cellStyle name="Normal 4 2 4 4 5 2 4" xfId="22944" xr:uid="{15562FB8-B8BA-4532-970B-753BC39EE303}"/>
    <cellStyle name="Normal 4 2 4 4 5 3" xfId="6391" xr:uid="{00000000-0005-0000-0000-0000B5130000}"/>
    <cellStyle name="Normal 4 2 4 4 5 3 2" xfId="15717" xr:uid="{90A14985-84F5-46C3-BA78-7BA6FF2AE0EF}"/>
    <cellStyle name="Normal 4 2 4 4 5 3 3" xfId="25016" xr:uid="{9D72871A-35EE-4C14-ACFB-44E3FE55CA9C}"/>
    <cellStyle name="Normal 4 2 4 4 5 4" xfId="11500" xr:uid="{610C8B32-795E-4982-8AE5-FA5B153079B5}"/>
    <cellStyle name="Normal 4 2 4 4 5 5" xfId="20799" xr:uid="{22290596-08F4-475D-8975-44E808E4A684}"/>
    <cellStyle name="Normal 4 2 4 4 6" xfId="2521" xr:uid="{00000000-0005-0000-0000-0000B6130000}"/>
    <cellStyle name="Normal 4 2 4 4 6 2" xfId="6804" xr:uid="{00000000-0005-0000-0000-0000B7130000}"/>
    <cellStyle name="Normal 4 2 4 4 6 2 2" xfId="16130" xr:uid="{11D2371E-5C2B-4AF2-B82D-ABA93B5CFE3C}"/>
    <cellStyle name="Normal 4 2 4 4 6 2 3" xfId="25429" xr:uid="{4B6DB671-D826-4196-8909-54141082F2B5}"/>
    <cellStyle name="Normal 4 2 4 4 6 3" xfId="11913" xr:uid="{8B917D92-1F18-4B2C-9ED3-8B261CFCCDC1}"/>
    <cellStyle name="Normal 4 2 4 4 6 4" xfId="21212" xr:uid="{B935275C-2027-40B9-A1E2-D54AF8B86397}"/>
    <cellStyle name="Normal 4 2 4 4 7" xfId="4739" xr:uid="{00000000-0005-0000-0000-0000B8130000}"/>
    <cellStyle name="Normal 4 2 4 4 7 2" xfId="14065" xr:uid="{C4FA2979-7154-4EE8-938F-EBD64B782675}"/>
    <cellStyle name="Normal 4 2 4 4 7 3" xfId="23364" xr:uid="{9DC6561F-EA1A-42B3-AEAC-9A6A5D46CA90}"/>
    <cellStyle name="Normal 4 2 4 4 8" xfId="8982" xr:uid="{4C273C9B-E12E-4EF2-812F-666600229207}"/>
    <cellStyle name="Normal 4 2 4 4 8 2" xfId="18306" xr:uid="{F1BAA24B-820D-4FB0-BFCE-6F3CC6B7C230}"/>
    <cellStyle name="Normal 4 2 4 4 8 3" xfId="27604" xr:uid="{17C89361-A0B8-4E1C-9288-3C11BFC417E4}"/>
    <cellStyle name="Normal 4 2 4 4 9" xfId="9848" xr:uid="{B713ABDA-E26B-45FA-A29E-B04664C41F08}"/>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2DC134A9-ABEA-4B85-B0BD-160FBB36266B}"/>
    <cellStyle name="Normal 4 2 4 5 2 2 3" xfId="25915" xr:uid="{2E7620A8-FDC7-4464-B94C-2291B496E278}"/>
    <cellStyle name="Normal 4 2 4 5 2 3" xfId="12399" xr:uid="{F7074253-4CEF-4396-A6EF-CDFC6ECAF2AE}"/>
    <cellStyle name="Normal 4 2 4 5 2 4" xfId="21698" xr:uid="{341D5CD8-2C2B-4EED-B3DA-545875923C73}"/>
    <cellStyle name="Normal 4 2 4 5 3" xfId="5145" xr:uid="{00000000-0005-0000-0000-0000BC130000}"/>
    <cellStyle name="Normal 4 2 4 5 3 2" xfId="14471" xr:uid="{17396AB1-BF0A-4C12-BC19-8E6C1F8A3D65}"/>
    <cellStyle name="Normal 4 2 4 5 3 3" xfId="23770" xr:uid="{ABA7976E-A539-459D-8540-B03A1C2A7AD0}"/>
    <cellStyle name="Normal 4 2 4 5 4" xfId="9199" xr:uid="{1A9A2DC3-2FEA-4A30-A92C-84708E9B2741}"/>
    <cellStyle name="Normal 4 2 4 5 4 2" xfId="18515" xr:uid="{B9AF6A00-A301-4463-BA1A-2E372E8C7DA1}"/>
    <cellStyle name="Normal 4 2 4 5 4 3" xfId="27812" xr:uid="{42F956ED-AA42-40A0-9D17-1736460CDE38}"/>
    <cellStyle name="Normal 4 2 4 5 5" xfId="10254" xr:uid="{6CC2057A-25F6-4131-97C6-378DAC19906A}"/>
    <cellStyle name="Normal 4 2 4 5 6" xfId="19553" xr:uid="{870B7EB2-3DE5-4F13-9242-A488DF0BB52B}"/>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DDA86092-D85A-404F-8600-5B1B33313383}"/>
    <cellStyle name="Normal 4 2 4 6 2 2 3" xfId="26328" xr:uid="{3DE8AD72-81F7-446A-B440-F899A8A968FC}"/>
    <cellStyle name="Normal 4 2 4 6 2 3" xfId="12812" xr:uid="{B3483958-6005-406A-A095-27C57D36DF42}"/>
    <cellStyle name="Normal 4 2 4 6 2 4" xfId="22111" xr:uid="{2414E702-085A-498C-A827-850C69283282}"/>
    <cellStyle name="Normal 4 2 4 6 3" xfId="5558" xr:uid="{00000000-0005-0000-0000-0000C0130000}"/>
    <cellStyle name="Normal 4 2 4 6 3 2" xfId="14884" xr:uid="{34B0374A-BB03-4530-B56A-5E3B615F9B1C}"/>
    <cellStyle name="Normal 4 2 4 6 3 3" xfId="24183" xr:uid="{34CEF6DF-8136-4089-8806-31C748EC5210}"/>
    <cellStyle name="Normal 4 2 4 6 4" xfId="10667" xr:uid="{75758DD9-07C6-46BB-A45B-37D852F2467F}"/>
    <cellStyle name="Normal 4 2 4 6 5" xfId="19966" xr:uid="{DAAAD6B7-BC1F-4681-B1F9-0CD45F31C623}"/>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1F846A54-EC24-471D-92D1-1D6801B21FCE}"/>
    <cellStyle name="Normal 4 2 4 7 2 2 3" xfId="26741" xr:uid="{F1153279-0FC1-43E1-82DF-5CC5986535D7}"/>
    <cellStyle name="Normal 4 2 4 7 2 3" xfId="13225" xr:uid="{68F37274-5A93-45E6-8846-6B2136DCC225}"/>
    <cellStyle name="Normal 4 2 4 7 2 4" xfId="22524" xr:uid="{D1AF4BCC-71E2-4566-923F-718D66E9C8EC}"/>
    <cellStyle name="Normal 4 2 4 7 3" xfId="5971" xr:uid="{00000000-0005-0000-0000-0000C4130000}"/>
    <cellStyle name="Normal 4 2 4 7 3 2" xfId="15297" xr:uid="{1A848443-A197-4FD2-83E1-20081493F339}"/>
    <cellStyle name="Normal 4 2 4 7 3 3" xfId="24596" xr:uid="{92D0660A-1396-437D-B982-83A017C92F10}"/>
    <cellStyle name="Normal 4 2 4 7 4" xfId="11080" xr:uid="{603A8354-561C-4438-8D4B-CE86EB52AADB}"/>
    <cellStyle name="Normal 4 2 4 7 5" xfId="20379" xr:uid="{EB80DCDF-D7B1-4FE3-B55F-9D551126FFD8}"/>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6F0BCB62-BC93-450C-92BC-9DA3CA653F05}"/>
    <cellStyle name="Normal 4 2 4 8 2 2 3" xfId="27154" xr:uid="{0FAFFB8B-B4A2-4F03-B70C-76331D0E0161}"/>
    <cellStyle name="Normal 4 2 4 8 2 3" xfId="13638" xr:uid="{E19E5A3A-8DCD-40B0-BBB2-D0785F5992BE}"/>
    <cellStyle name="Normal 4 2 4 8 2 4" xfId="22937" xr:uid="{B997EC96-62AA-4D11-9A3C-040BB5B3F4C5}"/>
    <cellStyle name="Normal 4 2 4 8 3" xfId="6384" xr:uid="{00000000-0005-0000-0000-0000C8130000}"/>
    <cellStyle name="Normal 4 2 4 8 3 2" xfId="15710" xr:uid="{CDE56DBE-8B3D-446C-8056-DDBA5C3D85EF}"/>
    <cellStyle name="Normal 4 2 4 8 3 3" xfId="25009" xr:uid="{2EE5EA41-F6E9-4BB6-97D1-F631DBDD97F5}"/>
    <cellStyle name="Normal 4 2 4 8 4" xfId="11493" xr:uid="{53183627-3F7D-4894-BE56-C39804089935}"/>
    <cellStyle name="Normal 4 2 4 8 5" xfId="20792" xr:uid="{14EC4FEB-0388-4133-92AF-FCAA40C06974}"/>
    <cellStyle name="Normal 4 2 4 9" xfId="2514" xr:uid="{00000000-0005-0000-0000-0000C9130000}"/>
    <cellStyle name="Normal 4 2 4 9 2" xfId="6797" xr:uid="{00000000-0005-0000-0000-0000CA130000}"/>
    <cellStyle name="Normal 4 2 4 9 2 2" xfId="16123" xr:uid="{17E18D7A-C984-468C-B08B-9168091A3D96}"/>
    <cellStyle name="Normal 4 2 4 9 2 3" xfId="25422" xr:uid="{E9FC6D38-6B15-4207-92AD-8C23B0B8DB9F}"/>
    <cellStyle name="Normal 4 2 4 9 3" xfId="11906" xr:uid="{2EAC1CF3-40F0-469C-B933-0A47E739194D}"/>
    <cellStyle name="Normal 4 2 4 9 4" xfId="21205" xr:uid="{83BA0613-03F5-4597-847C-510FC80BAB42}"/>
    <cellStyle name="Normal 4 2 5" xfId="363" xr:uid="{00000000-0005-0000-0000-0000CB130000}"/>
    <cellStyle name="Normal 4 2 5 10" xfId="9849" xr:uid="{42EC1F36-3993-4EBF-8D90-5D7DEBAD80D9}"/>
    <cellStyle name="Normal 4 2 5 11" xfId="19148" xr:uid="{E6C3BE60-E43F-4EFC-AF24-D5D23284797B}"/>
    <cellStyle name="Normal 4 2 5 2" xfId="364" xr:uid="{00000000-0005-0000-0000-0000CC130000}"/>
    <cellStyle name="Normal 4 2 5 2 10" xfId="19149" xr:uid="{204CF75F-401A-449C-9649-73A68710C9AF}"/>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7035409F-A15F-4ABE-86F3-D981C1D77458}"/>
    <cellStyle name="Normal 4 2 5 2 2 2 2 3" xfId="25924" xr:uid="{89881B91-74A9-431A-A31F-98441AAE026A}"/>
    <cellStyle name="Normal 4 2 5 2 2 2 3" xfId="12408" xr:uid="{CC5EC72B-FAF4-420F-B210-2579CFE0AB40}"/>
    <cellStyle name="Normal 4 2 5 2 2 2 4" xfId="21707" xr:uid="{2B4597F5-C535-41C3-A18B-33550C4FC2DB}"/>
    <cellStyle name="Normal 4 2 5 2 2 3" xfId="5154" xr:uid="{00000000-0005-0000-0000-0000D0130000}"/>
    <cellStyle name="Normal 4 2 5 2 2 3 2" xfId="14480" xr:uid="{4E4F3DEE-7A6D-4D7A-9ACF-F4FEABFFDD5C}"/>
    <cellStyle name="Normal 4 2 5 2 2 3 3" xfId="23779" xr:uid="{8190BB41-52D8-43C3-BB1C-F478D038C1ED}"/>
    <cellStyle name="Normal 4 2 5 2 2 4" xfId="9478" xr:uid="{9FEAEEC2-067D-4244-BB0F-0858128140EB}"/>
    <cellStyle name="Normal 4 2 5 2 2 4 2" xfId="18793" xr:uid="{6BEA1076-6519-47DE-8CA6-E29E276A6BB1}"/>
    <cellStyle name="Normal 4 2 5 2 2 4 3" xfId="28090" xr:uid="{85A8E60E-C004-4A16-8D65-F66DE70DFD7C}"/>
    <cellStyle name="Normal 4 2 5 2 2 5" xfId="10263" xr:uid="{BF7B5F17-50BA-4EA3-8994-207A5730CFB4}"/>
    <cellStyle name="Normal 4 2 5 2 2 6" xfId="19562" xr:uid="{BB16A6A3-4003-4F2E-B8A2-56A9CD124B7D}"/>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084A6DF7-F3AC-44B5-A6D0-382A58BAD8E7}"/>
    <cellStyle name="Normal 4 2 5 2 3 2 2 3" xfId="26337" xr:uid="{F28BB06C-D3F2-4DA1-95D3-076205982192}"/>
    <cellStyle name="Normal 4 2 5 2 3 2 3" xfId="12821" xr:uid="{E8AF69F5-7784-447F-BEDC-11136AACB214}"/>
    <cellStyle name="Normal 4 2 5 2 3 2 4" xfId="22120" xr:uid="{E426B4BF-5FC1-4AEB-86F1-CCEA1052C549}"/>
    <cellStyle name="Normal 4 2 5 2 3 3" xfId="5567" xr:uid="{00000000-0005-0000-0000-0000D4130000}"/>
    <cellStyle name="Normal 4 2 5 2 3 3 2" xfId="14893" xr:uid="{42A7A581-3A65-4726-B5C8-2B92CC77AD2D}"/>
    <cellStyle name="Normal 4 2 5 2 3 3 3" xfId="24192" xr:uid="{45B0BE46-887D-431A-8D60-0F9A2A4D644A}"/>
    <cellStyle name="Normal 4 2 5 2 3 4" xfId="10676" xr:uid="{F977EBE9-2996-4D87-942E-878FC7E505BA}"/>
    <cellStyle name="Normal 4 2 5 2 3 5" xfId="19975" xr:uid="{F86A6262-4D5C-4A44-8137-5C62492E5526}"/>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EF647221-66AC-4D71-8E5C-9CD243E0590B}"/>
    <cellStyle name="Normal 4 2 5 2 4 2 2 3" xfId="26750" xr:uid="{B038528E-8F5E-4E0C-8306-E8CA7C5A0A8B}"/>
    <cellStyle name="Normal 4 2 5 2 4 2 3" xfId="13234" xr:uid="{04903E34-473E-4A63-9767-0B7C68979C56}"/>
    <cellStyle name="Normal 4 2 5 2 4 2 4" xfId="22533" xr:uid="{B82B26E1-1070-40C9-AE57-62AD1E8D347D}"/>
    <cellStyle name="Normal 4 2 5 2 4 3" xfId="5980" xr:uid="{00000000-0005-0000-0000-0000D8130000}"/>
    <cellStyle name="Normal 4 2 5 2 4 3 2" xfId="15306" xr:uid="{0B98E1E5-5DFB-4D63-804D-A5489D8A4466}"/>
    <cellStyle name="Normal 4 2 5 2 4 3 3" xfId="24605" xr:uid="{90A0462C-4208-4551-B9ED-7C0FD404F7B5}"/>
    <cellStyle name="Normal 4 2 5 2 4 4" xfId="11089" xr:uid="{E2F0A7E2-75AF-45F7-A44F-0E1569142C8D}"/>
    <cellStyle name="Normal 4 2 5 2 4 5" xfId="20388" xr:uid="{75100286-34A6-497A-A265-E8C10A96A3D1}"/>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A657AC9B-6F59-4541-8950-2BB48B267D56}"/>
    <cellStyle name="Normal 4 2 5 2 5 2 2 3" xfId="27163" xr:uid="{2C4D9FDB-3054-484E-93BC-BDE3BA4C44E5}"/>
    <cellStyle name="Normal 4 2 5 2 5 2 3" xfId="13647" xr:uid="{C090E73B-5BB7-4481-B1A0-1AE6D44EDBE7}"/>
    <cellStyle name="Normal 4 2 5 2 5 2 4" xfId="22946" xr:uid="{35B2DEDD-8C61-425F-8617-61CECDCAF1A0}"/>
    <cellStyle name="Normal 4 2 5 2 5 3" xfId="6393" xr:uid="{00000000-0005-0000-0000-0000DC130000}"/>
    <cellStyle name="Normal 4 2 5 2 5 3 2" xfId="15719" xr:uid="{9BE89A72-1674-42A3-80AE-8EFD95B98E64}"/>
    <cellStyle name="Normal 4 2 5 2 5 3 3" xfId="25018" xr:uid="{4E3990E9-378B-4BD2-863B-BC6A488CA472}"/>
    <cellStyle name="Normal 4 2 5 2 5 4" xfId="11502" xr:uid="{246560A6-575F-4D08-825C-EF67E53663BA}"/>
    <cellStyle name="Normal 4 2 5 2 5 5" xfId="20801" xr:uid="{9B43C1B3-6E0E-4E55-A185-FCA1EF2DF362}"/>
    <cellStyle name="Normal 4 2 5 2 6" xfId="2523" xr:uid="{00000000-0005-0000-0000-0000DD130000}"/>
    <cellStyle name="Normal 4 2 5 2 6 2" xfId="6806" xr:uid="{00000000-0005-0000-0000-0000DE130000}"/>
    <cellStyle name="Normal 4 2 5 2 6 2 2" xfId="16132" xr:uid="{AC100F14-CBD3-41C0-81E7-89246D320EEE}"/>
    <cellStyle name="Normal 4 2 5 2 6 2 3" xfId="25431" xr:uid="{65068E24-1FA7-4790-B073-3B01FBFEA7E7}"/>
    <cellStyle name="Normal 4 2 5 2 6 3" xfId="11915" xr:uid="{8FD5B573-D065-4A08-85EE-C6522E565BD6}"/>
    <cellStyle name="Normal 4 2 5 2 6 4" xfId="21214" xr:uid="{78996E98-2D4C-4D6C-97E3-7745FEC8837C}"/>
    <cellStyle name="Normal 4 2 5 2 7" xfId="4741" xr:uid="{00000000-0005-0000-0000-0000DF130000}"/>
    <cellStyle name="Normal 4 2 5 2 7 2" xfId="14067" xr:uid="{C7A419CA-5AC8-483C-8A7C-83290513CD46}"/>
    <cellStyle name="Normal 4 2 5 2 7 3" xfId="23366" xr:uid="{F0EA03E7-FB40-4550-A8CD-BB1A0B9B9110}"/>
    <cellStyle name="Normal 4 2 5 2 8" xfId="9053" xr:uid="{0AE18A98-D9E6-47B9-86B0-DDAD3BC77B48}"/>
    <cellStyle name="Normal 4 2 5 2 8 2" xfId="18377" xr:uid="{541B608A-63E5-43D6-AD1B-96EBC22D217F}"/>
    <cellStyle name="Normal 4 2 5 2 8 3" xfId="27675" xr:uid="{7178309C-763E-411B-A138-1978D4A5BEEB}"/>
    <cellStyle name="Normal 4 2 5 2 9" xfId="9850" xr:uid="{C2C16EE7-1B4F-487E-B24F-ADA06D5CA925}"/>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AE563F5C-E2BD-4DB0-8111-D6001B1033A1}"/>
    <cellStyle name="Normal 4 2 5 3 2 2 3" xfId="25923" xr:uid="{38E82663-2C4E-4476-8625-DA9F3F512DFF}"/>
    <cellStyle name="Normal 4 2 5 3 2 3" xfId="12407" xr:uid="{34C6B426-CDD0-4169-B97B-F3869596928B}"/>
    <cellStyle name="Normal 4 2 5 3 2 4" xfId="21706" xr:uid="{C3547FB5-66ED-4F54-9B12-5469256C9510}"/>
    <cellStyle name="Normal 4 2 5 3 3" xfId="5153" xr:uid="{00000000-0005-0000-0000-0000E3130000}"/>
    <cellStyle name="Normal 4 2 5 3 3 2" xfId="14479" xr:uid="{35805F26-06CB-4CF6-A69A-2D994472F559}"/>
    <cellStyle name="Normal 4 2 5 3 3 3" xfId="23778" xr:uid="{81A1500D-D12C-47C1-8752-41F96E193E27}"/>
    <cellStyle name="Normal 4 2 5 3 4" xfId="9271" xr:uid="{41AE7BB1-E3C7-48BD-B24F-55AE39E68BB6}"/>
    <cellStyle name="Normal 4 2 5 3 4 2" xfId="18586" xr:uid="{7D7FAF6F-4882-4CD4-AFF6-A3D5D75275DD}"/>
    <cellStyle name="Normal 4 2 5 3 4 3" xfId="27883" xr:uid="{78577908-6E62-4BD2-915F-987F14912569}"/>
    <cellStyle name="Normal 4 2 5 3 5" xfId="10262" xr:uid="{DF102C94-AE90-4D80-B166-3937DE46E429}"/>
    <cellStyle name="Normal 4 2 5 3 6" xfId="19561" xr:uid="{2556D407-110A-4865-A5DE-64BDA2F30D17}"/>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746026E8-5512-4313-9912-444E3F2BFE1A}"/>
    <cellStyle name="Normal 4 2 5 4 2 2 3" xfId="26336" xr:uid="{22EE1A34-BFD4-42A0-9B74-4DE7A9AD701E}"/>
    <cellStyle name="Normal 4 2 5 4 2 3" xfId="12820" xr:uid="{F842E27C-91CD-4A19-A0EB-82ACD7EC3AA2}"/>
    <cellStyle name="Normal 4 2 5 4 2 4" xfId="22119" xr:uid="{777490E9-CFEF-478F-A14C-EA3C7A3786D1}"/>
    <cellStyle name="Normal 4 2 5 4 3" xfId="5566" xr:uid="{00000000-0005-0000-0000-0000E7130000}"/>
    <cellStyle name="Normal 4 2 5 4 3 2" xfId="14892" xr:uid="{70CBEAF1-448D-4F77-9227-6DAEA86F333A}"/>
    <cellStyle name="Normal 4 2 5 4 3 3" xfId="24191" xr:uid="{14805C81-BFED-4E91-9B9F-ACED6EC16BC6}"/>
    <cellStyle name="Normal 4 2 5 4 4" xfId="10675" xr:uid="{322A8995-7ED8-4544-B30A-655699ADEB75}"/>
    <cellStyle name="Normal 4 2 5 4 5" xfId="19974" xr:uid="{B67A26B6-48C8-4AF7-BCFC-5237C22DB45B}"/>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E1479CDA-97FE-47D7-ABDF-CB58BDA558EE}"/>
    <cellStyle name="Normal 4 2 5 5 2 2 3" xfId="26749" xr:uid="{D493F44E-1DA2-4CD6-814D-B1C4DEC94D78}"/>
    <cellStyle name="Normal 4 2 5 5 2 3" xfId="13233" xr:uid="{E5ABD93A-BBCA-4380-934E-5EC348B55F74}"/>
    <cellStyle name="Normal 4 2 5 5 2 4" xfId="22532" xr:uid="{6E479008-52C7-45F6-9E8D-DC2ADD27B76A}"/>
    <cellStyle name="Normal 4 2 5 5 3" xfId="5979" xr:uid="{00000000-0005-0000-0000-0000EB130000}"/>
    <cellStyle name="Normal 4 2 5 5 3 2" xfId="15305" xr:uid="{8E689E57-2AE4-4814-A5C8-0D65B52B7AE3}"/>
    <cellStyle name="Normal 4 2 5 5 3 3" xfId="24604" xr:uid="{28AAC779-A52D-44DC-B2E3-8628A78525A5}"/>
    <cellStyle name="Normal 4 2 5 5 4" xfId="11088" xr:uid="{D4EA26EC-9406-47A1-ABE7-6471C52FD15E}"/>
    <cellStyle name="Normal 4 2 5 5 5" xfId="20387" xr:uid="{A818ED2C-F23A-4A90-83B9-B976215C86ED}"/>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E44181E4-6BD2-49C2-A3C2-B206EEA5AECF}"/>
    <cellStyle name="Normal 4 2 5 6 2 2 3" xfId="27162" xr:uid="{4EDF4F44-D189-4785-B626-D3170D1D1275}"/>
    <cellStyle name="Normal 4 2 5 6 2 3" xfId="13646" xr:uid="{4BE319A3-600B-484B-A5BB-E15901C65843}"/>
    <cellStyle name="Normal 4 2 5 6 2 4" xfId="22945" xr:uid="{4483FCD9-8603-4780-9DFC-1C8DC09F17C9}"/>
    <cellStyle name="Normal 4 2 5 6 3" xfId="6392" xr:uid="{00000000-0005-0000-0000-0000EF130000}"/>
    <cellStyle name="Normal 4 2 5 6 3 2" xfId="15718" xr:uid="{A749931B-D340-4F37-A439-618B4E2ABF0B}"/>
    <cellStyle name="Normal 4 2 5 6 3 3" xfId="25017" xr:uid="{6E399141-5908-4B25-8A20-E1718FD9BD05}"/>
    <cellStyle name="Normal 4 2 5 6 4" xfId="11501" xr:uid="{CF7166D9-E8EB-4A85-A524-B8C72D857EBE}"/>
    <cellStyle name="Normal 4 2 5 6 5" xfId="20800" xr:uid="{F3FDCD61-87C3-45D6-A6A0-712EE33C882E}"/>
    <cellStyle name="Normal 4 2 5 7" xfId="2522" xr:uid="{00000000-0005-0000-0000-0000F0130000}"/>
    <cellStyle name="Normal 4 2 5 7 2" xfId="6805" xr:uid="{00000000-0005-0000-0000-0000F1130000}"/>
    <cellStyle name="Normal 4 2 5 7 2 2" xfId="16131" xr:uid="{66D8AF51-5148-474C-A346-DD37B3166030}"/>
    <cellStyle name="Normal 4 2 5 7 2 3" xfId="25430" xr:uid="{B1758C62-B3FB-4FF8-993C-18CE064BB4F1}"/>
    <cellStyle name="Normal 4 2 5 7 3" xfId="11914" xr:uid="{3D1FB854-1FAF-49F2-A93E-AA749E30A46C}"/>
    <cellStyle name="Normal 4 2 5 7 4" xfId="21213" xr:uid="{53E1E9CD-75B8-4B4D-8482-DBF6856CB174}"/>
    <cellStyle name="Normal 4 2 5 8" xfId="4740" xr:uid="{00000000-0005-0000-0000-0000F2130000}"/>
    <cellStyle name="Normal 4 2 5 8 2" xfId="14066" xr:uid="{B931DA20-4DC0-4811-8899-44C6716E49A0}"/>
    <cellStyle name="Normal 4 2 5 8 3" xfId="23365" xr:uid="{85101EFA-6AF3-4014-BF23-0A61757D16B5}"/>
    <cellStyle name="Normal 4 2 5 9" xfId="8846" xr:uid="{C69C7E2D-02E8-4C87-9C63-A39D0E37A062}"/>
    <cellStyle name="Normal 4 2 5 9 2" xfId="18170" xr:uid="{F7359B04-55AB-4E0F-A7F8-4934C6B12C35}"/>
    <cellStyle name="Normal 4 2 5 9 3" xfId="27468" xr:uid="{B6EEE25B-C964-4498-9AC3-5729F2B72DD6}"/>
    <cellStyle name="Normal 4 2 6" xfId="365" xr:uid="{00000000-0005-0000-0000-0000F3130000}"/>
    <cellStyle name="Normal 4 2 6 10" xfId="19150" xr:uid="{F4DA480B-E073-492C-A16D-C061EF3046A9}"/>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AF954F4D-CEA3-4DD1-87A7-6F72A41C6B84}"/>
    <cellStyle name="Normal 4 2 6 2 2 2 3" xfId="25925" xr:uid="{9248EA2E-310D-4C92-98AD-4F067EAE592C}"/>
    <cellStyle name="Normal 4 2 6 2 2 3" xfId="12409" xr:uid="{405BE9C2-023E-4AAB-83AF-8768801FC8D1}"/>
    <cellStyle name="Normal 4 2 6 2 2 4" xfId="21708" xr:uid="{4B0B985F-1E46-4B9F-A9C8-04E24744B810}"/>
    <cellStyle name="Normal 4 2 6 2 3" xfId="5155" xr:uid="{00000000-0005-0000-0000-0000F7130000}"/>
    <cellStyle name="Normal 4 2 6 2 3 2" xfId="14481" xr:uid="{F1DD7F92-7A88-4DF5-95BA-1A45B482D789}"/>
    <cellStyle name="Normal 4 2 6 2 3 3" xfId="23780" xr:uid="{AAFF3FF6-D94F-4356-9DC2-B56652CDB8E0}"/>
    <cellStyle name="Normal 4 2 6 2 4" xfId="9387" xr:uid="{933EA8C7-37F7-4AF2-922A-47A5CB1A47BC}"/>
    <cellStyle name="Normal 4 2 6 2 4 2" xfId="18702" xr:uid="{603BB455-2E3F-4306-AC70-5B261703FBEA}"/>
    <cellStyle name="Normal 4 2 6 2 4 3" xfId="27999" xr:uid="{0D940F8E-4429-44B4-8C4E-DC7F7FCDB8EE}"/>
    <cellStyle name="Normal 4 2 6 2 5" xfId="10264" xr:uid="{8819AFCD-167F-4DFA-BCE9-4180FC15B1B7}"/>
    <cellStyle name="Normal 4 2 6 2 6" xfId="19563" xr:uid="{D3DC429F-327A-4667-BD62-D3B3E0A63F95}"/>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45260055-5B89-42BB-A49E-8FBAAFFFECC9}"/>
    <cellStyle name="Normal 4 2 6 3 2 2 3" xfId="26338" xr:uid="{5409613B-CD82-4F04-A59E-9BDBF055D489}"/>
    <cellStyle name="Normal 4 2 6 3 2 3" xfId="12822" xr:uid="{7E2CD769-01FD-4B5C-89FA-1324D21FAA95}"/>
    <cellStyle name="Normal 4 2 6 3 2 4" xfId="22121" xr:uid="{897DE3D3-C1C8-4960-AEBE-DAD827980096}"/>
    <cellStyle name="Normal 4 2 6 3 3" xfId="5568" xr:uid="{00000000-0005-0000-0000-0000FB130000}"/>
    <cellStyle name="Normal 4 2 6 3 3 2" xfId="14894" xr:uid="{3C8C9840-E99F-447B-85A4-57D07B90034F}"/>
    <cellStyle name="Normal 4 2 6 3 3 3" xfId="24193" xr:uid="{3443DD8D-9621-4C41-8886-D1BA5D5EA95F}"/>
    <cellStyle name="Normal 4 2 6 3 4" xfId="10677" xr:uid="{C69B3346-3F2B-425D-BAB2-23288AA20316}"/>
    <cellStyle name="Normal 4 2 6 3 5" xfId="19976" xr:uid="{5C6BFAC2-AD61-439C-B263-47FA54509C4F}"/>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1E4401D5-778E-4EC1-8B36-445C7F821FB1}"/>
    <cellStyle name="Normal 4 2 6 4 2 2 3" xfId="26751" xr:uid="{AB883758-1392-41C1-9DD4-0E0C98D39702}"/>
    <cellStyle name="Normal 4 2 6 4 2 3" xfId="13235" xr:uid="{0CAFBFA8-C317-49BD-9561-2A9206C6E340}"/>
    <cellStyle name="Normal 4 2 6 4 2 4" xfId="22534" xr:uid="{19233E33-F7CB-46C8-9B30-F753D273FC3C}"/>
    <cellStyle name="Normal 4 2 6 4 3" xfId="5981" xr:uid="{00000000-0005-0000-0000-0000FF130000}"/>
    <cellStyle name="Normal 4 2 6 4 3 2" xfId="15307" xr:uid="{C8F9528D-0469-485D-A641-75D022BF28AF}"/>
    <cellStyle name="Normal 4 2 6 4 3 3" xfId="24606" xr:uid="{8242649C-3DC1-4713-92C2-2BF0D9243169}"/>
    <cellStyle name="Normal 4 2 6 4 4" xfId="11090" xr:uid="{6B2C784F-3A51-4BCB-8183-39669195517B}"/>
    <cellStyle name="Normal 4 2 6 4 5" xfId="20389" xr:uid="{6FE225F7-B871-4F5F-9704-AB0B3C0F1B0A}"/>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2D62521C-E1C9-458B-B77E-F2E0FD8A4C7A}"/>
    <cellStyle name="Normal 4 2 6 5 2 2 3" xfId="27164" xr:uid="{C6AAA64B-CAEC-4875-AF36-1471625ADDF8}"/>
    <cellStyle name="Normal 4 2 6 5 2 3" xfId="13648" xr:uid="{1F8F8352-4518-4001-A884-2B25738B3807}"/>
    <cellStyle name="Normal 4 2 6 5 2 4" xfId="22947" xr:uid="{F563BD9F-B9B7-4F14-8C18-7F8CD5904A7C}"/>
    <cellStyle name="Normal 4 2 6 5 3" xfId="6394" xr:uid="{00000000-0005-0000-0000-000003140000}"/>
    <cellStyle name="Normal 4 2 6 5 3 2" xfId="15720" xr:uid="{116EE495-21E0-4B51-A81E-3CD838DD7162}"/>
    <cellStyle name="Normal 4 2 6 5 3 3" xfId="25019" xr:uid="{DDB6E3DF-5C47-4417-9219-D43E2C8AF3ED}"/>
    <cellStyle name="Normal 4 2 6 5 4" xfId="11503" xr:uid="{B2D819BC-5856-48D9-92EF-98D7E6FFF9D5}"/>
    <cellStyle name="Normal 4 2 6 5 5" xfId="20802" xr:uid="{DE839F70-0618-4B24-BF95-3E8094B79DCD}"/>
    <cellStyle name="Normal 4 2 6 6" xfId="2524" xr:uid="{00000000-0005-0000-0000-000004140000}"/>
    <cellStyle name="Normal 4 2 6 6 2" xfId="6807" xr:uid="{00000000-0005-0000-0000-000005140000}"/>
    <cellStyle name="Normal 4 2 6 6 2 2" xfId="16133" xr:uid="{3E38313B-B051-4428-9EFB-5561255B42BB}"/>
    <cellStyle name="Normal 4 2 6 6 2 3" xfId="25432" xr:uid="{3998A6F0-9FE1-451F-AEA9-89E1A0EDD56C}"/>
    <cellStyle name="Normal 4 2 6 6 3" xfId="11916" xr:uid="{C3EB39D1-0CA3-4BE2-9F5D-C94221E6E480}"/>
    <cellStyle name="Normal 4 2 6 6 4" xfId="21215" xr:uid="{C474AC00-F9DB-4F9E-8BE2-9E5B41EF076D}"/>
    <cellStyle name="Normal 4 2 6 7" xfId="4742" xr:uid="{00000000-0005-0000-0000-000006140000}"/>
    <cellStyle name="Normal 4 2 6 7 2" xfId="14068" xr:uid="{81245918-B7AA-4B40-BAE0-A84501DAA2DE}"/>
    <cellStyle name="Normal 4 2 6 7 3" xfId="23367" xr:uid="{C9981C37-3000-4A7D-93AF-C3A643C73BB5}"/>
    <cellStyle name="Normal 4 2 6 8" xfId="8962" xr:uid="{1A1596D6-3914-4465-A638-E540359059D2}"/>
    <cellStyle name="Normal 4 2 6 8 2" xfId="18286" xr:uid="{5CC275E2-0E60-465F-98D9-0BE39DABAE24}"/>
    <cellStyle name="Normal 4 2 6 8 3" xfId="27584" xr:uid="{E8F85343-81E3-4365-B995-92234514E2C5}"/>
    <cellStyle name="Normal 4 2 6 9" xfId="9851" xr:uid="{9C1FC7FA-8BB3-436C-A7ED-CFA7DE7AF87E}"/>
    <cellStyle name="Normal 4 2 7" xfId="9165" xr:uid="{6363F967-7399-442D-B2CE-00085FF7F1E8}"/>
    <cellStyle name="Normal 4 2 7 2" xfId="18483" xr:uid="{60DA2AE0-5408-4F2E-9ED9-16E82CBEC9D2}"/>
    <cellStyle name="Normal 4 2 7 3" xfId="27780" xr:uid="{B292A876-AACB-47A5-B5F2-9EB754B7EDC4}"/>
    <cellStyle name="Normal 4 2 8" xfId="8743" xr:uid="{E2B8331F-47F9-4829-99C7-E05840A106B9}"/>
    <cellStyle name="Normal 4 2 8 2" xfId="18067" xr:uid="{23E666D1-0407-46FE-963B-3066FEE5608F}"/>
    <cellStyle name="Normal 4 2 8 3" xfId="27365" xr:uid="{3C5F19B0-EB13-431F-9478-EC3B6CBE2E0C}"/>
    <cellStyle name="Normal 4 3" xfId="366" xr:uid="{00000000-0005-0000-0000-000007140000}"/>
    <cellStyle name="Normal 4 3 10" xfId="9852" xr:uid="{4E343A1A-F362-4429-B616-FFEFB6B373D9}"/>
    <cellStyle name="Normal 4 3 11" xfId="19151" xr:uid="{1CF31D23-F480-4DED-A52C-4C62189DD2BF}"/>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FA3FB0AC-B206-4826-9D98-A152C9ACD6C3}"/>
    <cellStyle name="Normal 4 3 2 2 2 10 3" xfId="27444" xr:uid="{0CBDAE6A-FBA0-4FE5-BC47-28F78B0F2D71}"/>
    <cellStyle name="Normal 4 3 2 2 2 11" xfId="9853" xr:uid="{90E8B448-5393-4788-9668-6EA527E5F0A7}"/>
    <cellStyle name="Normal 4 3 2 2 2 12" xfId="19152" xr:uid="{E3D00D16-F03E-46C2-A51D-1A13CFCD58F0}"/>
    <cellStyle name="Normal 4 3 2 2 2 2" xfId="370" xr:uid="{00000000-0005-0000-0000-00000B140000}"/>
    <cellStyle name="Normal 4 3 2 2 2 2 10" xfId="9854" xr:uid="{26CED3D5-4E56-4743-A160-B538042812CD}"/>
    <cellStyle name="Normal 4 3 2 2 2 2 11" xfId="19153" xr:uid="{22FFA286-3495-4B4C-BB0A-FCD939F44DB1}"/>
    <cellStyle name="Normal 4 3 2 2 2 2 2" xfId="371" xr:uid="{00000000-0005-0000-0000-00000C140000}"/>
    <cellStyle name="Normal 4 3 2 2 2 2 2 10" xfId="19154" xr:uid="{CD69A86E-356F-4169-8F2A-42A6488FDBA4}"/>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C02646D0-2D5F-4CFF-A473-0F6B28DA877B}"/>
    <cellStyle name="Normal 4 3 2 2 2 2 2 2 2 2 3" xfId="25929" xr:uid="{D14A1579-79A8-443F-A273-2C09548952B5}"/>
    <cellStyle name="Normal 4 3 2 2 2 2 2 2 2 3" xfId="12413" xr:uid="{04C93F4B-88F1-4FAA-8DF0-0043A0480729}"/>
    <cellStyle name="Normal 4 3 2 2 2 2 2 2 2 4" xfId="21712" xr:uid="{8175776D-EE57-4225-87BA-BE8335531304}"/>
    <cellStyle name="Normal 4 3 2 2 2 2 2 2 3" xfId="5159" xr:uid="{00000000-0005-0000-0000-000010140000}"/>
    <cellStyle name="Normal 4 3 2 2 2 2 2 2 3 2" xfId="14485" xr:uid="{EAE8E175-F8BD-4903-BDAA-BEE783B2B42C}"/>
    <cellStyle name="Normal 4 3 2 2 2 2 2 2 3 3" xfId="23784" xr:uid="{BC50122D-9278-479E-922D-172F966D3C8B}"/>
    <cellStyle name="Normal 4 3 2 2 2 2 2 2 4" xfId="9557" xr:uid="{4F6BDD99-7BF1-4D2F-9EDC-4F75F1942DB4}"/>
    <cellStyle name="Normal 4 3 2 2 2 2 2 2 4 2" xfId="18872" xr:uid="{F9EF4AD1-5CBD-42B1-A6C6-2896125709C1}"/>
    <cellStyle name="Normal 4 3 2 2 2 2 2 2 4 3" xfId="28169" xr:uid="{7E27D47A-889C-4BEB-8D79-C8EA5F95FEEE}"/>
    <cellStyle name="Normal 4 3 2 2 2 2 2 2 5" xfId="10268" xr:uid="{DFD765A2-5411-48CA-B450-C97D1F7D83CE}"/>
    <cellStyle name="Normal 4 3 2 2 2 2 2 2 6" xfId="19567" xr:uid="{5E5E6F23-627F-4984-B499-273B46CBF5F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B5BF2A58-7F33-4D2C-B039-965757A0194E}"/>
    <cellStyle name="Normal 4 3 2 2 2 2 2 3 2 2 3" xfId="26342" xr:uid="{200BD421-3D16-4024-A21E-F4606DF65D3D}"/>
    <cellStyle name="Normal 4 3 2 2 2 2 2 3 2 3" xfId="12826" xr:uid="{93508ABA-D47F-4ADD-AFA5-49BC74AED248}"/>
    <cellStyle name="Normal 4 3 2 2 2 2 2 3 2 4" xfId="22125" xr:uid="{D6A626F3-18CA-470D-AC8D-F0B561730D14}"/>
    <cellStyle name="Normal 4 3 2 2 2 2 2 3 3" xfId="5572" xr:uid="{00000000-0005-0000-0000-000014140000}"/>
    <cellStyle name="Normal 4 3 2 2 2 2 2 3 3 2" xfId="14898" xr:uid="{26A33B01-97D4-40A0-8747-25B1D8BA7563}"/>
    <cellStyle name="Normal 4 3 2 2 2 2 2 3 3 3" xfId="24197" xr:uid="{E7383145-79DC-41CE-8A04-EB61FFACAF88}"/>
    <cellStyle name="Normal 4 3 2 2 2 2 2 3 4" xfId="10681" xr:uid="{F6D5EADC-6E30-4483-9C9C-696C5CFA4412}"/>
    <cellStyle name="Normal 4 3 2 2 2 2 2 3 5" xfId="19980" xr:uid="{C524EA2E-05E3-4930-8D72-7FE87608712A}"/>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752183B0-1AE8-4E4C-A552-4B655318FCFA}"/>
    <cellStyle name="Normal 4 3 2 2 2 2 2 4 2 2 3" xfId="26755" xr:uid="{31E0DC48-1C0C-420F-8500-224BC5661274}"/>
    <cellStyle name="Normal 4 3 2 2 2 2 2 4 2 3" xfId="13239" xr:uid="{A05EF616-55BE-4F7D-B9A3-9E92B7E0BA06}"/>
    <cellStyle name="Normal 4 3 2 2 2 2 2 4 2 4" xfId="22538" xr:uid="{348C880D-651C-4B14-A624-0BFB6325BFE4}"/>
    <cellStyle name="Normal 4 3 2 2 2 2 2 4 3" xfId="5985" xr:uid="{00000000-0005-0000-0000-000018140000}"/>
    <cellStyle name="Normal 4 3 2 2 2 2 2 4 3 2" xfId="15311" xr:uid="{AD6F59AE-3BB7-4D60-86B8-B5A18C9DE56F}"/>
    <cellStyle name="Normal 4 3 2 2 2 2 2 4 3 3" xfId="24610" xr:uid="{AB4E6F93-DE18-4041-A90A-6964EAEFC3CD}"/>
    <cellStyle name="Normal 4 3 2 2 2 2 2 4 4" xfId="11094" xr:uid="{18F5C361-EE66-4482-8C32-C9C9D316CF87}"/>
    <cellStyle name="Normal 4 3 2 2 2 2 2 4 5" xfId="20393" xr:uid="{7EC216F2-954E-4C5C-8667-A16698550C79}"/>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B68D30A9-149C-469D-828C-40C40DA09726}"/>
    <cellStyle name="Normal 4 3 2 2 2 2 2 5 2 2 3" xfId="27168" xr:uid="{D88EF7F6-B26F-4E1E-9F23-EAE80E6B61C0}"/>
    <cellStyle name="Normal 4 3 2 2 2 2 2 5 2 3" xfId="13652" xr:uid="{700DEB9B-3B83-400F-ADD1-2D444D76192A}"/>
    <cellStyle name="Normal 4 3 2 2 2 2 2 5 2 4" xfId="22951" xr:uid="{25F222E5-D73E-46F7-8EE7-E9F6731A170C}"/>
    <cellStyle name="Normal 4 3 2 2 2 2 2 5 3" xfId="6398" xr:uid="{00000000-0005-0000-0000-00001C140000}"/>
    <cellStyle name="Normal 4 3 2 2 2 2 2 5 3 2" xfId="15724" xr:uid="{C748FB61-08F9-4CF1-809A-A09CCFC70D13}"/>
    <cellStyle name="Normal 4 3 2 2 2 2 2 5 3 3" xfId="25023" xr:uid="{752DB900-9CAE-4507-8095-F161984E8810}"/>
    <cellStyle name="Normal 4 3 2 2 2 2 2 5 4" xfId="11507" xr:uid="{751E78CA-D10E-4B4B-A92E-DED5FD172BC7}"/>
    <cellStyle name="Normal 4 3 2 2 2 2 2 5 5" xfId="20806" xr:uid="{1B88BC57-FE6B-4790-9AE5-7F583C4F6A8A}"/>
    <cellStyle name="Normal 4 3 2 2 2 2 2 6" xfId="2528" xr:uid="{00000000-0005-0000-0000-00001D140000}"/>
    <cellStyle name="Normal 4 3 2 2 2 2 2 6 2" xfId="6811" xr:uid="{00000000-0005-0000-0000-00001E140000}"/>
    <cellStyle name="Normal 4 3 2 2 2 2 2 6 2 2" xfId="16137" xr:uid="{82A1CBC0-3326-44EF-A575-3265E1FC2A23}"/>
    <cellStyle name="Normal 4 3 2 2 2 2 2 6 2 3" xfId="25436" xr:uid="{08CFC312-E77A-4FC4-9BEA-3C5A29CCAF7F}"/>
    <cellStyle name="Normal 4 3 2 2 2 2 2 6 3" xfId="11920" xr:uid="{E6191FC9-5C4B-442D-BFFC-EA4C36F1B76F}"/>
    <cellStyle name="Normal 4 3 2 2 2 2 2 6 4" xfId="21219" xr:uid="{4E8CBF6D-18F1-4F13-B0ED-7F60C4096EFB}"/>
    <cellStyle name="Normal 4 3 2 2 2 2 2 7" xfId="4746" xr:uid="{00000000-0005-0000-0000-00001F140000}"/>
    <cellStyle name="Normal 4 3 2 2 2 2 2 7 2" xfId="14072" xr:uid="{2A273455-1F7E-443D-ABC0-E405420C2ABD}"/>
    <cellStyle name="Normal 4 3 2 2 2 2 2 7 3" xfId="23371" xr:uid="{0A8773A5-98FE-42F8-8383-10C08BD1EB3F}"/>
    <cellStyle name="Normal 4 3 2 2 2 2 2 8" xfId="9132" xr:uid="{14F6ED12-EABF-4C82-AD59-55D351026913}"/>
    <cellStyle name="Normal 4 3 2 2 2 2 2 8 2" xfId="18456" xr:uid="{7441BFB3-A2AE-4DA5-A267-B49DDA64203B}"/>
    <cellStyle name="Normal 4 3 2 2 2 2 2 8 3" xfId="27754" xr:uid="{CE64D799-DF72-4BA3-B36A-E756A537C73B}"/>
    <cellStyle name="Normal 4 3 2 2 2 2 2 9" xfId="9855" xr:uid="{BCE5D144-AA28-492B-AB7A-6E5CEF71B266}"/>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8EFF8A93-07D8-42BB-A18E-0D2B7C55E3D3}"/>
    <cellStyle name="Normal 4 3 2 2 2 2 3 2 2 3" xfId="25928" xr:uid="{28AF8A99-72E4-46C2-8AE9-5D12614B5B46}"/>
    <cellStyle name="Normal 4 3 2 2 2 2 3 2 3" xfId="12412" xr:uid="{BA1AC777-2CEF-4033-8655-B85BE542D681}"/>
    <cellStyle name="Normal 4 3 2 2 2 2 3 2 4" xfId="21711" xr:uid="{229A2D10-B5FE-41C2-A05F-4DB0EC87BAFA}"/>
    <cellStyle name="Normal 4 3 2 2 2 2 3 3" xfId="5158" xr:uid="{00000000-0005-0000-0000-000023140000}"/>
    <cellStyle name="Normal 4 3 2 2 2 2 3 3 2" xfId="14484" xr:uid="{7F943DA7-AE56-49FD-A767-469E1953E36D}"/>
    <cellStyle name="Normal 4 3 2 2 2 2 3 3 3" xfId="23783" xr:uid="{D134FBD9-8671-4E88-827C-2E1FD75C709A}"/>
    <cellStyle name="Normal 4 3 2 2 2 2 3 4" xfId="9350" xr:uid="{DFFEAFB7-A284-4FD9-B115-C19DA011CCC7}"/>
    <cellStyle name="Normal 4 3 2 2 2 2 3 4 2" xfId="18665" xr:uid="{E05A39CE-154E-485A-B720-BC64E4468BF2}"/>
    <cellStyle name="Normal 4 3 2 2 2 2 3 4 3" xfId="27962" xr:uid="{83FCEDA2-2F19-48B0-A10B-DFE254DD2227}"/>
    <cellStyle name="Normal 4 3 2 2 2 2 3 5" xfId="10267" xr:uid="{1FA9FFB3-C2D4-4D8F-A23B-ED2CB5A8EBCB}"/>
    <cellStyle name="Normal 4 3 2 2 2 2 3 6" xfId="19566" xr:uid="{04EF2F58-E0D6-406D-95F0-1449E855049C}"/>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F8E94C38-0B44-426F-9291-B6D7D5DC26A1}"/>
    <cellStyle name="Normal 4 3 2 2 2 2 4 2 2 3" xfId="26341" xr:uid="{A08FACEB-AE11-41D4-BBCC-325003EDA92C}"/>
    <cellStyle name="Normal 4 3 2 2 2 2 4 2 3" xfId="12825" xr:uid="{D6DE28C8-8D50-4DC1-8F70-3F2799AEA665}"/>
    <cellStyle name="Normal 4 3 2 2 2 2 4 2 4" xfId="22124" xr:uid="{4455556E-9D27-4797-A800-A75E3989AAF9}"/>
    <cellStyle name="Normal 4 3 2 2 2 2 4 3" xfId="5571" xr:uid="{00000000-0005-0000-0000-000027140000}"/>
    <cellStyle name="Normal 4 3 2 2 2 2 4 3 2" xfId="14897" xr:uid="{EB334265-4861-402C-8E8B-53276A97FA6A}"/>
    <cellStyle name="Normal 4 3 2 2 2 2 4 3 3" xfId="24196" xr:uid="{711561D9-BC5E-4625-81CD-9C80700AAF73}"/>
    <cellStyle name="Normal 4 3 2 2 2 2 4 4" xfId="10680" xr:uid="{13C9A3C1-3A60-4693-88BF-C58A00A2CDB0}"/>
    <cellStyle name="Normal 4 3 2 2 2 2 4 5" xfId="19979" xr:uid="{FAA81965-433F-4B1C-9EF7-7AD0A0003F2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5F12FE94-3C13-4EE4-B531-41B2BB210BEE}"/>
    <cellStyle name="Normal 4 3 2 2 2 2 5 2 2 3" xfId="26754" xr:uid="{3178F161-9D28-47E8-A189-4EC95F997B8F}"/>
    <cellStyle name="Normal 4 3 2 2 2 2 5 2 3" xfId="13238" xr:uid="{3CA8D0AC-162F-468A-9694-C6D414AE7AE5}"/>
    <cellStyle name="Normal 4 3 2 2 2 2 5 2 4" xfId="22537" xr:uid="{5D832B46-2B7B-4AC6-B5F2-1CA51BAC93AF}"/>
    <cellStyle name="Normal 4 3 2 2 2 2 5 3" xfId="5984" xr:uid="{00000000-0005-0000-0000-00002B140000}"/>
    <cellStyle name="Normal 4 3 2 2 2 2 5 3 2" xfId="15310" xr:uid="{06C6C56C-F214-4E9E-A005-0DFDAE00397C}"/>
    <cellStyle name="Normal 4 3 2 2 2 2 5 3 3" xfId="24609" xr:uid="{EBBF69CD-242E-4F06-B84F-E693F307D8CC}"/>
    <cellStyle name="Normal 4 3 2 2 2 2 5 4" xfId="11093" xr:uid="{EDEA4BE7-C2E7-47C3-A16C-F90EB2DD42F3}"/>
    <cellStyle name="Normal 4 3 2 2 2 2 5 5" xfId="20392" xr:uid="{4D03E174-C49C-451B-AD9F-A72A471D2F14}"/>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661D8321-1C16-42A4-8883-9B0497051637}"/>
    <cellStyle name="Normal 4 3 2 2 2 2 6 2 2 3" xfId="27167" xr:uid="{A7FA4AF3-642A-43A1-9D6A-5A98329BC48E}"/>
    <cellStyle name="Normal 4 3 2 2 2 2 6 2 3" xfId="13651" xr:uid="{AFC9D57E-0ECF-4909-AA83-5503F58C4AB5}"/>
    <cellStyle name="Normal 4 3 2 2 2 2 6 2 4" xfId="22950" xr:uid="{C562A153-6CCC-495F-882C-E6EDCD061A73}"/>
    <cellStyle name="Normal 4 3 2 2 2 2 6 3" xfId="6397" xr:uid="{00000000-0005-0000-0000-00002F140000}"/>
    <cellStyle name="Normal 4 3 2 2 2 2 6 3 2" xfId="15723" xr:uid="{475A119E-84B1-4CED-B993-82DAE76BD73E}"/>
    <cellStyle name="Normal 4 3 2 2 2 2 6 3 3" xfId="25022" xr:uid="{512CC480-8999-49E2-ABA8-B0AB72B02A2F}"/>
    <cellStyle name="Normal 4 3 2 2 2 2 6 4" xfId="11506" xr:uid="{1217CC16-04A0-4B82-99F5-F5FD73ABE3AE}"/>
    <cellStyle name="Normal 4 3 2 2 2 2 6 5" xfId="20805" xr:uid="{FEF72B13-4BD6-4367-A5AC-D912355D4465}"/>
    <cellStyle name="Normal 4 3 2 2 2 2 7" xfId="2527" xr:uid="{00000000-0005-0000-0000-000030140000}"/>
    <cellStyle name="Normal 4 3 2 2 2 2 7 2" xfId="6810" xr:uid="{00000000-0005-0000-0000-000031140000}"/>
    <cellStyle name="Normal 4 3 2 2 2 2 7 2 2" xfId="16136" xr:uid="{FC6E38F9-425D-4234-9A8A-62A02FE948AD}"/>
    <cellStyle name="Normal 4 3 2 2 2 2 7 2 3" xfId="25435" xr:uid="{1D7371FB-5BB3-45C4-AB6F-2CD6580E5ADE}"/>
    <cellStyle name="Normal 4 3 2 2 2 2 7 3" xfId="11919" xr:uid="{7058D3E9-10D4-44B6-B56B-6D2523A8D9BD}"/>
    <cellStyle name="Normal 4 3 2 2 2 2 7 4" xfId="21218" xr:uid="{0983D6D1-424F-4B51-846F-24D8C5A8F07F}"/>
    <cellStyle name="Normal 4 3 2 2 2 2 8" xfId="4745" xr:uid="{00000000-0005-0000-0000-000032140000}"/>
    <cellStyle name="Normal 4 3 2 2 2 2 8 2" xfId="14071" xr:uid="{423BA943-E1B0-443F-8659-8B620B2CEC8C}"/>
    <cellStyle name="Normal 4 3 2 2 2 2 8 3" xfId="23370" xr:uid="{473D68DD-BFC4-44A8-85E1-9FA5C32B3E95}"/>
    <cellStyle name="Normal 4 3 2 2 2 2 9" xfId="8925" xr:uid="{71BB8AFA-37D7-474D-A12B-C284DDE23CE9}"/>
    <cellStyle name="Normal 4 3 2 2 2 2 9 2" xfId="18249" xr:uid="{DAACE7D0-8708-42D4-B212-0F632F8A3561}"/>
    <cellStyle name="Normal 4 3 2 2 2 2 9 3" xfId="27547" xr:uid="{5FD1AC6D-EEA5-4CC2-8E7A-504DA78DA7A2}"/>
    <cellStyle name="Normal 4 3 2 2 2 3" xfId="372" xr:uid="{00000000-0005-0000-0000-000033140000}"/>
    <cellStyle name="Normal 4 3 2 2 2 3 10" xfId="19155" xr:uid="{5895399A-38D6-4ED0-9ACB-9A4B4A0AFB9F}"/>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B51BD849-03D3-42A5-9581-D20A67938BA6}"/>
    <cellStyle name="Normal 4 3 2 2 2 3 2 2 2 3" xfId="25930" xr:uid="{73845093-EEB4-48D4-910D-6E89D394507C}"/>
    <cellStyle name="Normal 4 3 2 2 2 3 2 2 3" xfId="12414" xr:uid="{1C8AC5BD-1AD2-4D14-84D0-5B02CEF2F53E}"/>
    <cellStyle name="Normal 4 3 2 2 2 3 2 2 4" xfId="21713" xr:uid="{C80B8796-E4C1-41DA-B875-2EC243245076}"/>
    <cellStyle name="Normal 4 3 2 2 2 3 2 3" xfId="5160" xr:uid="{00000000-0005-0000-0000-000037140000}"/>
    <cellStyle name="Normal 4 3 2 2 2 3 2 3 2" xfId="14486" xr:uid="{FF7D396B-6FF0-469A-AAD7-9BFA15F9F0B7}"/>
    <cellStyle name="Normal 4 3 2 2 2 3 2 3 3" xfId="23785" xr:uid="{8D3906B5-35B4-487D-8A49-20F42C3E762B}"/>
    <cellStyle name="Normal 4 3 2 2 2 3 2 4" xfId="9454" xr:uid="{B81F5EAA-7D8E-43B5-94D7-313E66088BA5}"/>
    <cellStyle name="Normal 4 3 2 2 2 3 2 4 2" xfId="18769" xr:uid="{AFB62D4F-35C8-4357-9CDB-6420AC6D9704}"/>
    <cellStyle name="Normal 4 3 2 2 2 3 2 4 3" xfId="28066" xr:uid="{2DB58D18-AED5-441F-A09C-9DA5F6FEF4EA}"/>
    <cellStyle name="Normal 4 3 2 2 2 3 2 5" xfId="10269" xr:uid="{EBD76F03-0294-4BE6-A5EB-3AFBE1862039}"/>
    <cellStyle name="Normal 4 3 2 2 2 3 2 6" xfId="19568" xr:uid="{B6B4A90B-3B4A-4839-917A-DECADC7E82E4}"/>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C184F78C-44C8-4F2F-A349-D2D0A02CED78}"/>
    <cellStyle name="Normal 4 3 2 2 2 3 3 2 2 3" xfId="26343" xr:uid="{2313A353-6653-4FA9-A9CA-7032B0264105}"/>
    <cellStyle name="Normal 4 3 2 2 2 3 3 2 3" xfId="12827" xr:uid="{BBE1A9F0-85F2-471A-8202-E6DA15B23166}"/>
    <cellStyle name="Normal 4 3 2 2 2 3 3 2 4" xfId="22126" xr:uid="{BADCC958-C3C2-468B-8831-752639C5D8B2}"/>
    <cellStyle name="Normal 4 3 2 2 2 3 3 3" xfId="5573" xr:uid="{00000000-0005-0000-0000-00003B140000}"/>
    <cellStyle name="Normal 4 3 2 2 2 3 3 3 2" xfId="14899" xr:uid="{443C3CC3-4B94-4C99-87B7-4378FE0E162C}"/>
    <cellStyle name="Normal 4 3 2 2 2 3 3 3 3" xfId="24198" xr:uid="{5A70904C-1ED8-40E5-8E33-30F5C5C0BA13}"/>
    <cellStyle name="Normal 4 3 2 2 2 3 3 4" xfId="10682" xr:uid="{46E22DAD-A1F9-4196-A36C-85B1100F206B}"/>
    <cellStyle name="Normal 4 3 2 2 2 3 3 5" xfId="19981" xr:uid="{968D9CAC-6CDB-4662-9FBF-1298ED17C631}"/>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D3CCF0AA-B83A-4755-89A4-36F879F87E3F}"/>
    <cellStyle name="Normal 4 3 2 2 2 3 4 2 2 3" xfId="26756" xr:uid="{418A6648-8D5E-421B-8556-CA491EA14E88}"/>
    <cellStyle name="Normal 4 3 2 2 2 3 4 2 3" xfId="13240" xr:uid="{B79A086B-C106-4B6C-B7D1-9253A5E141D7}"/>
    <cellStyle name="Normal 4 3 2 2 2 3 4 2 4" xfId="22539" xr:uid="{B2722ABA-32DB-4AF3-8D52-CC902BCE8DCC}"/>
    <cellStyle name="Normal 4 3 2 2 2 3 4 3" xfId="5986" xr:uid="{00000000-0005-0000-0000-00003F140000}"/>
    <cellStyle name="Normal 4 3 2 2 2 3 4 3 2" xfId="15312" xr:uid="{706BF753-39B7-4EEB-8DE9-FBA720537AA6}"/>
    <cellStyle name="Normal 4 3 2 2 2 3 4 3 3" xfId="24611" xr:uid="{25B24293-7874-431A-A631-9B8356669067}"/>
    <cellStyle name="Normal 4 3 2 2 2 3 4 4" xfId="11095" xr:uid="{C56F3365-77A8-4901-B5F2-5F94DDB63D1D}"/>
    <cellStyle name="Normal 4 3 2 2 2 3 4 5" xfId="20394" xr:uid="{A9D2011B-4A62-4FB2-9279-8F90AD6F13A2}"/>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C680C1F9-58C6-472E-9CC3-76A2AB44BC64}"/>
    <cellStyle name="Normal 4 3 2 2 2 3 5 2 2 3" xfId="27169" xr:uid="{E73E2984-38C5-4ADE-B7C6-40AE17F86882}"/>
    <cellStyle name="Normal 4 3 2 2 2 3 5 2 3" xfId="13653" xr:uid="{136A97A6-57EA-4B73-AE18-078B653AB9E3}"/>
    <cellStyle name="Normal 4 3 2 2 2 3 5 2 4" xfId="22952" xr:uid="{5746CF97-88FB-40AF-9546-245CB8E79D2C}"/>
    <cellStyle name="Normal 4 3 2 2 2 3 5 3" xfId="6399" xr:uid="{00000000-0005-0000-0000-000043140000}"/>
    <cellStyle name="Normal 4 3 2 2 2 3 5 3 2" xfId="15725" xr:uid="{FA465A47-138B-4001-87F2-9CF4D9728502}"/>
    <cellStyle name="Normal 4 3 2 2 2 3 5 3 3" xfId="25024" xr:uid="{6504C29C-E645-4527-8B96-B455FFD6154B}"/>
    <cellStyle name="Normal 4 3 2 2 2 3 5 4" xfId="11508" xr:uid="{296D135A-582C-44D4-B46E-9A2C8464F8CA}"/>
    <cellStyle name="Normal 4 3 2 2 2 3 5 5" xfId="20807" xr:uid="{EBB839A4-62DC-47FA-A5EC-CF16CF4923A3}"/>
    <cellStyle name="Normal 4 3 2 2 2 3 6" xfId="2529" xr:uid="{00000000-0005-0000-0000-000044140000}"/>
    <cellStyle name="Normal 4 3 2 2 2 3 6 2" xfId="6812" xr:uid="{00000000-0005-0000-0000-000045140000}"/>
    <cellStyle name="Normal 4 3 2 2 2 3 6 2 2" xfId="16138" xr:uid="{24F26526-78FC-4E9D-9E75-62F12BA51B10}"/>
    <cellStyle name="Normal 4 3 2 2 2 3 6 2 3" xfId="25437" xr:uid="{8B40CD75-C6A8-4743-A18E-87276B863931}"/>
    <cellStyle name="Normal 4 3 2 2 2 3 6 3" xfId="11921" xr:uid="{67104BF3-84B4-4707-971D-280F9883F06A}"/>
    <cellStyle name="Normal 4 3 2 2 2 3 6 4" xfId="21220" xr:uid="{B98A4EF3-7367-4467-8ED6-FBC6A53DB417}"/>
    <cellStyle name="Normal 4 3 2 2 2 3 7" xfId="4747" xr:uid="{00000000-0005-0000-0000-000046140000}"/>
    <cellStyle name="Normal 4 3 2 2 2 3 7 2" xfId="14073" xr:uid="{64AB9674-B748-4EC9-9317-27EC620BA1D0}"/>
    <cellStyle name="Normal 4 3 2 2 2 3 7 3" xfId="23372" xr:uid="{58967B90-882A-4845-9D01-48DBAEB7462B}"/>
    <cellStyle name="Normal 4 3 2 2 2 3 8" xfId="9029" xr:uid="{CC421D7E-69EF-4D96-A95C-E67F046F8D14}"/>
    <cellStyle name="Normal 4 3 2 2 2 3 8 2" xfId="18353" xr:uid="{CEC6A945-67F4-4B49-A976-DFAABDC5920B}"/>
    <cellStyle name="Normal 4 3 2 2 2 3 8 3" xfId="27651" xr:uid="{D64C093D-9ED8-4E28-8183-A5AB1A5E09F0}"/>
    <cellStyle name="Normal 4 3 2 2 2 3 9" xfId="9856" xr:uid="{E8C272D3-11C0-42B9-934F-0AD5F21071BB}"/>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CA4711BB-B47B-4BBF-A734-4EB9B5002292}"/>
    <cellStyle name="Normal 4 3 2 2 2 4 2 2 3" xfId="25927" xr:uid="{4B0E8CE3-8CCE-45B9-9098-C28BAE4DDA5A}"/>
    <cellStyle name="Normal 4 3 2 2 2 4 2 3" xfId="12411" xr:uid="{6FE6A00E-D7E8-4303-85DF-C506550C561E}"/>
    <cellStyle name="Normal 4 3 2 2 2 4 2 4" xfId="21710" xr:uid="{459CB14E-A675-4E65-B036-5CD66C6A1432}"/>
    <cellStyle name="Normal 4 3 2 2 2 4 3" xfId="5157" xr:uid="{00000000-0005-0000-0000-00004A140000}"/>
    <cellStyle name="Normal 4 3 2 2 2 4 3 2" xfId="14483" xr:uid="{ABD6D114-8877-48C3-B183-4242989AF2D6}"/>
    <cellStyle name="Normal 4 3 2 2 2 4 3 3" xfId="23782" xr:uid="{738CDFFF-7D4C-4593-BADD-7023C8515710}"/>
    <cellStyle name="Normal 4 3 2 2 2 4 4" xfId="9247" xr:uid="{70D9D224-DB0B-42B4-B4A9-BC88F455C395}"/>
    <cellStyle name="Normal 4 3 2 2 2 4 4 2" xfId="18562" xr:uid="{8C59DE2A-6D5A-4AD5-B3B1-54A6BF3EDA93}"/>
    <cellStyle name="Normal 4 3 2 2 2 4 4 3" xfId="27859" xr:uid="{FCBD2736-8258-4D6D-BEB1-1B5DA3C7A95E}"/>
    <cellStyle name="Normal 4 3 2 2 2 4 5" xfId="10266" xr:uid="{582E4E8E-6A94-476D-8A5C-6A4FA1A169AE}"/>
    <cellStyle name="Normal 4 3 2 2 2 4 6" xfId="19565" xr:uid="{FB2F94A9-D289-428F-85CE-543C85D0794B}"/>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820C662A-B89A-41AC-B742-4A0616B19BFD}"/>
    <cellStyle name="Normal 4 3 2 2 2 5 2 2 3" xfId="26340" xr:uid="{60A302F2-C059-494D-B6D0-3BE116D68130}"/>
    <cellStyle name="Normal 4 3 2 2 2 5 2 3" xfId="12824" xr:uid="{98D44365-CA9F-4970-B347-D43FB44013CA}"/>
    <cellStyle name="Normal 4 3 2 2 2 5 2 4" xfId="22123" xr:uid="{E418166F-D015-4C9E-8220-6FC72658C92D}"/>
    <cellStyle name="Normal 4 3 2 2 2 5 3" xfId="5570" xr:uid="{00000000-0005-0000-0000-00004E140000}"/>
    <cellStyle name="Normal 4 3 2 2 2 5 3 2" xfId="14896" xr:uid="{ADED927A-E95E-41D5-9782-87E16181D120}"/>
    <cellStyle name="Normal 4 3 2 2 2 5 3 3" xfId="24195" xr:uid="{19D497FE-041A-43C5-BC75-810E778DDE4C}"/>
    <cellStyle name="Normal 4 3 2 2 2 5 4" xfId="10679" xr:uid="{46E43B06-0485-4AA8-A29E-5D4DD40EDBA7}"/>
    <cellStyle name="Normal 4 3 2 2 2 5 5" xfId="19978" xr:uid="{B266880B-2EE4-43F0-BA29-805C092C77FE}"/>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95147DF4-30FA-4112-A364-7012DC1BC2CC}"/>
    <cellStyle name="Normal 4 3 2 2 2 6 2 2 3" xfId="26753" xr:uid="{8F410E8A-B19F-4B49-82EC-72257C3CDFF0}"/>
    <cellStyle name="Normal 4 3 2 2 2 6 2 3" xfId="13237" xr:uid="{5BFABB79-2EAD-4BAC-A59C-0E6F81EA04A5}"/>
    <cellStyle name="Normal 4 3 2 2 2 6 2 4" xfId="22536" xr:uid="{89BF03C5-26DA-4F63-82CE-D695F19749F5}"/>
    <cellStyle name="Normal 4 3 2 2 2 6 3" xfId="5983" xr:uid="{00000000-0005-0000-0000-000052140000}"/>
    <cellStyle name="Normal 4 3 2 2 2 6 3 2" xfId="15309" xr:uid="{864F4B77-C5D2-4C5A-80A2-3EB38643C061}"/>
    <cellStyle name="Normal 4 3 2 2 2 6 3 3" xfId="24608" xr:uid="{EB056F5F-0777-412C-8A23-F5346E8B7088}"/>
    <cellStyle name="Normal 4 3 2 2 2 6 4" xfId="11092" xr:uid="{DA9945EC-A9CF-41C2-B0D0-39AAC4272F62}"/>
    <cellStyle name="Normal 4 3 2 2 2 6 5" xfId="20391" xr:uid="{20035203-A2BF-4B1E-87F6-0BAA072B6C24}"/>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F7821731-4B7A-4C43-941F-F407A000F645}"/>
    <cellStyle name="Normal 4 3 2 2 2 7 2 2 3" xfId="27166" xr:uid="{D7D40622-495C-4A8B-B939-6B297589F45A}"/>
    <cellStyle name="Normal 4 3 2 2 2 7 2 3" xfId="13650" xr:uid="{40B76E19-39B3-4E10-96AC-943C71255BFD}"/>
    <cellStyle name="Normal 4 3 2 2 2 7 2 4" xfId="22949" xr:uid="{4E99EF74-7E3F-4413-AA32-2228CA902B95}"/>
    <cellStyle name="Normal 4 3 2 2 2 7 3" xfId="6396" xr:uid="{00000000-0005-0000-0000-000056140000}"/>
    <cellStyle name="Normal 4 3 2 2 2 7 3 2" xfId="15722" xr:uid="{B5467EA9-5F18-441D-A0A6-DC66D8431F5C}"/>
    <cellStyle name="Normal 4 3 2 2 2 7 3 3" xfId="25021" xr:uid="{8186A665-2596-40B8-8F5F-FBD2B455E0BB}"/>
    <cellStyle name="Normal 4 3 2 2 2 7 4" xfId="11505" xr:uid="{F212B4C5-D50C-4F6B-916A-685F25442422}"/>
    <cellStyle name="Normal 4 3 2 2 2 7 5" xfId="20804" xr:uid="{4FDC1783-A74C-4F01-A641-42FD3AFB4DEE}"/>
    <cellStyle name="Normal 4 3 2 2 2 8" xfId="2526" xr:uid="{00000000-0005-0000-0000-000057140000}"/>
    <cellStyle name="Normal 4 3 2 2 2 8 2" xfId="6809" xr:uid="{00000000-0005-0000-0000-000058140000}"/>
    <cellStyle name="Normal 4 3 2 2 2 8 2 2" xfId="16135" xr:uid="{5D80C822-9BAF-48B3-A272-A18C691D1B95}"/>
    <cellStyle name="Normal 4 3 2 2 2 8 2 3" xfId="25434" xr:uid="{9B4FD9C5-E57A-4F0D-B676-1D32CBAB864A}"/>
    <cellStyle name="Normal 4 3 2 2 2 8 3" xfId="11918" xr:uid="{61C973B3-1ECC-4F57-B6C5-9B0E7257BBCF}"/>
    <cellStyle name="Normal 4 3 2 2 2 8 4" xfId="21217" xr:uid="{86508049-D248-4C75-A271-8A230DD70B64}"/>
    <cellStyle name="Normal 4 3 2 2 2 9" xfId="4744" xr:uid="{00000000-0005-0000-0000-000059140000}"/>
    <cellStyle name="Normal 4 3 2 2 2 9 2" xfId="14070" xr:uid="{18ED0C5C-7DCA-49BD-A9DF-08A941588310}"/>
    <cellStyle name="Normal 4 3 2 2 2 9 3" xfId="23369" xr:uid="{E4B68915-1177-45EE-9123-3AEDC7218A8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6244347D-C22E-4A19-975F-9EB9F6FBB8EC}"/>
    <cellStyle name="Normal 4 3 3 10 3" xfId="27443" xr:uid="{E266E80E-2CFA-41F8-9503-32B094D1E982}"/>
    <cellStyle name="Normal 4 3 3 11" xfId="9857" xr:uid="{8B87E096-B1EB-4FE9-9568-365E7DA77273}"/>
    <cellStyle name="Normal 4 3 3 12" xfId="19156" xr:uid="{D63B7B09-E72F-461F-BE88-A0956D08CA20}"/>
    <cellStyle name="Normal 4 3 3 2" xfId="375" xr:uid="{00000000-0005-0000-0000-00005E140000}"/>
    <cellStyle name="Normal 4 3 3 2 10" xfId="9858" xr:uid="{9C78CF20-1C63-4C64-B246-4095F229CF49}"/>
    <cellStyle name="Normal 4 3 3 2 11" xfId="19157" xr:uid="{55D9531D-CFC8-4FF1-918E-30D45757FF19}"/>
    <cellStyle name="Normal 4 3 3 2 2" xfId="376" xr:uid="{00000000-0005-0000-0000-00005F140000}"/>
    <cellStyle name="Normal 4 3 3 2 2 10" xfId="19158" xr:uid="{ACD2AD9C-26FB-42A2-8116-3BD4B3B61188}"/>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5D98A664-A3D6-4D1C-A4D0-B4D9229DA361}"/>
    <cellStyle name="Normal 4 3 3 2 2 2 2 2 3" xfId="25933" xr:uid="{DE9786B3-8FA6-4751-A2B1-E2FA09E6DBDC}"/>
    <cellStyle name="Normal 4 3 3 2 2 2 2 3" xfId="12417" xr:uid="{3F80E3C5-F763-4ACC-B501-FBBB5E142BBB}"/>
    <cellStyle name="Normal 4 3 3 2 2 2 2 4" xfId="21716" xr:uid="{998CC576-D64D-4002-8185-E82764147166}"/>
    <cellStyle name="Normal 4 3 3 2 2 2 3" xfId="5163" xr:uid="{00000000-0005-0000-0000-000063140000}"/>
    <cellStyle name="Normal 4 3 3 2 2 2 3 2" xfId="14489" xr:uid="{48434BEF-16BD-419E-A646-EB105AEBC7DE}"/>
    <cellStyle name="Normal 4 3 3 2 2 2 3 3" xfId="23788" xr:uid="{835C6616-0150-4614-8264-D4120512EAFC}"/>
    <cellStyle name="Normal 4 3 3 2 2 2 4" xfId="9556" xr:uid="{7233D5E9-9F1E-43FF-8391-DCCFDF8A705D}"/>
    <cellStyle name="Normal 4 3 3 2 2 2 4 2" xfId="18871" xr:uid="{1EDA8CC6-A4BB-4358-9DB1-782989168EB2}"/>
    <cellStyle name="Normal 4 3 3 2 2 2 4 3" xfId="28168" xr:uid="{CC86875F-3B3A-4359-967B-C947F28154A0}"/>
    <cellStyle name="Normal 4 3 3 2 2 2 5" xfId="10272" xr:uid="{D529CDF1-8EFA-4577-9186-19875AEB6797}"/>
    <cellStyle name="Normal 4 3 3 2 2 2 6" xfId="19571" xr:uid="{FC394ABA-B646-4EB5-AE8C-F2728032439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9F2FAF32-AE89-4F03-97D3-D978509C5B13}"/>
    <cellStyle name="Normal 4 3 3 2 2 3 2 2 3" xfId="26346" xr:uid="{FC7B5198-9393-4B0A-B975-79749F933B34}"/>
    <cellStyle name="Normal 4 3 3 2 2 3 2 3" xfId="12830" xr:uid="{A1718E4E-1B34-493E-A270-0DA3B5ABB281}"/>
    <cellStyle name="Normal 4 3 3 2 2 3 2 4" xfId="22129" xr:uid="{4BB17E58-E50A-4C96-9F5E-135F4AD28196}"/>
    <cellStyle name="Normal 4 3 3 2 2 3 3" xfId="5576" xr:uid="{00000000-0005-0000-0000-000067140000}"/>
    <cellStyle name="Normal 4 3 3 2 2 3 3 2" xfId="14902" xr:uid="{EDE3284C-3C7B-4867-8AF8-ADA4875AAF61}"/>
    <cellStyle name="Normal 4 3 3 2 2 3 3 3" xfId="24201" xr:uid="{4675082B-3D4A-483D-9F89-AEA36A2B501F}"/>
    <cellStyle name="Normal 4 3 3 2 2 3 4" xfId="10685" xr:uid="{9BF42633-9788-4E09-9A52-9D758FBBAD21}"/>
    <cellStyle name="Normal 4 3 3 2 2 3 5" xfId="19984" xr:uid="{0FA2ADBC-C018-4850-96A1-588CB8A9F84C}"/>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D0FF9A09-9B9F-40EA-99DF-10A9BB5DDBF9}"/>
    <cellStyle name="Normal 4 3 3 2 2 4 2 2 3" xfId="26759" xr:uid="{F5486367-DE35-4E85-B6F4-73E65B44E593}"/>
    <cellStyle name="Normal 4 3 3 2 2 4 2 3" xfId="13243" xr:uid="{2AA3A380-FEC0-4D03-AA9A-9956670CC71B}"/>
    <cellStyle name="Normal 4 3 3 2 2 4 2 4" xfId="22542" xr:uid="{91AD3493-36C5-4778-BB84-01A59532A8E8}"/>
    <cellStyle name="Normal 4 3 3 2 2 4 3" xfId="5989" xr:uid="{00000000-0005-0000-0000-00006B140000}"/>
    <cellStyle name="Normal 4 3 3 2 2 4 3 2" xfId="15315" xr:uid="{12E4E0ED-2625-4016-A7F7-AA4F7244EEE6}"/>
    <cellStyle name="Normal 4 3 3 2 2 4 3 3" xfId="24614" xr:uid="{08241E72-0E65-4335-BCE4-861AA462CF6B}"/>
    <cellStyle name="Normal 4 3 3 2 2 4 4" xfId="11098" xr:uid="{935703F1-06C5-41CE-B904-34D196F21798}"/>
    <cellStyle name="Normal 4 3 3 2 2 4 5" xfId="20397" xr:uid="{DAE12CDC-1196-422F-A4FF-F3D8FB61064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88DC251D-82E9-46D9-BBA5-DF6D84C17352}"/>
    <cellStyle name="Normal 4 3 3 2 2 5 2 2 3" xfId="27172" xr:uid="{E47BB3BC-4962-4E54-8E77-76128B58A34C}"/>
    <cellStyle name="Normal 4 3 3 2 2 5 2 3" xfId="13656" xr:uid="{751B974C-7D97-4B8B-A214-89350C435AD9}"/>
    <cellStyle name="Normal 4 3 3 2 2 5 2 4" xfId="22955" xr:uid="{9165B502-443B-47A9-8BD1-E403F004431C}"/>
    <cellStyle name="Normal 4 3 3 2 2 5 3" xfId="6402" xr:uid="{00000000-0005-0000-0000-00006F140000}"/>
    <cellStyle name="Normal 4 3 3 2 2 5 3 2" xfId="15728" xr:uid="{6EF490C1-EE87-478C-8112-00E4F5D8FC3E}"/>
    <cellStyle name="Normal 4 3 3 2 2 5 3 3" xfId="25027" xr:uid="{3AAC84C5-AB6D-4866-9AAB-D95DB4D210AE}"/>
    <cellStyle name="Normal 4 3 3 2 2 5 4" xfId="11511" xr:uid="{38E55665-21F5-465C-9CB2-F100C2A64AFF}"/>
    <cellStyle name="Normal 4 3 3 2 2 5 5" xfId="20810" xr:uid="{99C71299-561A-41B7-AFB3-D84CB671937F}"/>
    <cellStyle name="Normal 4 3 3 2 2 6" xfId="2532" xr:uid="{00000000-0005-0000-0000-000070140000}"/>
    <cellStyle name="Normal 4 3 3 2 2 6 2" xfId="6815" xr:uid="{00000000-0005-0000-0000-000071140000}"/>
    <cellStyle name="Normal 4 3 3 2 2 6 2 2" xfId="16141" xr:uid="{86DF61FE-0C7B-4783-A69F-7A4D95B1CBC2}"/>
    <cellStyle name="Normal 4 3 3 2 2 6 2 3" xfId="25440" xr:uid="{7471EBF1-BFE1-465E-A759-CF7302B893C6}"/>
    <cellStyle name="Normal 4 3 3 2 2 6 3" xfId="11924" xr:uid="{A00741FE-01ED-4139-A551-D91B34254FAF}"/>
    <cellStyle name="Normal 4 3 3 2 2 6 4" xfId="21223" xr:uid="{D4058052-3AA8-4426-9CA1-46815FBAA005}"/>
    <cellStyle name="Normal 4 3 3 2 2 7" xfId="4750" xr:uid="{00000000-0005-0000-0000-000072140000}"/>
    <cellStyle name="Normal 4 3 3 2 2 7 2" xfId="14076" xr:uid="{5DF65F5E-5391-4B99-8D60-AD9C88CE8498}"/>
    <cellStyle name="Normal 4 3 3 2 2 7 3" xfId="23375" xr:uid="{1164CD0B-85BF-441C-B495-80E561354952}"/>
    <cellStyle name="Normal 4 3 3 2 2 8" xfId="9131" xr:uid="{D7BA3B10-6765-4B57-99D1-3AF7343772F8}"/>
    <cellStyle name="Normal 4 3 3 2 2 8 2" xfId="18455" xr:uid="{3FBC52AC-8AE5-40E4-8A58-40653209BAD0}"/>
    <cellStyle name="Normal 4 3 3 2 2 8 3" xfId="27753" xr:uid="{7A36EEFE-4AAD-4C56-8A25-13D6CFF6792E}"/>
    <cellStyle name="Normal 4 3 3 2 2 9" xfId="9859" xr:uid="{2B38E276-3259-4CE0-8211-D4B9DD7B80A9}"/>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85E65585-EE6D-4D81-A7FA-4A83CBC83299}"/>
    <cellStyle name="Normal 4 3 3 2 3 2 2 3" xfId="25932" xr:uid="{50564C88-B4C0-48D3-ABE4-7C6C8E0B9230}"/>
    <cellStyle name="Normal 4 3 3 2 3 2 3" xfId="12416" xr:uid="{98D48043-A0B6-4A74-8AB8-A0A7CD2D758C}"/>
    <cellStyle name="Normal 4 3 3 2 3 2 4" xfId="21715" xr:uid="{354EA52B-C3C3-40CB-9681-0CD79ED1FD46}"/>
    <cellStyle name="Normal 4 3 3 2 3 3" xfId="5162" xr:uid="{00000000-0005-0000-0000-000076140000}"/>
    <cellStyle name="Normal 4 3 3 2 3 3 2" xfId="14488" xr:uid="{3AC23871-5F6C-4E2F-AED4-AAD289686AC5}"/>
    <cellStyle name="Normal 4 3 3 2 3 3 3" xfId="23787" xr:uid="{E5EDF64D-77E0-405B-A119-E71D0768927F}"/>
    <cellStyle name="Normal 4 3 3 2 3 4" xfId="9349" xr:uid="{E498700C-D7AE-42FC-8EB1-59BA2C1BA6B9}"/>
    <cellStyle name="Normal 4 3 3 2 3 4 2" xfId="18664" xr:uid="{A71D66D9-C9D5-4101-9B74-069F6696753B}"/>
    <cellStyle name="Normal 4 3 3 2 3 4 3" xfId="27961" xr:uid="{39965994-5EBE-4D39-B262-370ADDC5B00D}"/>
    <cellStyle name="Normal 4 3 3 2 3 5" xfId="10271" xr:uid="{DE0DC3CE-6325-497A-BB5D-6C36902CECC4}"/>
    <cellStyle name="Normal 4 3 3 2 3 6" xfId="19570" xr:uid="{9AFCB564-CBEB-41F3-B508-838C555B93B3}"/>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1BAA32A2-D876-435E-AC87-4D33693D7BF6}"/>
    <cellStyle name="Normal 4 3 3 2 4 2 2 3" xfId="26345" xr:uid="{F86F52CC-FE79-4597-808E-251108BD928C}"/>
    <cellStyle name="Normal 4 3 3 2 4 2 3" xfId="12829" xr:uid="{DC0B498D-8C43-4BA7-BB81-92356C7592E6}"/>
    <cellStyle name="Normal 4 3 3 2 4 2 4" xfId="22128" xr:uid="{2CC37F07-3755-4256-8399-481BBDD2AED2}"/>
    <cellStyle name="Normal 4 3 3 2 4 3" xfId="5575" xr:uid="{00000000-0005-0000-0000-00007A140000}"/>
    <cellStyle name="Normal 4 3 3 2 4 3 2" xfId="14901" xr:uid="{5C72330C-F00F-4A25-94AD-A6DFDFD7F3F4}"/>
    <cellStyle name="Normal 4 3 3 2 4 3 3" xfId="24200" xr:uid="{E7663601-6689-4851-909F-C688F45768F6}"/>
    <cellStyle name="Normal 4 3 3 2 4 4" xfId="10684" xr:uid="{4A649CCF-6BA8-4FF2-BC38-4238F639280C}"/>
    <cellStyle name="Normal 4 3 3 2 4 5" xfId="19983" xr:uid="{9502935B-3794-4572-8B47-6E1313034207}"/>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A7B1C8C9-5A3B-4035-A522-56BD89765D0F}"/>
    <cellStyle name="Normal 4 3 3 2 5 2 2 3" xfId="26758" xr:uid="{33178F43-A236-4324-870E-F288832E98E9}"/>
    <cellStyle name="Normal 4 3 3 2 5 2 3" xfId="13242" xr:uid="{1B969523-84C8-448A-BCAF-E06416DDD0C3}"/>
    <cellStyle name="Normal 4 3 3 2 5 2 4" xfId="22541" xr:uid="{15581E64-4995-49E3-B7AD-15ACF6231BE3}"/>
    <cellStyle name="Normal 4 3 3 2 5 3" xfId="5988" xr:uid="{00000000-0005-0000-0000-00007E140000}"/>
    <cellStyle name="Normal 4 3 3 2 5 3 2" xfId="15314" xr:uid="{022CB299-6BE1-49DC-8B2E-57412AA52EED}"/>
    <cellStyle name="Normal 4 3 3 2 5 3 3" xfId="24613" xr:uid="{F2F7E5C7-E647-42BA-A920-371073FB138E}"/>
    <cellStyle name="Normal 4 3 3 2 5 4" xfId="11097" xr:uid="{0E63D160-6967-4544-8D1A-73CE5092332B}"/>
    <cellStyle name="Normal 4 3 3 2 5 5" xfId="20396" xr:uid="{7A7A427F-D560-45AF-AD91-D0ED48B6F8AE}"/>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5D9A9D3A-359E-48A2-A41E-146BBD931F04}"/>
    <cellStyle name="Normal 4 3 3 2 6 2 2 3" xfId="27171" xr:uid="{221EDD8C-DB7A-46CD-9019-92C84CE4CA25}"/>
    <cellStyle name="Normal 4 3 3 2 6 2 3" xfId="13655" xr:uid="{B9A17683-BEBD-40C0-902F-B169245CA9BB}"/>
    <cellStyle name="Normal 4 3 3 2 6 2 4" xfId="22954" xr:uid="{905F8D86-BA57-40E9-818C-BF7F2D55DC2B}"/>
    <cellStyle name="Normal 4 3 3 2 6 3" xfId="6401" xr:uid="{00000000-0005-0000-0000-000082140000}"/>
    <cellStyle name="Normal 4 3 3 2 6 3 2" xfId="15727" xr:uid="{BD741F9B-1214-4791-AC36-97C0F428096F}"/>
    <cellStyle name="Normal 4 3 3 2 6 3 3" xfId="25026" xr:uid="{A173010A-4FD8-4A25-ABDD-6618025B296F}"/>
    <cellStyle name="Normal 4 3 3 2 6 4" xfId="11510" xr:uid="{180B6963-C751-4955-AC05-94DF16CE468B}"/>
    <cellStyle name="Normal 4 3 3 2 6 5" xfId="20809" xr:uid="{C4B41CCF-8B09-44A2-B4EA-8401A8ACED1C}"/>
    <cellStyle name="Normal 4 3 3 2 7" xfId="2531" xr:uid="{00000000-0005-0000-0000-000083140000}"/>
    <cellStyle name="Normal 4 3 3 2 7 2" xfId="6814" xr:uid="{00000000-0005-0000-0000-000084140000}"/>
    <cellStyle name="Normal 4 3 3 2 7 2 2" xfId="16140" xr:uid="{7D17EDFB-72EC-4DD8-B2A8-918900B864BC}"/>
    <cellStyle name="Normal 4 3 3 2 7 2 3" xfId="25439" xr:uid="{C0D3C3B5-0E08-4C52-94DF-E2D700264A7E}"/>
    <cellStyle name="Normal 4 3 3 2 7 3" xfId="11923" xr:uid="{85B97DA4-3C1C-40E9-B153-D094538D770E}"/>
    <cellStyle name="Normal 4 3 3 2 7 4" xfId="21222" xr:uid="{37A92B7A-40FB-4C41-8C62-621FFC75DB8D}"/>
    <cellStyle name="Normal 4 3 3 2 8" xfId="4749" xr:uid="{00000000-0005-0000-0000-000085140000}"/>
    <cellStyle name="Normal 4 3 3 2 8 2" xfId="14075" xr:uid="{026D7EB0-E4FF-4E02-8CEE-E215C932E980}"/>
    <cellStyle name="Normal 4 3 3 2 8 3" xfId="23374" xr:uid="{1B8225B0-CE8B-4029-AB6A-8C740CB7F67E}"/>
    <cellStyle name="Normal 4 3 3 2 9" xfId="8924" xr:uid="{F9E914C5-63E8-4CB8-8EA1-7427CE35C4AA}"/>
    <cellStyle name="Normal 4 3 3 2 9 2" xfId="18248" xr:uid="{38E256F9-52DD-461D-BDEE-AE072E3B7928}"/>
    <cellStyle name="Normal 4 3 3 2 9 3" xfId="27546" xr:uid="{DB6EF343-4DEF-4AA6-9BCE-9AB170321D29}"/>
    <cellStyle name="Normal 4 3 3 3" xfId="377" xr:uid="{00000000-0005-0000-0000-000086140000}"/>
    <cellStyle name="Normal 4 3 3 3 10" xfId="19159" xr:uid="{40BDF938-7B95-4C0F-A19B-49A9B0B5833E}"/>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5620EFFF-3116-4BAF-908C-582CAC6A07CF}"/>
    <cellStyle name="Normal 4 3 3 3 2 2 2 3" xfId="25934" xr:uid="{7794EA8D-8C7A-447C-B53B-7CB6F035A882}"/>
    <cellStyle name="Normal 4 3 3 3 2 2 3" xfId="12418" xr:uid="{7057CB26-9901-4172-8B00-C83A70FD8A0F}"/>
    <cellStyle name="Normal 4 3 3 3 2 2 4" xfId="21717" xr:uid="{EB58FB0A-3138-4183-A1F5-457E809A8635}"/>
    <cellStyle name="Normal 4 3 3 3 2 3" xfId="5164" xr:uid="{00000000-0005-0000-0000-00008A140000}"/>
    <cellStyle name="Normal 4 3 3 3 2 3 2" xfId="14490" xr:uid="{6620A513-EB16-4FB4-90CF-AC30CF580772}"/>
    <cellStyle name="Normal 4 3 3 3 2 3 3" xfId="23789" xr:uid="{894EECE7-5C27-4D6B-AEDC-53D51E7E49BD}"/>
    <cellStyle name="Normal 4 3 3 3 2 4" xfId="9453" xr:uid="{18D68920-503C-42C1-A733-EBE17DC6D008}"/>
    <cellStyle name="Normal 4 3 3 3 2 4 2" xfId="18768" xr:uid="{5DDDC4CC-B951-4D37-B407-67E5B9010883}"/>
    <cellStyle name="Normal 4 3 3 3 2 4 3" xfId="28065" xr:uid="{D3141E81-0690-4ADC-AFCC-BAB0D2751DE8}"/>
    <cellStyle name="Normal 4 3 3 3 2 5" xfId="10273" xr:uid="{82AB1DE3-55D6-4E51-8E36-1254723F27D8}"/>
    <cellStyle name="Normal 4 3 3 3 2 6" xfId="19572" xr:uid="{1E473F38-E900-4E0C-9162-E47B671B7812}"/>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0AE3CA46-168F-48FE-B3F6-800A50C33A29}"/>
    <cellStyle name="Normal 4 3 3 3 3 2 2 3" xfId="26347" xr:uid="{44D150EC-D63E-479B-9359-E1EE7E149A9D}"/>
    <cellStyle name="Normal 4 3 3 3 3 2 3" xfId="12831" xr:uid="{9D4BDD1E-7709-49FE-8B77-FD48F6715EBF}"/>
    <cellStyle name="Normal 4 3 3 3 3 2 4" xfId="22130" xr:uid="{72BB0FC9-4690-47E3-9C16-2CDBD0576F20}"/>
    <cellStyle name="Normal 4 3 3 3 3 3" xfId="5577" xr:uid="{00000000-0005-0000-0000-00008E140000}"/>
    <cellStyle name="Normal 4 3 3 3 3 3 2" xfId="14903" xr:uid="{65B0BCAC-1617-4FF8-84E0-A14C7B0BC315}"/>
    <cellStyle name="Normal 4 3 3 3 3 3 3" xfId="24202" xr:uid="{02BC1D07-68FB-4FE4-8ADD-553E3089566C}"/>
    <cellStyle name="Normal 4 3 3 3 3 4" xfId="10686" xr:uid="{917A9CB0-B63D-40BB-92EA-97B551282DFB}"/>
    <cellStyle name="Normal 4 3 3 3 3 5" xfId="19985" xr:uid="{D1057630-03DC-483D-98F9-1DC94E7354D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B226E954-096E-4FD5-9A83-63F41A5A17AC}"/>
    <cellStyle name="Normal 4 3 3 3 4 2 2 3" xfId="26760" xr:uid="{B74D91CC-2AEF-4633-AAD3-6C965B8A37C2}"/>
    <cellStyle name="Normal 4 3 3 3 4 2 3" xfId="13244" xr:uid="{D62042FC-A9EF-4C5C-8F67-02E71C210F9A}"/>
    <cellStyle name="Normal 4 3 3 3 4 2 4" xfId="22543" xr:uid="{D4EF1B1F-92B4-4960-A9A7-8347D467CB92}"/>
    <cellStyle name="Normal 4 3 3 3 4 3" xfId="5990" xr:uid="{00000000-0005-0000-0000-000092140000}"/>
    <cellStyle name="Normal 4 3 3 3 4 3 2" xfId="15316" xr:uid="{1DC2C532-A827-4A38-9AF1-87D250D43AF2}"/>
    <cellStyle name="Normal 4 3 3 3 4 3 3" xfId="24615" xr:uid="{D9750178-A442-4721-A76C-9703441D3DA5}"/>
    <cellStyle name="Normal 4 3 3 3 4 4" xfId="11099" xr:uid="{2BD581B7-175C-411E-BA64-D5A4B6BEEE1A}"/>
    <cellStyle name="Normal 4 3 3 3 4 5" xfId="20398" xr:uid="{30205061-28E4-4A4B-9067-A3588A6C3236}"/>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F918C40F-87B5-4937-ACEC-61F8F87E52B6}"/>
    <cellStyle name="Normal 4 3 3 3 5 2 2 3" xfId="27173" xr:uid="{35F1D165-392F-47A8-8231-FC644EBA5AB6}"/>
    <cellStyle name="Normal 4 3 3 3 5 2 3" xfId="13657" xr:uid="{FA8BDC39-1F28-438A-9012-3C53A7E26EB2}"/>
    <cellStyle name="Normal 4 3 3 3 5 2 4" xfId="22956" xr:uid="{C164F106-00B2-43A5-8DD1-FE78263F2F60}"/>
    <cellStyle name="Normal 4 3 3 3 5 3" xfId="6403" xr:uid="{00000000-0005-0000-0000-000096140000}"/>
    <cellStyle name="Normal 4 3 3 3 5 3 2" xfId="15729" xr:uid="{FC9E5333-B189-404A-BDCA-D591A337AFE3}"/>
    <cellStyle name="Normal 4 3 3 3 5 3 3" xfId="25028" xr:uid="{26FF3C61-EB90-4A2F-8677-C17763A05E07}"/>
    <cellStyle name="Normal 4 3 3 3 5 4" xfId="11512" xr:uid="{F96E2031-48B4-447F-AEAD-A6FA59243FA4}"/>
    <cellStyle name="Normal 4 3 3 3 5 5" xfId="20811" xr:uid="{66B56210-C047-4BD3-ABB6-0886CF22155D}"/>
    <cellStyle name="Normal 4 3 3 3 6" xfId="2533" xr:uid="{00000000-0005-0000-0000-000097140000}"/>
    <cellStyle name="Normal 4 3 3 3 6 2" xfId="6816" xr:uid="{00000000-0005-0000-0000-000098140000}"/>
    <cellStyle name="Normal 4 3 3 3 6 2 2" xfId="16142" xr:uid="{EF9DF779-FE9C-405C-9805-A703440536C1}"/>
    <cellStyle name="Normal 4 3 3 3 6 2 3" xfId="25441" xr:uid="{89B3867B-53AC-4CF7-A99F-D56233AAC218}"/>
    <cellStyle name="Normal 4 3 3 3 6 3" xfId="11925" xr:uid="{01ED73E2-7863-42C9-A3FD-A3D9368ED82B}"/>
    <cellStyle name="Normal 4 3 3 3 6 4" xfId="21224" xr:uid="{950D150C-19DF-4B5B-9AE2-B117DA1E0D16}"/>
    <cellStyle name="Normal 4 3 3 3 7" xfId="4751" xr:uid="{00000000-0005-0000-0000-000099140000}"/>
    <cellStyle name="Normal 4 3 3 3 7 2" xfId="14077" xr:uid="{D63E6045-5AED-4BA1-BF2A-87041F19877D}"/>
    <cellStyle name="Normal 4 3 3 3 7 3" xfId="23376" xr:uid="{FD4D751D-8349-4B7F-A5F4-48ED9927F9FC}"/>
    <cellStyle name="Normal 4 3 3 3 8" xfId="9028" xr:uid="{A0BD85BE-0D8B-455E-B326-708B8FF8A8C8}"/>
    <cellStyle name="Normal 4 3 3 3 8 2" xfId="18352" xr:uid="{56728784-0AC0-46D3-A1BA-90FD29E2CAF8}"/>
    <cellStyle name="Normal 4 3 3 3 8 3" xfId="27650" xr:uid="{0CD27170-9C6A-4310-8CA5-EDDBE83D38E7}"/>
    <cellStyle name="Normal 4 3 3 3 9" xfId="9860" xr:uid="{C8AB9971-2172-46E8-94BC-4B9472D7F142}"/>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0A4F2CFE-970F-45F9-9B88-F00683FC1B5B}"/>
    <cellStyle name="Normal 4 3 3 4 2 2 3" xfId="25931" xr:uid="{241B1585-E384-457C-81F3-BA891E0DF539}"/>
    <cellStyle name="Normal 4 3 3 4 2 3" xfId="12415" xr:uid="{8C78C237-B056-4F68-8AFE-079382C1AC27}"/>
    <cellStyle name="Normal 4 3 3 4 2 4" xfId="21714" xr:uid="{55C55A4D-62FF-435F-8773-1893E5367B5C}"/>
    <cellStyle name="Normal 4 3 3 4 3" xfId="5161" xr:uid="{00000000-0005-0000-0000-00009D140000}"/>
    <cellStyle name="Normal 4 3 3 4 3 2" xfId="14487" xr:uid="{D68584B8-2FED-47BD-B95A-E2B34D3A1F5A}"/>
    <cellStyle name="Normal 4 3 3 4 3 3" xfId="23786" xr:uid="{A262BF31-661C-4BD0-B60B-16F803D9F777}"/>
    <cellStyle name="Normal 4 3 3 4 4" xfId="9246" xr:uid="{E1107DA9-8F13-4216-80A2-CEA1D2EF57FC}"/>
    <cellStyle name="Normal 4 3 3 4 4 2" xfId="18561" xr:uid="{E2C8722A-26DB-4B60-B768-C86F6CF65ADC}"/>
    <cellStyle name="Normal 4 3 3 4 4 3" xfId="27858" xr:uid="{D02219AD-4FD0-4924-94D7-AFE528213295}"/>
    <cellStyle name="Normal 4 3 3 4 5" xfId="10270" xr:uid="{BF4B4678-F60F-4CDF-A482-FB353C34B1BB}"/>
    <cellStyle name="Normal 4 3 3 4 6" xfId="19569" xr:uid="{B6EBEA7E-EC26-41AF-AD68-54EACDD65A36}"/>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107178C7-F089-4865-AB37-2FCF57487C15}"/>
    <cellStyle name="Normal 4 3 3 5 2 2 3" xfId="26344" xr:uid="{F60995D1-57F5-44BB-BE75-21FA98EA3D96}"/>
    <cellStyle name="Normal 4 3 3 5 2 3" xfId="12828" xr:uid="{48441486-D4C2-4C23-8862-A1A3677C7274}"/>
    <cellStyle name="Normal 4 3 3 5 2 4" xfId="22127" xr:uid="{C729B92B-AE0A-4C9E-A80B-9B5466975FD3}"/>
    <cellStyle name="Normal 4 3 3 5 3" xfId="5574" xr:uid="{00000000-0005-0000-0000-0000A1140000}"/>
    <cellStyle name="Normal 4 3 3 5 3 2" xfId="14900" xr:uid="{81F321B7-E0AD-40AF-8BCD-12C32AFDE18D}"/>
    <cellStyle name="Normal 4 3 3 5 3 3" xfId="24199" xr:uid="{8A818496-E5BD-45D8-BBD6-66FE96664BEA}"/>
    <cellStyle name="Normal 4 3 3 5 4" xfId="10683" xr:uid="{C6ABBE12-9832-4A6F-9A46-5365811B1135}"/>
    <cellStyle name="Normal 4 3 3 5 5" xfId="19982" xr:uid="{B1C6494C-1108-47D2-9F70-FAC28B3376B0}"/>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02AAA474-CE12-4580-A31C-B65F6281B608}"/>
    <cellStyle name="Normal 4 3 3 6 2 2 3" xfId="26757" xr:uid="{543BF986-14CE-470A-84CB-12EE70477756}"/>
    <cellStyle name="Normal 4 3 3 6 2 3" xfId="13241" xr:uid="{71041921-BA44-48AC-9026-92D95AFBC738}"/>
    <cellStyle name="Normal 4 3 3 6 2 4" xfId="22540" xr:uid="{B80D426F-8243-43A1-AD1A-39D6B71633A2}"/>
    <cellStyle name="Normal 4 3 3 6 3" xfId="5987" xr:uid="{00000000-0005-0000-0000-0000A5140000}"/>
    <cellStyle name="Normal 4 3 3 6 3 2" xfId="15313" xr:uid="{E3710AFB-DEA1-4901-99B9-C29999BFAB0C}"/>
    <cellStyle name="Normal 4 3 3 6 3 3" xfId="24612" xr:uid="{EFB6B0F1-69AD-489F-9C11-863C3F850D40}"/>
    <cellStyle name="Normal 4 3 3 6 4" xfId="11096" xr:uid="{6BF9A9CE-38D0-4F24-9C60-D8898F88C667}"/>
    <cellStyle name="Normal 4 3 3 6 5" xfId="20395" xr:uid="{FA7801DD-59EF-470B-BC35-82F71BE05F30}"/>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B129B727-6767-4A8F-B523-1BC1D024F602}"/>
    <cellStyle name="Normal 4 3 3 7 2 2 3" xfId="27170" xr:uid="{A71A758B-E532-4718-A66A-5D56043B90F0}"/>
    <cellStyle name="Normal 4 3 3 7 2 3" xfId="13654" xr:uid="{BA53C773-6633-4BE4-AC30-43C0E3ED54FC}"/>
    <cellStyle name="Normal 4 3 3 7 2 4" xfId="22953" xr:uid="{D538A041-ACFF-4FC4-96AB-1FFA4D13E356}"/>
    <cellStyle name="Normal 4 3 3 7 3" xfId="6400" xr:uid="{00000000-0005-0000-0000-0000A9140000}"/>
    <cellStyle name="Normal 4 3 3 7 3 2" xfId="15726" xr:uid="{6B825208-C287-4DFF-88FD-B24A68794B71}"/>
    <cellStyle name="Normal 4 3 3 7 3 3" xfId="25025" xr:uid="{6418A783-6FB7-4874-B92B-25113F9EF7E7}"/>
    <cellStyle name="Normal 4 3 3 7 4" xfId="11509" xr:uid="{034A0C5C-71E1-423B-88EA-8AD716F04F5A}"/>
    <cellStyle name="Normal 4 3 3 7 5" xfId="20808" xr:uid="{3E3FE15D-1624-4231-9264-254D3D7DE5EA}"/>
    <cellStyle name="Normal 4 3 3 8" xfId="2530" xr:uid="{00000000-0005-0000-0000-0000AA140000}"/>
    <cellStyle name="Normal 4 3 3 8 2" xfId="6813" xr:uid="{00000000-0005-0000-0000-0000AB140000}"/>
    <cellStyle name="Normal 4 3 3 8 2 2" xfId="16139" xr:uid="{6CEB66CA-60D5-4B35-9032-A6D7A014F2CF}"/>
    <cellStyle name="Normal 4 3 3 8 2 3" xfId="25438" xr:uid="{89F73CC0-4769-4462-BC49-285A912524CD}"/>
    <cellStyle name="Normal 4 3 3 8 3" xfId="11922" xr:uid="{1ED49584-AA45-43D6-A266-7D1328960391}"/>
    <cellStyle name="Normal 4 3 3 8 4" xfId="21221" xr:uid="{D82288DA-89C4-4D2F-BD0D-CEF98947E2FB}"/>
    <cellStyle name="Normal 4 3 3 9" xfId="4748" xr:uid="{00000000-0005-0000-0000-0000AC140000}"/>
    <cellStyle name="Normal 4 3 3 9 2" xfId="14074" xr:uid="{AE226176-317D-4D4F-AECD-C6246EC0E645}"/>
    <cellStyle name="Normal 4 3 3 9 3" xfId="23373" xr:uid="{4252DA4B-5DE4-4B29-9344-9F836A5672FC}"/>
    <cellStyle name="Normal 4 3 4" xfId="842" xr:uid="{00000000-0005-0000-0000-0000AD140000}"/>
    <cellStyle name="Normal 4 3 4 2" xfId="3079" xr:uid="{00000000-0005-0000-0000-0000AE140000}"/>
    <cellStyle name="Normal 4 3 4 2 2" xfId="7301" xr:uid="{00000000-0005-0000-0000-0000AF140000}"/>
    <cellStyle name="Normal 4 3 4 2 2 2" xfId="16627" xr:uid="{12DF3575-B5E8-4629-867C-80429A2ACB4A}"/>
    <cellStyle name="Normal 4 3 4 2 2 3" xfId="25926" xr:uid="{E750171B-D94A-4906-97F1-10C31259EAC8}"/>
    <cellStyle name="Normal 4 3 4 2 3" xfId="12410" xr:uid="{434AE01B-532C-43A1-8946-776A1F2219F6}"/>
    <cellStyle name="Normal 4 3 4 2 4" xfId="21709" xr:uid="{3E9E09AC-FD82-45B9-8423-D6E1248B0730}"/>
    <cellStyle name="Normal 4 3 4 3" xfId="5156" xr:uid="{00000000-0005-0000-0000-0000B0140000}"/>
    <cellStyle name="Normal 4 3 4 3 2" xfId="14482" xr:uid="{B5BE9110-F5D5-4E36-B3C8-AD439620B491}"/>
    <cellStyle name="Normal 4 3 4 3 3" xfId="23781" xr:uid="{D38DBBE6-00FA-4BFC-8647-052B649C9C69}"/>
    <cellStyle name="Normal 4 3 4 4" xfId="9608" xr:uid="{C2EFFD2B-01D5-4B2B-BD85-BB4245D6A35E}"/>
    <cellStyle name="Normal 4 3 4 4 2" xfId="18909" xr:uid="{E883204C-2D4D-4532-8164-A8669FC58355}"/>
    <cellStyle name="Normal 4 3 4 4 3" xfId="28206" xr:uid="{C2291A26-0CEC-4597-BD59-86E5B0BF686A}"/>
    <cellStyle name="Normal 4 3 4 5" xfId="10265" xr:uid="{2C04B0A3-1C70-4FCF-A899-7236637BDF56}"/>
    <cellStyle name="Normal 4 3 4 6" xfId="19564" xr:uid="{8E33453E-7386-4A6E-B5A6-86E265DEA09D}"/>
    <cellStyle name="Normal 4 3 5" xfId="1262" xr:uid="{00000000-0005-0000-0000-0000B1140000}"/>
    <cellStyle name="Normal 4 3 5 2" xfId="3492" xr:uid="{00000000-0005-0000-0000-0000B2140000}"/>
    <cellStyle name="Normal 4 3 5 2 2" xfId="7714" xr:uid="{00000000-0005-0000-0000-0000B3140000}"/>
    <cellStyle name="Normal 4 3 5 2 2 2" xfId="17040" xr:uid="{D65D502D-F2DB-401B-85E5-4132C759AE6A}"/>
    <cellStyle name="Normal 4 3 5 2 2 3" xfId="26339" xr:uid="{30B78D98-8E98-44A2-B94C-408940A001DE}"/>
    <cellStyle name="Normal 4 3 5 2 3" xfId="12823" xr:uid="{2C6A6C34-4693-4E87-9B4C-12EF492FCE1F}"/>
    <cellStyle name="Normal 4 3 5 2 4" xfId="22122" xr:uid="{8CC97CF5-796E-4A02-983E-20E8C5C1A224}"/>
    <cellStyle name="Normal 4 3 5 3" xfId="5569" xr:uid="{00000000-0005-0000-0000-0000B4140000}"/>
    <cellStyle name="Normal 4 3 5 3 2" xfId="14895" xr:uid="{A0144211-C593-4051-BC42-EDA1F0CE5267}"/>
    <cellStyle name="Normal 4 3 5 3 3" xfId="24194" xr:uid="{7A545705-A870-4897-BF77-BB2825FB0217}"/>
    <cellStyle name="Normal 4 3 5 4" xfId="10678" xr:uid="{79369397-400E-4936-A7A2-D7F5D75BC5C3}"/>
    <cellStyle name="Normal 4 3 5 5" xfId="19977" xr:uid="{F62BC9A3-0F77-4540-8DEA-7DE5E0EF2160}"/>
    <cellStyle name="Normal 4 3 6" xfId="1675" xr:uid="{00000000-0005-0000-0000-0000B5140000}"/>
    <cellStyle name="Normal 4 3 6 2" xfId="3905" xr:uid="{00000000-0005-0000-0000-0000B6140000}"/>
    <cellStyle name="Normal 4 3 6 2 2" xfId="8127" xr:uid="{00000000-0005-0000-0000-0000B7140000}"/>
    <cellStyle name="Normal 4 3 6 2 2 2" xfId="17453" xr:uid="{7C707AE1-F022-4A3B-A6FD-8EB13B900BD2}"/>
    <cellStyle name="Normal 4 3 6 2 2 3" xfId="26752" xr:uid="{BAEA34AD-2E1C-4474-B493-F0D202741EB5}"/>
    <cellStyle name="Normal 4 3 6 2 3" xfId="13236" xr:uid="{ED47C4A7-5DCA-4B56-88E2-E1FD594AD3FB}"/>
    <cellStyle name="Normal 4 3 6 2 4" xfId="22535" xr:uid="{F13F14DA-8988-4C94-8E38-E7E9C0D901A1}"/>
    <cellStyle name="Normal 4 3 6 3" xfId="5982" xr:uid="{00000000-0005-0000-0000-0000B8140000}"/>
    <cellStyle name="Normal 4 3 6 3 2" xfId="15308" xr:uid="{CFB3AC73-F69E-4548-A23E-1415AA82FA40}"/>
    <cellStyle name="Normal 4 3 6 3 3" xfId="24607" xr:uid="{9B611B1B-6202-4CB1-AE2E-F18AF961B112}"/>
    <cellStyle name="Normal 4 3 6 4" xfId="11091" xr:uid="{09C0EDE1-FDCE-4208-B9B8-BAB1D025C3BD}"/>
    <cellStyle name="Normal 4 3 6 5" xfId="20390" xr:uid="{C128DAA6-0DA7-4FA0-B377-C2132803E82B}"/>
    <cellStyle name="Normal 4 3 7" xfId="2089" xr:uid="{00000000-0005-0000-0000-0000B9140000}"/>
    <cellStyle name="Normal 4 3 7 2" xfId="4318" xr:uid="{00000000-0005-0000-0000-0000BA140000}"/>
    <cellStyle name="Normal 4 3 7 2 2" xfId="8540" xr:uid="{00000000-0005-0000-0000-0000BB140000}"/>
    <cellStyle name="Normal 4 3 7 2 2 2" xfId="17866" xr:uid="{651015E8-FD76-41C9-8843-38A28FB26DA2}"/>
    <cellStyle name="Normal 4 3 7 2 2 3" xfId="27165" xr:uid="{4EC17357-6BEC-4E54-B302-D8DC6D46D23A}"/>
    <cellStyle name="Normal 4 3 7 2 3" xfId="13649" xr:uid="{1F47460C-538A-4A1D-A1F5-7A5DBAE99473}"/>
    <cellStyle name="Normal 4 3 7 2 4" xfId="22948" xr:uid="{642C9FE3-033C-4282-B4CF-3FAD13F12C85}"/>
    <cellStyle name="Normal 4 3 7 3" xfId="6395" xr:uid="{00000000-0005-0000-0000-0000BC140000}"/>
    <cellStyle name="Normal 4 3 7 3 2" xfId="15721" xr:uid="{372DE972-8407-4B6B-902B-236E171DFF9C}"/>
    <cellStyle name="Normal 4 3 7 3 3" xfId="25020" xr:uid="{DC24E99D-0278-4399-BC5A-4F9C91C5AC58}"/>
    <cellStyle name="Normal 4 3 7 4" xfId="11504" xr:uid="{47F6A4FE-F733-44AF-9618-96B95BD4B981}"/>
    <cellStyle name="Normal 4 3 7 5" xfId="20803" xr:uid="{269D7BF5-6256-45FF-9C51-98D14C86BA59}"/>
    <cellStyle name="Normal 4 3 8" xfId="2525" xr:uid="{00000000-0005-0000-0000-0000BD140000}"/>
    <cellStyle name="Normal 4 3 8 2" xfId="6808" xr:uid="{00000000-0005-0000-0000-0000BE140000}"/>
    <cellStyle name="Normal 4 3 8 2 2" xfId="16134" xr:uid="{401CCCEF-55A1-4E47-908C-05002AE7AC9E}"/>
    <cellStyle name="Normal 4 3 8 2 3" xfId="25433" xr:uid="{6A2485F3-4A1C-4158-AE2A-BA2986862F0D}"/>
    <cellStyle name="Normal 4 3 8 3" xfId="11917" xr:uid="{631D625F-6A62-40FF-A06C-927ADAFE665F}"/>
    <cellStyle name="Normal 4 3 8 4" xfId="21216" xr:uid="{49DA1B17-B463-4305-A4ED-830ED078D61A}"/>
    <cellStyle name="Normal 4 3 9" xfId="4743" xr:uid="{00000000-0005-0000-0000-0000BF140000}"/>
    <cellStyle name="Normal 4 3 9 2" xfId="14069" xr:uid="{05E736D5-1C60-4CE1-AD1B-001C9B314EB7}"/>
    <cellStyle name="Normal 4 3 9 3" xfId="23368" xr:uid="{BB6C4F8C-30E0-49EE-AD66-7393CA1958D6}"/>
    <cellStyle name="Normal 4 4" xfId="378" xr:uid="{00000000-0005-0000-0000-0000C0140000}"/>
    <cellStyle name="Normal 4 4 10" xfId="2534" xr:uid="{00000000-0005-0000-0000-0000C1140000}"/>
    <cellStyle name="Normal 4 4 10 2" xfId="6817" xr:uid="{00000000-0005-0000-0000-0000C2140000}"/>
    <cellStyle name="Normal 4 4 10 2 2" xfId="16143" xr:uid="{2247804B-A3B5-4FDB-A82D-046E089AC8C0}"/>
    <cellStyle name="Normal 4 4 10 2 3" xfId="25442" xr:uid="{65CCB990-7D59-492C-B81A-E7715294545F}"/>
    <cellStyle name="Normal 4 4 10 3" xfId="11926" xr:uid="{FA3E389B-6E5C-4EA3-8449-8F21252A179A}"/>
    <cellStyle name="Normal 4 4 10 4" xfId="21225" xr:uid="{355559D5-E486-4D55-8F44-8EF438911CDE}"/>
    <cellStyle name="Normal 4 4 11" xfId="4752" xr:uid="{00000000-0005-0000-0000-0000C3140000}"/>
    <cellStyle name="Normal 4 4 11 2" xfId="14078" xr:uid="{811B4ED0-3666-43DE-9532-5DC54C22ABE8}"/>
    <cellStyle name="Normal 4 4 11 3" xfId="23377" xr:uid="{A1DDA0D6-00F1-4E2B-ABC2-3610D722D569}"/>
    <cellStyle name="Normal 4 4 12" xfId="8749" xr:uid="{A91736B6-873D-4B1A-8B29-18DC69E5E65F}"/>
    <cellStyle name="Normal 4 4 12 2" xfId="18073" xr:uid="{82068DEE-D78B-4BDA-9BB2-0084718CC75F}"/>
    <cellStyle name="Normal 4 4 12 3" xfId="27371" xr:uid="{76B9233B-D041-4C94-B744-2E1546A527B7}"/>
    <cellStyle name="Normal 4 4 13" xfId="9861" xr:uid="{FFB9855A-23F8-416B-BEC2-E55397E06786}"/>
    <cellStyle name="Normal 4 4 14" xfId="19160" xr:uid="{73493DAC-EF01-452F-9CD7-CBB64C3391C5}"/>
    <cellStyle name="Normal 4 4 2" xfId="379" xr:uid="{00000000-0005-0000-0000-0000C4140000}"/>
    <cellStyle name="Normal 4 4 2 10" xfId="4753" xr:uid="{00000000-0005-0000-0000-0000C5140000}"/>
    <cellStyle name="Normal 4 4 2 10 2" xfId="14079" xr:uid="{E9F8F867-95B1-43F8-AE2D-3769FB421319}"/>
    <cellStyle name="Normal 4 4 2 10 3" xfId="23378" xr:uid="{6FD1184F-CA27-487B-A4B1-46A4DCAB3686}"/>
    <cellStyle name="Normal 4 4 2 11" xfId="8781" xr:uid="{12B8F0AD-1EB8-4D0A-9CAD-21DEEFEDAE41}"/>
    <cellStyle name="Normal 4 4 2 11 2" xfId="18105" xr:uid="{61FC553D-FE49-4D28-991C-EDA1B00D957D}"/>
    <cellStyle name="Normal 4 4 2 11 3" xfId="27403" xr:uid="{C20A1C76-DCBF-4678-A207-3C470BC0256D}"/>
    <cellStyle name="Normal 4 4 2 12" xfId="9862" xr:uid="{976BB99A-FE31-406F-B1E2-E8B39CA5C8C9}"/>
    <cellStyle name="Normal 4 4 2 13" xfId="19161" xr:uid="{19C422AA-7732-40C1-8195-D9B41CB2E0E7}"/>
    <cellStyle name="Normal 4 4 2 2" xfId="380" xr:uid="{00000000-0005-0000-0000-0000C6140000}"/>
    <cellStyle name="Normal 4 4 2 2 10" xfId="8824" xr:uid="{FF218EA8-00A9-476B-AA88-FBBBBED2D06B}"/>
    <cellStyle name="Normal 4 4 2 2 10 2" xfId="18148" xr:uid="{CE912C4A-3598-4551-A215-BAE0CD379C88}"/>
    <cellStyle name="Normal 4 4 2 2 10 3" xfId="27446" xr:uid="{6CF40B6B-13B3-487D-9E82-14464DFC6277}"/>
    <cellStyle name="Normal 4 4 2 2 11" xfId="9863" xr:uid="{7AAFA1AF-9CCF-4527-B205-8F2C2A1583B6}"/>
    <cellStyle name="Normal 4 4 2 2 12" xfId="19162" xr:uid="{A2C3514A-25AB-475F-BCAC-2EB7A66242D9}"/>
    <cellStyle name="Normal 4 4 2 2 2" xfId="381" xr:uid="{00000000-0005-0000-0000-0000C7140000}"/>
    <cellStyle name="Normal 4 4 2 2 2 10" xfId="9864" xr:uid="{433F2333-1BD2-469C-A9A0-28DA87D53438}"/>
    <cellStyle name="Normal 4 4 2 2 2 11" xfId="19163" xr:uid="{3F4FC969-C70F-415F-9E3E-641809CFD25C}"/>
    <cellStyle name="Normal 4 4 2 2 2 2" xfId="382" xr:uid="{00000000-0005-0000-0000-0000C8140000}"/>
    <cellStyle name="Normal 4 4 2 2 2 2 10" xfId="19164" xr:uid="{FAF4DF0A-C2AA-4FC2-9559-CFC1AC1C3375}"/>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37AD0A4B-BCDA-463F-B5D4-ACB2EED404C9}"/>
    <cellStyle name="Normal 4 4 2 2 2 2 2 2 2 3" xfId="25939" xr:uid="{A17FEAD9-DFF0-405F-9CC0-B06FA879A29D}"/>
    <cellStyle name="Normal 4 4 2 2 2 2 2 2 3" xfId="12423" xr:uid="{629B4989-083F-43A3-BA99-80958DE949BF}"/>
    <cellStyle name="Normal 4 4 2 2 2 2 2 2 4" xfId="21722" xr:uid="{9BC5CF54-96CB-4614-ADDA-46BF8C46831B}"/>
    <cellStyle name="Normal 4 4 2 2 2 2 2 3" xfId="5169" xr:uid="{00000000-0005-0000-0000-0000CC140000}"/>
    <cellStyle name="Normal 4 4 2 2 2 2 2 3 2" xfId="14495" xr:uid="{4C9DB492-EEF9-4911-8FD3-FF0B88D6BC11}"/>
    <cellStyle name="Normal 4 4 2 2 2 2 2 3 3" xfId="23794" xr:uid="{B8B57C4D-963B-4995-9865-40C28D339881}"/>
    <cellStyle name="Normal 4 4 2 2 2 2 2 4" xfId="9559" xr:uid="{6E5E886C-D83F-47E6-AD2B-552CC2A98FD0}"/>
    <cellStyle name="Normal 4 4 2 2 2 2 2 4 2" xfId="18874" xr:uid="{E8CA9390-C271-4AD4-9650-2A2CD9669128}"/>
    <cellStyle name="Normal 4 4 2 2 2 2 2 4 3" xfId="28171" xr:uid="{F43015ED-A394-45B5-BDB4-C592A3B69138}"/>
    <cellStyle name="Normal 4 4 2 2 2 2 2 5" xfId="10278" xr:uid="{9A38B646-39D8-4161-8846-6B8C6CD631EC}"/>
    <cellStyle name="Normal 4 4 2 2 2 2 2 6" xfId="19577" xr:uid="{F3FDE3EC-475D-4669-A2BB-1A8BD2A90769}"/>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8072CA45-B9D0-4DED-9002-05EB1FFE3BC4}"/>
    <cellStyle name="Normal 4 4 2 2 2 2 3 2 2 3" xfId="26352" xr:uid="{96A537D7-0C5C-4164-8A85-863D3DDCE8F7}"/>
    <cellStyle name="Normal 4 4 2 2 2 2 3 2 3" xfId="12836" xr:uid="{9AFB9CD0-3603-4B9A-AF4C-2473446346E0}"/>
    <cellStyle name="Normal 4 4 2 2 2 2 3 2 4" xfId="22135" xr:uid="{4BE9D18F-21F5-4021-9574-EC2161673B7D}"/>
    <cellStyle name="Normal 4 4 2 2 2 2 3 3" xfId="5582" xr:uid="{00000000-0005-0000-0000-0000D0140000}"/>
    <cellStyle name="Normal 4 4 2 2 2 2 3 3 2" xfId="14908" xr:uid="{D977A6AD-2CBE-44B5-9667-3C840B2DAEE0}"/>
    <cellStyle name="Normal 4 4 2 2 2 2 3 3 3" xfId="24207" xr:uid="{506F5591-355E-43D1-A980-11AE06340236}"/>
    <cellStyle name="Normal 4 4 2 2 2 2 3 4" xfId="10691" xr:uid="{BCA6481B-E43B-4420-9CA5-B5139063DED5}"/>
    <cellStyle name="Normal 4 4 2 2 2 2 3 5" xfId="19990" xr:uid="{AF303681-353A-42F1-8A2E-725C6D0EDA01}"/>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AC12C5EA-AD0E-4ED9-B3C7-824BE558BFB9}"/>
    <cellStyle name="Normal 4 4 2 2 2 2 4 2 2 3" xfId="26765" xr:uid="{8BF33B2B-6CD0-4C88-86CE-B0E6302AEDD3}"/>
    <cellStyle name="Normal 4 4 2 2 2 2 4 2 3" xfId="13249" xr:uid="{CD63C361-91E5-430D-813F-8FD3E39264B1}"/>
    <cellStyle name="Normal 4 4 2 2 2 2 4 2 4" xfId="22548" xr:uid="{4BD13FFA-8C96-4B42-A3EF-9389D245E6BF}"/>
    <cellStyle name="Normal 4 4 2 2 2 2 4 3" xfId="5995" xr:uid="{00000000-0005-0000-0000-0000D4140000}"/>
    <cellStyle name="Normal 4 4 2 2 2 2 4 3 2" xfId="15321" xr:uid="{62556EB1-85CA-404D-8F18-08AF793E5A39}"/>
    <cellStyle name="Normal 4 4 2 2 2 2 4 3 3" xfId="24620" xr:uid="{D18B98FC-2C95-4E62-8C9C-C49DD1D60337}"/>
    <cellStyle name="Normal 4 4 2 2 2 2 4 4" xfId="11104" xr:uid="{EF63F977-28B8-4B85-9B16-AB35FCDB2E9D}"/>
    <cellStyle name="Normal 4 4 2 2 2 2 4 5" xfId="20403" xr:uid="{E7607063-D124-4027-9CF5-F1513E0BC525}"/>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2EC20FD0-CE46-467F-8C62-116CEBDEBA05}"/>
    <cellStyle name="Normal 4 4 2 2 2 2 5 2 2 3" xfId="27178" xr:uid="{4FA6FD91-D144-475B-9EA6-336BDF90E824}"/>
    <cellStyle name="Normal 4 4 2 2 2 2 5 2 3" xfId="13662" xr:uid="{69E04A50-406D-467F-9A78-97C07638F3AE}"/>
    <cellStyle name="Normal 4 4 2 2 2 2 5 2 4" xfId="22961" xr:uid="{58BE644D-E69B-441D-BF02-05AD3A22036B}"/>
    <cellStyle name="Normal 4 4 2 2 2 2 5 3" xfId="6408" xr:uid="{00000000-0005-0000-0000-0000D8140000}"/>
    <cellStyle name="Normal 4 4 2 2 2 2 5 3 2" xfId="15734" xr:uid="{FA2F7872-BF05-41C1-A07C-3BC96835BFD6}"/>
    <cellStyle name="Normal 4 4 2 2 2 2 5 3 3" xfId="25033" xr:uid="{392649AE-8AA9-4FBD-A444-5E87B723E5AC}"/>
    <cellStyle name="Normal 4 4 2 2 2 2 5 4" xfId="11517" xr:uid="{C6BBF45C-E797-4348-9C6A-09470E449B78}"/>
    <cellStyle name="Normal 4 4 2 2 2 2 5 5" xfId="20816" xr:uid="{D2EA4BFB-C24B-4329-88CD-0F565FFD76E7}"/>
    <cellStyle name="Normal 4 4 2 2 2 2 6" xfId="2538" xr:uid="{00000000-0005-0000-0000-0000D9140000}"/>
    <cellStyle name="Normal 4 4 2 2 2 2 6 2" xfId="6821" xr:uid="{00000000-0005-0000-0000-0000DA140000}"/>
    <cellStyle name="Normal 4 4 2 2 2 2 6 2 2" xfId="16147" xr:uid="{1050C2E9-9C84-490B-84B5-343EAD6C1C9B}"/>
    <cellStyle name="Normal 4 4 2 2 2 2 6 2 3" xfId="25446" xr:uid="{F1FAB663-8D29-47CD-A89A-314066C4E487}"/>
    <cellStyle name="Normal 4 4 2 2 2 2 6 3" xfId="11930" xr:uid="{02688732-6BC4-43F2-8D85-1619DD7C3FC5}"/>
    <cellStyle name="Normal 4 4 2 2 2 2 6 4" xfId="21229" xr:uid="{9A708C37-8C54-4172-824C-132DFAC5686B}"/>
    <cellStyle name="Normal 4 4 2 2 2 2 7" xfId="4756" xr:uid="{00000000-0005-0000-0000-0000DB140000}"/>
    <cellStyle name="Normal 4 4 2 2 2 2 7 2" xfId="14082" xr:uid="{764789A2-1C50-4904-A181-E19FFFE40D5C}"/>
    <cellStyle name="Normal 4 4 2 2 2 2 7 3" xfId="23381" xr:uid="{718E6BEE-4EA6-46C3-86B4-0028333F39D7}"/>
    <cellStyle name="Normal 4 4 2 2 2 2 8" xfId="9134" xr:uid="{B37D4C66-6754-4A5E-BFF7-77694E4355C2}"/>
    <cellStyle name="Normal 4 4 2 2 2 2 8 2" xfId="18458" xr:uid="{8AA51592-B2EB-4E4C-91D2-75F53E282F49}"/>
    <cellStyle name="Normal 4 4 2 2 2 2 8 3" xfId="27756" xr:uid="{C9C7E060-D9BB-4882-9235-9D820FB8139D}"/>
    <cellStyle name="Normal 4 4 2 2 2 2 9" xfId="9865" xr:uid="{BA2B5D08-4111-4A4E-88CF-08AB8EFEBAF7}"/>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C361E47C-AAA8-4874-BF2F-012620FD6D14}"/>
    <cellStyle name="Normal 4 4 2 2 2 3 2 2 3" xfId="25938" xr:uid="{8E73D6A9-EF35-4A46-A941-62878E907E11}"/>
    <cellStyle name="Normal 4 4 2 2 2 3 2 3" xfId="12422" xr:uid="{7BECEE49-3DD4-46C2-ABC0-C81C48723732}"/>
    <cellStyle name="Normal 4 4 2 2 2 3 2 4" xfId="21721" xr:uid="{6EF71219-184E-42F1-9CD9-84560CC0EF82}"/>
    <cellStyle name="Normal 4 4 2 2 2 3 3" xfId="5168" xr:uid="{00000000-0005-0000-0000-0000DF140000}"/>
    <cellStyle name="Normal 4 4 2 2 2 3 3 2" xfId="14494" xr:uid="{63673DAA-A1D7-4ED4-B203-4D0FA6570ED5}"/>
    <cellStyle name="Normal 4 4 2 2 2 3 3 3" xfId="23793" xr:uid="{F2B41D40-4929-4D05-822A-015E9C910214}"/>
    <cellStyle name="Normal 4 4 2 2 2 3 4" xfId="9352" xr:uid="{76F31DA2-44D0-447F-BA9C-6271BA6AAE96}"/>
    <cellStyle name="Normal 4 4 2 2 2 3 4 2" xfId="18667" xr:uid="{9420B46C-2C79-49C2-9D17-BEE13C08AF71}"/>
    <cellStyle name="Normal 4 4 2 2 2 3 4 3" xfId="27964" xr:uid="{70990268-417C-4996-9A70-46F39DC2CDDB}"/>
    <cellStyle name="Normal 4 4 2 2 2 3 5" xfId="10277" xr:uid="{08784184-4A32-4834-B5D2-606E56C5D95A}"/>
    <cellStyle name="Normal 4 4 2 2 2 3 6" xfId="19576" xr:uid="{C3114D03-817D-4A57-B954-CC3E69D9619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74C4243F-0A15-4CDF-90CF-F6F449ABC623}"/>
    <cellStyle name="Normal 4 4 2 2 2 4 2 2 3" xfId="26351" xr:uid="{10C5FC5F-2721-4586-9C91-AD9965CE906D}"/>
    <cellStyle name="Normal 4 4 2 2 2 4 2 3" xfId="12835" xr:uid="{CBFFC68C-8CA8-4D0C-B89F-BBAE2AF62FD4}"/>
    <cellStyle name="Normal 4 4 2 2 2 4 2 4" xfId="22134" xr:uid="{99D62FF2-3902-4377-8A6C-F4560C99E890}"/>
    <cellStyle name="Normal 4 4 2 2 2 4 3" xfId="5581" xr:uid="{00000000-0005-0000-0000-0000E3140000}"/>
    <cellStyle name="Normal 4 4 2 2 2 4 3 2" xfId="14907" xr:uid="{79BED44B-C467-4B9F-8652-30107C4180E1}"/>
    <cellStyle name="Normal 4 4 2 2 2 4 3 3" xfId="24206" xr:uid="{E7CFF2C3-C3AC-4C55-BCAE-88D7950205F8}"/>
    <cellStyle name="Normal 4 4 2 2 2 4 4" xfId="10690" xr:uid="{41105F3C-5348-4F85-BBCD-E25E2E681513}"/>
    <cellStyle name="Normal 4 4 2 2 2 4 5" xfId="19989" xr:uid="{E6062E95-41D2-4D6C-8FAA-8693056209BD}"/>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9F1798C9-DD41-4C1E-84F9-1C551F974C60}"/>
    <cellStyle name="Normal 4 4 2 2 2 5 2 2 3" xfId="26764" xr:uid="{E78EC3BB-18BA-4224-8EBB-80C07B054BAE}"/>
    <cellStyle name="Normal 4 4 2 2 2 5 2 3" xfId="13248" xr:uid="{CADA3223-2784-4900-ADF8-645CF41F7653}"/>
    <cellStyle name="Normal 4 4 2 2 2 5 2 4" xfId="22547" xr:uid="{22E9B508-9826-4726-8946-4EA18E60ECA1}"/>
    <cellStyle name="Normal 4 4 2 2 2 5 3" xfId="5994" xr:uid="{00000000-0005-0000-0000-0000E7140000}"/>
    <cellStyle name="Normal 4 4 2 2 2 5 3 2" xfId="15320" xr:uid="{7B955AD9-188B-4558-8B9C-2F4ADEAC6393}"/>
    <cellStyle name="Normal 4 4 2 2 2 5 3 3" xfId="24619" xr:uid="{B12DB854-8AA1-41E3-A6D3-C21CBE947285}"/>
    <cellStyle name="Normal 4 4 2 2 2 5 4" xfId="11103" xr:uid="{704F2ED6-204F-4355-BB77-436BBE203C9C}"/>
    <cellStyle name="Normal 4 4 2 2 2 5 5" xfId="20402" xr:uid="{FB32BF80-81B7-481E-81DD-D3DF431ADF73}"/>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16576A9E-CAD1-4B0E-BE1B-5E3F2D914E31}"/>
    <cellStyle name="Normal 4 4 2 2 2 6 2 2 3" xfId="27177" xr:uid="{3EDD3A5B-3167-4330-B2A6-C60E23145487}"/>
    <cellStyle name="Normal 4 4 2 2 2 6 2 3" xfId="13661" xr:uid="{BE211441-0993-4C64-A5E4-3B82C759FBF1}"/>
    <cellStyle name="Normal 4 4 2 2 2 6 2 4" xfId="22960" xr:uid="{6B81C234-8B39-4EBF-85CE-6EA140A76813}"/>
    <cellStyle name="Normal 4 4 2 2 2 6 3" xfId="6407" xr:uid="{00000000-0005-0000-0000-0000EB140000}"/>
    <cellStyle name="Normal 4 4 2 2 2 6 3 2" xfId="15733" xr:uid="{840FF466-8DC2-4B8C-A071-289CB3AE30A3}"/>
    <cellStyle name="Normal 4 4 2 2 2 6 3 3" xfId="25032" xr:uid="{84A63D5B-CE08-4E69-8EB8-12269721DE85}"/>
    <cellStyle name="Normal 4 4 2 2 2 6 4" xfId="11516" xr:uid="{E79DAB5B-B22B-4B7C-9711-BE555321EEF3}"/>
    <cellStyle name="Normal 4 4 2 2 2 6 5" xfId="20815" xr:uid="{7AC38482-ED2F-494A-B8AC-09E5BDD56930}"/>
    <cellStyle name="Normal 4 4 2 2 2 7" xfId="2537" xr:uid="{00000000-0005-0000-0000-0000EC140000}"/>
    <cellStyle name="Normal 4 4 2 2 2 7 2" xfId="6820" xr:uid="{00000000-0005-0000-0000-0000ED140000}"/>
    <cellStyle name="Normal 4 4 2 2 2 7 2 2" xfId="16146" xr:uid="{3D920F7B-9D6B-4AF7-B5F7-25E7DF732C0A}"/>
    <cellStyle name="Normal 4 4 2 2 2 7 2 3" xfId="25445" xr:uid="{8DE0EF66-8A04-460F-87D8-3C6BD09C8B6A}"/>
    <cellStyle name="Normal 4 4 2 2 2 7 3" xfId="11929" xr:uid="{A8BCCFFB-5B17-4B49-88E8-D6F482AC6E19}"/>
    <cellStyle name="Normal 4 4 2 2 2 7 4" xfId="21228" xr:uid="{CF668B68-D3EB-46C1-8862-7886A84C249C}"/>
    <cellStyle name="Normal 4 4 2 2 2 8" xfId="4755" xr:uid="{00000000-0005-0000-0000-0000EE140000}"/>
    <cellStyle name="Normal 4 4 2 2 2 8 2" xfId="14081" xr:uid="{83C763FC-A8AA-4945-BF0D-58D0A9930D66}"/>
    <cellStyle name="Normal 4 4 2 2 2 8 3" xfId="23380" xr:uid="{C71D3FFE-72C3-49B0-8EAA-29C4D6424749}"/>
    <cellStyle name="Normal 4 4 2 2 2 9" xfId="8927" xr:uid="{195B9197-F273-4D3B-B7A6-9CBAA360D528}"/>
    <cellStyle name="Normal 4 4 2 2 2 9 2" xfId="18251" xr:uid="{06CB2911-F855-4311-ACD4-1B18BD65A4B0}"/>
    <cellStyle name="Normal 4 4 2 2 2 9 3" xfId="27549" xr:uid="{B6002C33-268E-4506-A5DA-48303073C0F2}"/>
    <cellStyle name="Normal 4 4 2 2 3" xfId="383" xr:uid="{00000000-0005-0000-0000-0000EF140000}"/>
    <cellStyle name="Normal 4 4 2 2 3 10" xfId="19165" xr:uid="{87192A32-48A9-4EBF-A838-E66B5A273FAD}"/>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929A795E-285A-4709-891C-321846636040}"/>
    <cellStyle name="Normal 4 4 2 2 3 2 2 2 3" xfId="25940" xr:uid="{83B11570-F37A-42BE-A536-CDA2399F64F3}"/>
    <cellStyle name="Normal 4 4 2 2 3 2 2 3" xfId="12424" xr:uid="{D1B62A8A-9C24-4C48-97C2-94F541232A04}"/>
    <cellStyle name="Normal 4 4 2 2 3 2 2 4" xfId="21723" xr:uid="{DE58BB4A-912E-471C-BAED-6CD6E79021ED}"/>
    <cellStyle name="Normal 4 4 2 2 3 2 3" xfId="5170" xr:uid="{00000000-0005-0000-0000-0000F3140000}"/>
    <cellStyle name="Normal 4 4 2 2 3 2 3 2" xfId="14496" xr:uid="{3748F915-FF98-4D8F-AEA2-88B2C3432BB9}"/>
    <cellStyle name="Normal 4 4 2 2 3 2 3 3" xfId="23795" xr:uid="{35E8929C-267C-41C4-BA22-B999381C8302}"/>
    <cellStyle name="Normal 4 4 2 2 3 2 4" xfId="9456" xr:uid="{7CB0B972-68D8-4A2C-A3A7-1D2BD109E44A}"/>
    <cellStyle name="Normal 4 4 2 2 3 2 4 2" xfId="18771" xr:uid="{1DE16993-0D0D-4C3E-9FC3-35015C466249}"/>
    <cellStyle name="Normal 4 4 2 2 3 2 4 3" xfId="28068" xr:uid="{E0A76B65-EA40-424E-9708-95EB0CFD6399}"/>
    <cellStyle name="Normal 4 4 2 2 3 2 5" xfId="10279" xr:uid="{79F02A92-F651-4989-8D47-6057455C90C0}"/>
    <cellStyle name="Normal 4 4 2 2 3 2 6" xfId="19578" xr:uid="{EF6ECFE2-FD5D-45CE-9F60-9D177A5F3639}"/>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12C47990-B704-4F37-8D00-5F00806C6B7A}"/>
    <cellStyle name="Normal 4 4 2 2 3 3 2 2 3" xfId="26353" xr:uid="{CA285FA8-EC18-4D42-B955-08B02210D3C3}"/>
    <cellStyle name="Normal 4 4 2 2 3 3 2 3" xfId="12837" xr:uid="{5DEF5B16-546E-4A52-BBE6-5204CE0B6792}"/>
    <cellStyle name="Normal 4 4 2 2 3 3 2 4" xfId="22136" xr:uid="{2C494733-33F5-44B2-B0DB-D9CFFFCB645C}"/>
    <cellStyle name="Normal 4 4 2 2 3 3 3" xfId="5583" xr:uid="{00000000-0005-0000-0000-0000F7140000}"/>
    <cellStyle name="Normal 4 4 2 2 3 3 3 2" xfId="14909" xr:uid="{37E88127-6AD5-41C5-A955-1BD168D15905}"/>
    <cellStyle name="Normal 4 4 2 2 3 3 3 3" xfId="24208" xr:uid="{90035505-5E84-4883-B52E-6B53F9D7CAA4}"/>
    <cellStyle name="Normal 4 4 2 2 3 3 4" xfId="10692" xr:uid="{EA38620D-DB41-4C98-95C5-7B99A2886917}"/>
    <cellStyle name="Normal 4 4 2 2 3 3 5" xfId="19991" xr:uid="{52CD66A5-6A31-4122-B664-4054A20BC046}"/>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71571917-5449-4F4F-9D04-84345524E8E8}"/>
    <cellStyle name="Normal 4 4 2 2 3 4 2 2 3" xfId="26766" xr:uid="{4563B37D-7443-47C9-9843-F78127545F9E}"/>
    <cellStyle name="Normal 4 4 2 2 3 4 2 3" xfId="13250" xr:uid="{1283A185-7EA5-4361-8B82-BADF2DCB09BC}"/>
    <cellStyle name="Normal 4 4 2 2 3 4 2 4" xfId="22549" xr:uid="{A6435DF7-4BC9-412C-A98B-EA3A56D6DEFD}"/>
    <cellStyle name="Normal 4 4 2 2 3 4 3" xfId="5996" xr:uid="{00000000-0005-0000-0000-0000FB140000}"/>
    <cellStyle name="Normal 4 4 2 2 3 4 3 2" xfId="15322" xr:uid="{E4C3CFD2-C49F-4B50-ABBE-46B8B6D0F4A9}"/>
    <cellStyle name="Normal 4 4 2 2 3 4 3 3" xfId="24621" xr:uid="{4DA20F33-DDB3-4C97-A836-82FFC98BD425}"/>
    <cellStyle name="Normal 4 4 2 2 3 4 4" xfId="11105" xr:uid="{CBAB9E09-0C42-4C0C-A50A-F78CC9B4F502}"/>
    <cellStyle name="Normal 4 4 2 2 3 4 5" xfId="20404" xr:uid="{4D095EAD-C019-4847-9C5A-E983EB9FF99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32B30F29-CAE4-4B76-BD15-3BCE71468642}"/>
    <cellStyle name="Normal 4 4 2 2 3 5 2 2 3" xfId="27179" xr:uid="{83A8DFB8-8900-4462-A41E-083F7D29BA52}"/>
    <cellStyle name="Normal 4 4 2 2 3 5 2 3" xfId="13663" xr:uid="{344D392E-B236-42EB-97F6-9CACD57BF4D8}"/>
    <cellStyle name="Normal 4 4 2 2 3 5 2 4" xfId="22962" xr:uid="{F7DDF7A6-A140-4D00-9373-AEBDA8493823}"/>
    <cellStyle name="Normal 4 4 2 2 3 5 3" xfId="6409" xr:uid="{00000000-0005-0000-0000-0000FF140000}"/>
    <cellStyle name="Normal 4 4 2 2 3 5 3 2" xfId="15735" xr:uid="{0104973C-F282-4707-8546-EADCBA7ECA2A}"/>
    <cellStyle name="Normal 4 4 2 2 3 5 3 3" xfId="25034" xr:uid="{F9D2F93D-C4AD-409C-9848-F227693092A6}"/>
    <cellStyle name="Normal 4 4 2 2 3 5 4" xfId="11518" xr:uid="{9284F9A3-9DDD-40B0-8A20-97BFAABB4E13}"/>
    <cellStyle name="Normal 4 4 2 2 3 5 5" xfId="20817" xr:uid="{9017B386-C83E-44E5-AAE2-73DC12C54709}"/>
    <cellStyle name="Normal 4 4 2 2 3 6" xfId="2539" xr:uid="{00000000-0005-0000-0000-000000150000}"/>
    <cellStyle name="Normal 4 4 2 2 3 6 2" xfId="6822" xr:uid="{00000000-0005-0000-0000-000001150000}"/>
    <cellStyle name="Normal 4 4 2 2 3 6 2 2" xfId="16148" xr:uid="{9564A092-7C12-4F7C-8782-E44B0C77B40E}"/>
    <cellStyle name="Normal 4 4 2 2 3 6 2 3" xfId="25447" xr:uid="{FAD0FCC0-7DAE-48D9-A9DF-72B81F29B4D1}"/>
    <cellStyle name="Normal 4 4 2 2 3 6 3" xfId="11931" xr:uid="{3110EE3D-90C1-410C-AE7B-5EB58DA9F50A}"/>
    <cellStyle name="Normal 4 4 2 2 3 6 4" xfId="21230" xr:uid="{973744CA-B780-4F46-90EE-96EEE329D79B}"/>
    <cellStyle name="Normal 4 4 2 2 3 7" xfId="4757" xr:uid="{00000000-0005-0000-0000-000002150000}"/>
    <cellStyle name="Normal 4 4 2 2 3 7 2" xfId="14083" xr:uid="{8E944363-98A4-41F9-8840-DDF9F62A85E3}"/>
    <cellStyle name="Normal 4 4 2 2 3 7 3" xfId="23382" xr:uid="{C0F732A4-3B2C-416B-9A6F-0FBEA9F61FCB}"/>
    <cellStyle name="Normal 4 4 2 2 3 8" xfId="9031" xr:uid="{F1B59444-328A-4279-8A0A-A9F7E26061D5}"/>
    <cellStyle name="Normal 4 4 2 2 3 8 2" xfId="18355" xr:uid="{9CBC6C58-AD0A-4128-80FE-036CA8EFFD9C}"/>
    <cellStyle name="Normal 4 4 2 2 3 8 3" xfId="27653" xr:uid="{3165FB65-6EFC-4529-9D16-2C27945E64BB}"/>
    <cellStyle name="Normal 4 4 2 2 3 9" xfId="9866" xr:uid="{F10B6BE2-F22F-42B0-9BE3-B811051272CE}"/>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3CE7AEAF-B839-4C5C-AE2A-3678D971F27D}"/>
    <cellStyle name="Normal 4 4 2 2 4 2 2 3" xfId="25937" xr:uid="{041FDD2B-0AB3-4800-8053-0DB4773E813B}"/>
    <cellStyle name="Normal 4 4 2 2 4 2 3" xfId="12421" xr:uid="{FEDB2432-681F-4731-B137-B494F4198E03}"/>
    <cellStyle name="Normal 4 4 2 2 4 2 4" xfId="21720" xr:uid="{4466A8C7-3EA9-4735-84C8-54F6C7E57CC9}"/>
    <cellStyle name="Normal 4 4 2 2 4 3" xfId="5167" xr:uid="{00000000-0005-0000-0000-000006150000}"/>
    <cellStyle name="Normal 4 4 2 2 4 3 2" xfId="14493" xr:uid="{1B0E42B8-1B59-4A0F-A364-825EE32187EA}"/>
    <cellStyle name="Normal 4 4 2 2 4 3 3" xfId="23792" xr:uid="{86C1223A-9A41-40C1-AFDB-0F43D487CF9F}"/>
    <cellStyle name="Normal 4 4 2 2 4 4" xfId="9249" xr:uid="{7E4CA7C7-738D-4CFA-907A-40590344548A}"/>
    <cellStyle name="Normal 4 4 2 2 4 4 2" xfId="18564" xr:uid="{66A73D89-DA99-448E-840B-182408A20621}"/>
    <cellStyle name="Normal 4 4 2 2 4 4 3" xfId="27861" xr:uid="{40F3E46E-AD98-41ED-9AA1-0E18E9AD0516}"/>
    <cellStyle name="Normal 4 4 2 2 4 5" xfId="10276" xr:uid="{4FECDAB8-0E2B-4D98-A2FF-CA5BE2327CDA}"/>
    <cellStyle name="Normal 4 4 2 2 4 6" xfId="19575" xr:uid="{8E66A741-1598-4870-B0B7-EB0992C56D58}"/>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BDE32648-591E-408F-B732-FEAC83687C14}"/>
    <cellStyle name="Normal 4 4 2 2 5 2 2 3" xfId="26350" xr:uid="{1AF36520-6823-41A7-84BC-3C1138D1D0F8}"/>
    <cellStyle name="Normal 4 4 2 2 5 2 3" xfId="12834" xr:uid="{47D27F10-A12E-4CAB-B5F4-48CD1F2586CE}"/>
    <cellStyle name="Normal 4 4 2 2 5 2 4" xfId="22133" xr:uid="{B1BCE8B8-97D6-4140-AB91-1C4F397BAE49}"/>
    <cellStyle name="Normal 4 4 2 2 5 3" xfId="5580" xr:uid="{00000000-0005-0000-0000-00000A150000}"/>
    <cellStyle name="Normal 4 4 2 2 5 3 2" xfId="14906" xr:uid="{6B8C04A6-37D3-45DB-882D-1EE7AFAFB636}"/>
    <cellStyle name="Normal 4 4 2 2 5 3 3" xfId="24205" xr:uid="{0334C196-FFCB-4950-B974-D63405B30F06}"/>
    <cellStyle name="Normal 4 4 2 2 5 4" xfId="10689" xr:uid="{1C32F8AB-4D95-4833-B5FC-BC033D3F642A}"/>
    <cellStyle name="Normal 4 4 2 2 5 5" xfId="19988" xr:uid="{3993328B-2510-481A-8D79-2A983D1194EA}"/>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E38A9AAA-682B-47E0-898E-BAD2D734E5A3}"/>
    <cellStyle name="Normal 4 4 2 2 6 2 2 3" xfId="26763" xr:uid="{349E139E-418D-4424-A72F-E3BFA98659D1}"/>
    <cellStyle name="Normal 4 4 2 2 6 2 3" xfId="13247" xr:uid="{3DEA345F-3548-4333-9BC3-11940FC03239}"/>
    <cellStyle name="Normal 4 4 2 2 6 2 4" xfId="22546" xr:uid="{05BB5624-D0D3-4521-AF5D-4449995C10D9}"/>
    <cellStyle name="Normal 4 4 2 2 6 3" xfId="5993" xr:uid="{00000000-0005-0000-0000-00000E150000}"/>
    <cellStyle name="Normal 4 4 2 2 6 3 2" xfId="15319" xr:uid="{D20671C9-163B-4586-9F61-B284A6634599}"/>
    <cellStyle name="Normal 4 4 2 2 6 3 3" xfId="24618" xr:uid="{2CAFA88F-95CA-4F85-A2C3-F764CD8F7236}"/>
    <cellStyle name="Normal 4 4 2 2 6 4" xfId="11102" xr:uid="{D9CD5249-9056-464F-B816-D3D84C13BF93}"/>
    <cellStyle name="Normal 4 4 2 2 6 5" xfId="20401" xr:uid="{4894D7A2-23C1-43EC-B46A-494031041527}"/>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329896A6-E9AC-42C3-8714-28F27DCCB2C9}"/>
    <cellStyle name="Normal 4 4 2 2 7 2 2 3" xfId="27176" xr:uid="{DEE241FF-27C9-46F2-879D-EE237A14ADA7}"/>
    <cellStyle name="Normal 4 4 2 2 7 2 3" xfId="13660" xr:uid="{03B57495-FAED-4AEE-BECF-37D91978BAF1}"/>
    <cellStyle name="Normal 4 4 2 2 7 2 4" xfId="22959" xr:uid="{5E18A1A6-42B2-4B48-BD08-0CD96743649E}"/>
    <cellStyle name="Normal 4 4 2 2 7 3" xfId="6406" xr:uid="{00000000-0005-0000-0000-000012150000}"/>
    <cellStyle name="Normal 4 4 2 2 7 3 2" xfId="15732" xr:uid="{906B40B3-4C82-4EDE-AF64-2673A157AEBE}"/>
    <cellStyle name="Normal 4 4 2 2 7 3 3" xfId="25031" xr:uid="{7320BEA1-F87E-4EAE-898B-EE7193B02871}"/>
    <cellStyle name="Normal 4 4 2 2 7 4" xfId="11515" xr:uid="{EBA138C2-010B-47DE-94A6-F7330629BB7C}"/>
    <cellStyle name="Normal 4 4 2 2 7 5" xfId="20814" xr:uid="{8911D7C4-CE86-40A4-84C6-42FFA37003B1}"/>
    <cellStyle name="Normal 4 4 2 2 8" xfId="2536" xr:uid="{00000000-0005-0000-0000-000013150000}"/>
    <cellStyle name="Normal 4 4 2 2 8 2" xfId="6819" xr:uid="{00000000-0005-0000-0000-000014150000}"/>
    <cellStyle name="Normal 4 4 2 2 8 2 2" xfId="16145" xr:uid="{C0F193B2-E328-4F8D-BB90-F0BBC4104FE9}"/>
    <cellStyle name="Normal 4 4 2 2 8 2 3" xfId="25444" xr:uid="{89D871D5-BA06-4169-A9ED-27020DF36C07}"/>
    <cellStyle name="Normal 4 4 2 2 8 3" xfId="11928" xr:uid="{985BB0A0-942C-4153-8889-FCD2C00704AE}"/>
    <cellStyle name="Normal 4 4 2 2 8 4" xfId="21227" xr:uid="{A1A670EF-A977-4CA2-96FC-7EBA3C38DCC2}"/>
    <cellStyle name="Normal 4 4 2 2 9" xfId="4754" xr:uid="{00000000-0005-0000-0000-000015150000}"/>
    <cellStyle name="Normal 4 4 2 2 9 2" xfId="14080" xr:uid="{0A6F0DEF-ECB7-4D82-AD4F-1A87D9CA28B8}"/>
    <cellStyle name="Normal 4 4 2 2 9 3" xfId="23379" xr:uid="{68E28445-3B16-462F-91DD-197B21580344}"/>
    <cellStyle name="Normal 4 4 2 3" xfId="384" xr:uid="{00000000-0005-0000-0000-000016150000}"/>
    <cellStyle name="Normal 4 4 2 3 10" xfId="9867" xr:uid="{D1A34895-F9D4-4E3E-AEB6-AD12175751FB}"/>
    <cellStyle name="Normal 4 4 2 3 11" xfId="19166" xr:uid="{3C5AA1DA-78E3-429E-BCF0-D2B1E882E697}"/>
    <cellStyle name="Normal 4 4 2 3 2" xfId="385" xr:uid="{00000000-0005-0000-0000-000017150000}"/>
    <cellStyle name="Normal 4 4 2 3 2 10" xfId="19167" xr:uid="{4BA7F7BE-150F-4D6B-A659-4D91B1791CDA}"/>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D92BE077-4545-4E8E-B407-9EDAB98BA44A}"/>
    <cellStyle name="Normal 4 4 2 3 2 2 2 2 3" xfId="25942" xr:uid="{6F5395AE-B6F2-4A89-84B6-0A9231F29C0F}"/>
    <cellStyle name="Normal 4 4 2 3 2 2 2 3" xfId="12426" xr:uid="{1230EC34-23B2-4AC9-B88B-547CA7048599}"/>
    <cellStyle name="Normal 4 4 2 3 2 2 2 4" xfId="21725" xr:uid="{6FC3E08D-17E4-4219-9488-C5CFDE71A3ED}"/>
    <cellStyle name="Normal 4 4 2 3 2 2 3" xfId="5172" xr:uid="{00000000-0005-0000-0000-00001B150000}"/>
    <cellStyle name="Normal 4 4 2 3 2 2 3 2" xfId="14498" xr:uid="{513425FE-9E2F-4DB8-A282-ADFBEAF1ACA0}"/>
    <cellStyle name="Normal 4 4 2 3 2 2 3 3" xfId="23797" xr:uid="{F92C986B-10EA-4E6D-BD12-40A3C6FA817D}"/>
    <cellStyle name="Normal 4 4 2 3 2 2 4" xfId="9516" xr:uid="{93008D3B-5827-4778-B167-5B518B5BF56F}"/>
    <cellStyle name="Normal 4 4 2 3 2 2 4 2" xfId="18831" xr:uid="{0DF52AF1-2E15-4EED-A834-04ED1D1F26CE}"/>
    <cellStyle name="Normal 4 4 2 3 2 2 4 3" xfId="28128" xr:uid="{4699F1B6-3AD0-48F4-8E51-A3F29196CC5D}"/>
    <cellStyle name="Normal 4 4 2 3 2 2 5" xfId="10281" xr:uid="{C43E0DDF-A73F-4A1A-914F-ACA6DF75DEDD}"/>
    <cellStyle name="Normal 4 4 2 3 2 2 6" xfId="19580" xr:uid="{3AC46D2D-BB06-4104-9485-F82D83BD2CE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6938E775-C8A0-4C9B-B009-FAF4AEFEB638}"/>
    <cellStyle name="Normal 4 4 2 3 2 3 2 2 3" xfId="26355" xr:uid="{110F8DAE-7A3B-4D16-875C-89750BBF706C}"/>
    <cellStyle name="Normal 4 4 2 3 2 3 2 3" xfId="12839" xr:uid="{1BE65A40-CA96-4B12-9658-35C1E993D28D}"/>
    <cellStyle name="Normal 4 4 2 3 2 3 2 4" xfId="22138" xr:uid="{19067CF2-363C-4486-9779-3C60DD7B5456}"/>
    <cellStyle name="Normal 4 4 2 3 2 3 3" xfId="5585" xr:uid="{00000000-0005-0000-0000-00001F150000}"/>
    <cellStyle name="Normal 4 4 2 3 2 3 3 2" xfId="14911" xr:uid="{8C8AACBD-BDA9-44D4-9236-80DB5CDB0ECA}"/>
    <cellStyle name="Normal 4 4 2 3 2 3 3 3" xfId="24210" xr:uid="{C013C2BA-6117-4BE5-B675-ABB988659505}"/>
    <cellStyle name="Normal 4 4 2 3 2 3 4" xfId="10694" xr:uid="{A61A562F-1613-4D66-A942-0F0B2DEEFF4D}"/>
    <cellStyle name="Normal 4 4 2 3 2 3 5" xfId="19993" xr:uid="{C304341B-3CD3-48A0-BF7A-B352523A1F96}"/>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76746575-2E9B-4F80-A857-854CC95F1533}"/>
    <cellStyle name="Normal 4 4 2 3 2 4 2 2 3" xfId="26768" xr:uid="{671E7C71-9003-44F2-97EE-1EB8FB0EFCBF}"/>
    <cellStyle name="Normal 4 4 2 3 2 4 2 3" xfId="13252" xr:uid="{BE3BC1E8-9F59-4147-A4F6-49C38CA8ED90}"/>
    <cellStyle name="Normal 4 4 2 3 2 4 2 4" xfId="22551" xr:uid="{B5D89A8E-1AB7-4326-8BF2-F0FEEAAC0925}"/>
    <cellStyle name="Normal 4 4 2 3 2 4 3" xfId="5998" xr:uid="{00000000-0005-0000-0000-000023150000}"/>
    <cellStyle name="Normal 4 4 2 3 2 4 3 2" xfId="15324" xr:uid="{E3806329-1A40-48A0-A99C-3416ED0F8085}"/>
    <cellStyle name="Normal 4 4 2 3 2 4 3 3" xfId="24623" xr:uid="{53577225-2959-41C2-8833-19FD6107FEDA}"/>
    <cellStyle name="Normal 4 4 2 3 2 4 4" xfId="11107" xr:uid="{334A9810-BE15-4291-96DF-24FE0F1FA10C}"/>
    <cellStyle name="Normal 4 4 2 3 2 4 5" xfId="20406" xr:uid="{CC5813CA-86A7-4C47-823C-45EA1056E4F9}"/>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D2E00DDC-2481-429E-8ADF-104D1D5AE624}"/>
    <cellStyle name="Normal 4 4 2 3 2 5 2 2 3" xfId="27181" xr:uid="{753BA136-E3D5-4424-8EAF-7C7AF311E34C}"/>
    <cellStyle name="Normal 4 4 2 3 2 5 2 3" xfId="13665" xr:uid="{CF980D3B-09C3-43B1-A20D-AD3AD4BD6FE6}"/>
    <cellStyle name="Normal 4 4 2 3 2 5 2 4" xfId="22964" xr:uid="{069409BF-0E6D-4A34-B6F3-A7F76A1DAF61}"/>
    <cellStyle name="Normal 4 4 2 3 2 5 3" xfId="6411" xr:uid="{00000000-0005-0000-0000-000027150000}"/>
    <cellStyle name="Normal 4 4 2 3 2 5 3 2" xfId="15737" xr:uid="{86F14749-2670-4357-A068-7DEB92DEB4FC}"/>
    <cellStyle name="Normal 4 4 2 3 2 5 3 3" xfId="25036" xr:uid="{26BBD3E4-9C1A-4BE9-A718-2C302F173F2C}"/>
    <cellStyle name="Normal 4 4 2 3 2 5 4" xfId="11520" xr:uid="{AC9C0AED-F299-40D2-BD0E-E92A5C7F435E}"/>
    <cellStyle name="Normal 4 4 2 3 2 5 5" xfId="20819" xr:uid="{E1B2AF32-B185-40A1-A790-4C7CD89368F4}"/>
    <cellStyle name="Normal 4 4 2 3 2 6" xfId="2541" xr:uid="{00000000-0005-0000-0000-000028150000}"/>
    <cellStyle name="Normal 4 4 2 3 2 6 2" xfId="6824" xr:uid="{00000000-0005-0000-0000-000029150000}"/>
    <cellStyle name="Normal 4 4 2 3 2 6 2 2" xfId="16150" xr:uid="{D57AD879-503A-4989-96E3-9E0B1593848C}"/>
    <cellStyle name="Normal 4 4 2 3 2 6 2 3" xfId="25449" xr:uid="{1B092A0E-667B-4966-9381-E96B4336081F}"/>
    <cellStyle name="Normal 4 4 2 3 2 6 3" xfId="11933" xr:uid="{C70E3F08-C998-473C-8C40-75D9B1C5491B}"/>
    <cellStyle name="Normal 4 4 2 3 2 6 4" xfId="21232" xr:uid="{1BBDE4E2-91DF-4CF6-BC58-17F605C15C2B}"/>
    <cellStyle name="Normal 4 4 2 3 2 7" xfId="4759" xr:uid="{00000000-0005-0000-0000-00002A150000}"/>
    <cellStyle name="Normal 4 4 2 3 2 7 2" xfId="14085" xr:uid="{5923CC47-6DB8-4A62-8EF5-4D60F443A5A6}"/>
    <cellStyle name="Normal 4 4 2 3 2 7 3" xfId="23384" xr:uid="{D8D2CFEB-E09E-4BBC-A493-1DFBDF4635D7}"/>
    <cellStyle name="Normal 4 4 2 3 2 8" xfId="9091" xr:uid="{9DBAED0A-05EE-4674-B1B7-8D03DBB53301}"/>
    <cellStyle name="Normal 4 4 2 3 2 8 2" xfId="18415" xr:uid="{5392C68E-9188-4B80-A1EC-5335A888BBDA}"/>
    <cellStyle name="Normal 4 4 2 3 2 8 3" xfId="27713" xr:uid="{6F56414B-D553-471A-889A-9F40993B0067}"/>
    <cellStyle name="Normal 4 4 2 3 2 9" xfId="9868" xr:uid="{ACE311C2-0C17-4C46-910E-F26BDDFFA8B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56BD6D68-F9A2-4050-BD43-EB339E8BD01D}"/>
    <cellStyle name="Normal 4 4 2 3 3 2 2 3" xfId="25941" xr:uid="{912AB5BC-F461-4837-AFA6-100ACA4AB89F}"/>
    <cellStyle name="Normal 4 4 2 3 3 2 3" xfId="12425" xr:uid="{30E3BCAE-2D94-4E58-84E2-E273A3699327}"/>
    <cellStyle name="Normal 4 4 2 3 3 2 4" xfId="21724" xr:uid="{62E5CB19-AD4D-4F3D-B378-515DE145D78C}"/>
    <cellStyle name="Normal 4 4 2 3 3 3" xfId="5171" xr:uid="{00000000-0005-0000-0000-00002E150000}"/>
    <cellStyle name="Normal 4 4 2 3 3 3 2" xfId="14497" xr:uid="{3F61E5B9-D527-4B7A-8C6A-852BBFCB9D7E}"/>
    <cellStyle name="Normal 4 4 2 3 3 3 3" xfId="23796" xr:uid="{ED447612-E6EA-4F2C-A1DC-E562348C230E}"/>
    <cellStyle name="Normal 4 4 2 3 3 4" xfId="9309" xr:uid="{73E912F6-92AF-449E-AE53-1DEDEF686C0F}"/>
    <cellStyle name="Normal 4 4 2 3 3 4 2" xfId="18624" xr:uid="{02292ECE-915D-4211-BAA3-1AF4E3748DD4}"/>
    <cellStyle name="Normal 4 4 2 3 3 4 3" xfId="27921" xr:uid="{2599EC15-EEA1-4B85-A5B6-4CA29408035B}"/>
    <cellStyle name="Normal 4 4 2 3 3 5" xfId="10280" xr:uid="{E4DA2472-0117-4340-B92A-21331A2DA911}"/>
    <cellStyle name="Normal 4 4 2 3 3 6" xfId="19579" xr:uid="{CF7EC0F3-02F4-442B-AB3E-7C540289EEEC}"/>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F5083477-8CD8-489E-A2A8-7748C7CE2890}"/>
    <cellStyle name="Normal 4 4 2 3 4 2 2 3" xfId="26354" xr:uid="{60B9D7D0-7B85-4833-BD32-22380272A36B}"/>
    <cellStyle name="Normal 4 4 2 3 4 2 3" xfId="12838" xr:uid="{43F59E01-80A5-47A5-9633-789CAABFEACC}"/>
    <cellStyle name="Normal 4 4 2 3 4 2 4" xfId="22137" xr:uid="{315C2E3A-CFF4-4611-994F-F93A1478DC77}"/>
    <cellStyle name="Normal 4 4 2 3 4 3" xfId="5584" xr:uid="{00000000-0005-0000-0000-000032150000}"/>
    <cellStyle name="Normal 4 4 2 3 4 3 2" xfId="14910" xr:uid="{1FABC6B7-FA97-4CE7-99E8-EE98767E101D}"/>
    <cellStyle name="Normal 4 4 2 3 4 3 3" xfId="24209" xr:uid="{DD984C65-03D6-4B63-860D-D8E715F9C608}"/>
    <cellStyle name="Normal 4 4 2 3 4 4" xfId="10693" xr:uid="{83106966-47D1-4804-B5A0-233F125A3EBC}"/>
    <cellStyle name="Normal 4 4 2 3 4 5" xfId="19992" xr:uid="{5AB6F80E-E209-473C-B116-F98738100672}"/>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357E0FE0-88C8-4973-928B-88DD2653789A}"/>
    <cellStyle name="Normal 4 4 2 3 5 2 2 3" xfId="26767" xr:uid="{D7296024-D98D-4363-A1C0-46ED1118B6A9}"/>
    <cellStyle name="Normal 4 4 2 3 5 2 3" xfId="13251" xr:uid="{ABC390C7-6002-4AC2-89F3-4310A6E424F6}"/>
    <cellStyle name="Normal 4 4 2 3 5 2 4" xfId="22550" xr:uid="{B44D9F9D-66C7-483E-9B31-46534AC0185C}"/>
    <cellStyle name="Normal 4 4 2 3 5 3" xfId="5997" xr:uid="{00000000-0005-0000-0000-000036150000}"/>
    <cellStyle name="Normal 4 4 2 3 5 3 2" xfId="15323" xr:uid="{3088DF42-6714-4463-AD5E-A60A808E7AE0}"/>
    <cellStyle name="Normal 4 4 2 3 5 3 3" xfId="24622" xr:uid="{7ACB2057-F879-43C5-A235-A48E6A7CB658}"/>
    <cellStyle name="Normal 4 4 2 3 5 4" xfId="11106" xr:uid="{87734CB6-6153-4C6A-80F7-E131656E83D9}"/>
    <cellStyle name="Normal 4 4 2 3 5 5" xfId="20405" xr:uid="{735AA8C0-53FE-47AB-81DE-5607481BF134}"/>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0F372AF8-C501-406E-9ECA-8FA57C3FB311}"/>
    <cellStyle name="Normal 4 4 2 3 6 2 2 3" xfId="27180" xr:uid="{0EEAF000-B596-4ABB-BE80-1059F2F7462F}"/>
    <cellStyle name="Normal 4 4 2 3 6 2 3" xfId="13664" xr:uid="{E8ABE90F-0275-42EE-AC51-1E4B480600B9}"/>
    <cellStyle name="Normal 4 4 2 3 6 2 4" xfId="22963" xr:uid="{2A0880B2-56C4-451B-8D3F-555E6C698471}"/>
    <cellStyle name="Normal 4 4 2 3 6 3" xfId="6410" xr:uid="{00000000-0005-0000-0000-00003A150000}"/>
    <cellStyle name="Normal 4 4 2 3 6 3 2" xfId="15736" xr:uid="{EB26C87D-2ED5-49A4-B78B-FAD67D306567}"/>
    <cellStyle name="Normal 4 4 2 3 6 3 3" xfId="25035" xr:uid="{2355C83D-5339-4128-8B75-56E55FF64E65}"/>
    <cellStyle name="Normal 4 4 2 3 6 4" xfId="11519" xr:uid="{D0693F7D-97B0-4683-B99A-AE6BE280EF4B}"/>
    <cellStyle name="Normal 4 4 2 3 6 5" xfId="20818" xr:uid="{326A9147-A6F0-4123-AD15-3530CDEBEBE2}"/>
    <cellStyle name="Normal 4 4 2 3 7" xfId="2540" xr:uid="{00000000-0005-0000-0000-00003B150000}"/>
    <cellStyle name="Normal 4 4 2 3 7 2" xfId="6823" xr:uid="{00000000-0005-0000-0000-00003C150000}"/>
    <cellStyle name="Normal 4 4 2 3 7 2 2" xfId="16149" xr:uid="{7F14697E-620A-4EDB-B141-4D31C1A71EC3}"/>
    <cellStyle name="Normal 4 4 2 3 7 2 3" xfId="25448" xr:uid="{DB9460BE-29FD-406C-A650-3157EAAC72C2}"/>
    <cellStyle name="Normal 4 4 2 3 7 3" xfId="11932" xr:uid="{05527154-ACA6-490D-BB61-933C9C720517}"/>
    <cellStyle name="Normal 4 4 2 3 7 4" xfId="21231" xr:uid="{AAEAD860-20E1-4E2C-882B-F289EB8B8CB0}"/>
    <cellStyle name="Normal 4 4 2 3 8" xfId="4758" xr:uid="{00000000-0005-0000-0000-00003D150000}"/>
    <cellStyle name="Normal 4 4 2 3 8 2" xfId="14084" xr:uid="{F36EDC7E-5444-4B08-9679-D3C92840480E}"/>
    <cellStyle name="Normal 4 4 2 3 8 3" xfId="23383" xr:uid="{F3F80B32-267D-45F8-8ED6-8FD5B9E1371A}"/>
    <cellStyle name="Normal 4 4 2 3 9" xfId="8884" xr:uid="{CBA8CCC0-D2E2-46C8-AC83-39734599F615}"/>
    <cellStyle name="Normal 4 4 2 3 9 2" xfId="18208" xr:uid="{3F1B5924-CF39-4637-9966-75CDD3DC4870}"/>
    <cellStyle name="Normal 4 4 2 3 9 3" xfId="27506" xr:uid="{73C14A1F-E32F-48EE-ABE6-C6B03C5D518E}"/>
    <cellStyle name="Normal 4 4 2 4" xfId="386" xr:uid="{00000000-0005-0000-0000-00003E150000}"/>
    <cellStyle name="Normal 4 4 2 4 10" xfId="19168" xr:uid="{8DC34869-DB32-40F4-B4C0-E1E1B771D8D3}"/>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9D7BAB26-20BF-4805-9246-DD7B35250FD9}"/>
    <cellStyle name="Normal 4 4 2 4 2 2 2 3" xfId="25943" xr:uid="{76AD4321-FEB6-44C9-A6FD-F85BA985C645}"/>
    <cellStyle name="Normal 4 4 2 4 2 2 3" xfId="12427" xr:uid="{0DA26DA2-49F1-44A7-9581-44C9D8635F26}"/>
    <cellStyle name="Normal 4 4 2 4 2 2 4" xfId="21726" xr:uid="{904EC203-CBEA-46FF-A2B2-EDB24A6BFA0C}"/>
    <cellStyle name="Normal 4 4 2 4 2 3" xfId="5173" xr:uid="{00000000-0005-0000-0000-000042150000}"/>
    <cellStyle name="Normal 4 4 2 4 2 3 2" xfId="14499" xr:uid="{CF7F8FC6-C92D-41F4-8254-7297325D91BD}"/>
    <cellStyle name="Normal 4 4 2 4 2 3 3" xfId="23798" xr:uid="{0EFCAE23-93E4-4C78-AC51-F0151D41E94C}"/>
    <cellStyle name="Normal 4 4 2 4 2 4" xfId="9413" xr:uid="{4DC092EA-7C69-4E02-9FE8-33F62D070F54}"/>
    <cellStyle name="Normal 4 4 2 4 2 4 2" xfId="18728" xr:uid="{5711BC70-2A2B-4150-B5F3-90CCAD26B571}"/>
    <cellStyle name="Normal 4 4 2 4 2 4 3" xfId="28025" xr:uid="{2C9FFA7F-342C-4F35-88F6-1309B1AE83FF}"/>
    <cellStyle name="Normal 4 4 2 4 2 5" xfId="10282" xr:uid="{7108F868-D703-44EE-AFD4-C04B34A97FA5}"/>
    <cellStyle name="Normal 4 4 2 4 2 6" xfId="19581" xr:uid="{37A4B056-7A6A-4D7F-8851-E145032780D7}"/>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C9F219F0-CAAF-41E8-AD08-E356223AD5F9}"/>
    <cellStyle name="Normal 4 4 2 4 3 2 2 3" xfId="26356" xr:uid="{0D75485B-6EB4-4C4F-AD3A-31B6469CB9B8}"/>
    <cellStyle name="Normal 4 4 2 4 3 2 3" xfId="12840" xr:uid="{CF980379-9A7F-478D-991F-81915C42D227}"/>
    <cellStyle name="Normal 4 4 2 4 3 2 4" xfId="22139" xr:uid="{CFFA41CA-EC98-403C-986B-63DF59321BA9}"/>
    <cellStyle name="Normal 4 4 2 4 3 3" xfId="5586" xr:uid="{00000000-0005-0000-0000-000046150000}"/>
    <cellStyle name="Normal 4 4 2 4 3 3 2" xfId="14912" xr:uid="{A34E25E2-B5AC-489A-8940-8E090F684FCE}"/>
    <cellStyle name="Normal 4 4 2 4 3 3 3" xfId="24211" xr:uid="{4DC1759A-BAC0-40D0-B00E-0F20AF3626D4}"/>
    <cellStyle name="Normal 4 4 2 4 3 4" xfId="10695" xr:uid="{A911B0D0-20EC-40A7-A01F-07BD9A2931D4}"/>
    <cellStyle name="Normal 4 4 2 4 3 5" xfId="19994" xr:uid="{AAE72A19-32D3-40D3-8954-FD3D8C0A3551}"/>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894990DB-38F7-4CC1-8313-D497DE3F3492}"/>
    <cellStyle name="Normal 4 4 2 4 4 2 2 3" xfId="26769" xr:uid="{CFBEC76E-EE6A-4A8D-BAC6-88BA1A4185BC}"/>
    <cellStyle name="Normal 4 4 2 4 4 2 3" xfId="13253" xr:uid="{D7F530ED-3D20-473D-B57B-2E639E494168}"/>
    <cellStyle name="Normal 4 4 2 4 4 2 4" xfId="22552" xr:uid="{0E6A9A18-F1FC-41F9-B321-62AA6526B2FC}"/>
    <cellStyle name="Normal 4 4 2 4 4 3" xfId="5999" xr:uid="{00000000-0005-0000-0000-00004A150000}"/>
    <cellStyle name="Normal 4 4 2 4 4 3 2" xfId="15325" xr:uid="{3A227060-46D4-47B2-9D60-C94C65738443}"/>
    <cellStyle name="Normal 4 4 2 4 4 3 3" xfId="24624" xr:uid="{386E3A1F-175B-4A3A-9CD5-299E57F75A63}"/>
    <cellStyle name="Normal 4 4 2 4 4 4" xfId="11108" xr:uid="{5FA4868F-96E7-4398-96B6-CA187B81DC35}"/>
    <cellStyle name="Normal 4 4 2 4 4 5" xfId="20407" xr:uid="{4A267EC4-2CE8-40AC-B299-3939CA1F500F}"/>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E4E7280C-F1AD-4BF9-BFAA-DDCBA040270C}"/>
    <cellStyle name="Normal 4 4 2 4 5 2 2 3" xfId="27182" xr:uid="{127D6D81-9512-4B27-8C1F-8EA27BC26877}"/>
    <cellStyle name="Normal 4 4 2 4 5 2 3" xfId="13666" xr:uid="{2016FC5B-634A-4790-8EE6-F688ECE96FCD}"/>
    <cellStyle name="Normal 4 4 2 4 5 2 4" xfId="22965" xr:uid="{7C7F3C3C-8435-4FE0-89FA-0DD36AA68970}"/>
    <cellStyle name="Normal 4 4 2 4 5 3" xfId="6412" xr:uid="{00000000-0005-0000-0000-00004E150000}"/>
    <cellStyle name="Normal 4 4 2 4 5 3 2" xfId="15738" xr:uid="{A9E2BDBB-3E11-4359-AD24-839BC47797ED}"/>
    <cellStyle name="Normal 4 4 2 4 5 3 3" xfId="25037" xr:uid="{9B48A122-0CF1-4516-9D43-F744580EA016}"/>
    <cellStyle name="Normal 4 4 2 4 5 4" xfId="11521" xr:uid="{80E7ABA4-2D90-4355-9EFF-CC27BC2EF2FA}"/>
    <cellStyle name="Normal 4 4 2 4 5 5" xfId="20820" xr:uid="{FB2509B6-4284-4ED7-97FA-FA9D293D5105}"/>
    <cellStyle name="Normal 4 4 2 4 6" xfId="2542" xr:uid="{00000000-0005-0000-0000-00004F150000}"/>
    <cellStyle name="Normal 4 4 2 4 6 2" xfId="6825" xr:uid="{00000000-0005-0000-0000-000050150000}"/>
    <cellStyle name="Normal 4 4 2 4 6 2 2" xfId="16151" xr:uid="{046CDFDB-4098-426B-8EEB-CB0BBFEF7C03}"/>
    <cellStyle name="Normal 4 4 2 4 6 2 3" xfId="25450" xr:uid="{FD409792-6BBE-4851-B664-56D7EC8D9BEE}"/>
    <cellStyle name="Normal 4 4 2 4 6 3" xfId="11934" xr:uid="{4C9543D2-CD68-47B8-BE49-B96EF54EF970}"/>
    <cellStyle name="Normal 4 4 2 4 6 4" xfId="21233" xr:uid="{F0B050AC-8CC9-4BE1-8D71-79D0621DFEE5}"/>
    <cellStyle name="Normal 4 4 2 4 7" xfId="4760" xr:uid="{00000000-0005-0000-0000-000051150000}"/>
    <cellStyle name="Normal 4 4 2 4 7 2" xfId="14086" xr:uid="{41CB8755-95C7-4793-873C-B8B26B1D8B0F}"/>
    <cellStyle name="Normal 4 4 2 4 7 3" xfId="23385" xr:uid="{1AAC1CC2-D2AC-4B74-A184-751DFE1AC520}"/>
    <cellStyle name="Normal 4 4 2 4 8" xfId="8988" xr:uid="{F852E7B0-7ACD-4401-B3B6-BE989A5C8AD5}"/>
    <cellStyle name="Normal 4 4 2 4 8 2" xfId="18312" xr:uid="{0B641D13-090C-4BCF-8912-17271B3BD42B}"/>
    <cellStyle name="Normal 4 4 2 4 8 3" xfId="27610" xr:uid="{0AA7B439-5239-4E93-A816-3A53C86E2316}"/>
    <cellStyle name="Normal 4 4 2 4 9" xfId="9869" xr:uid="{4B82C340-87AB-4CA9-839E-9B03531FF9F8}"/>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98BCD875-C6A8-4EE9-AECE-D31A9CFB9ACF}"/>
    <cellStyle name="Normal 4 4 2 5 2 2 3" xfId="25936" xr:uid="{69F586AF-FE14-4451-8F3A-98F065827806}"/>
    <cellStyle name="Normal 4 4 2 5 2 3" xfId="12420" xr:uid="{43F703FA-A37F-4174-ACE3-F74FF39F8455}"/>
    <cellStyle name="Normal 4 4 2 5 2 4" xfId="21719" xr:uid="{13C8F39A-8C16-477C-B66C-28AAD91B93CA}"/>
    <cellStyle name="Normal 4 4 2 5 3" xfId="5166" xr:uid="{00000000-0005-0000-0000-000055150000}"/>
    <cellStyle name="Normal 4 4 2 5 3 2" xfId="14492" xr:uid="{C0D23D1C-E76C-44F9-A30C-87D061768377}"/>
    <cellStyle name="Normal 4 4 2 5 3 3" xfId="23791" xr:uid="{859301CF-91E2-4785-B7CC-D824AECFAC1B}"/>
    <cellStyle name="Normal 4 4 2 5 4" xfId="9205" xr:uid="{A63DE01D-3EC8-40FC-A47E-E0EA001EED52}"/>
    <cellStyle name="Normal 4 4 2 5 4 2" xfId="18521" xr:uid="{4ED96C47-7F71-4606-98CB-D7B8A6F29715}"/>
    <cellStyle name="Normal 4 4 2 5 4 3" xfId="27818" xr:uid="{C8B2B532-C3E5-41EE-A4DC-C277C2F95943}"/>
    <cellStyle name="Normal 4 4 2 5 5" xfId="10275" xr:uid="{38F29E76-4102-4975-AC46-F0AEBFFD59DB}"/>
    <cellStyle name="Normal 4 4 2 5 6" xfId="19574" xr:uid="{EA5A6D38-1C04-47A2-86E7-F53768790189}"/>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E06F380A-8B18-444D-85B8-1A9E7BCFC251}"/>
    <cellStyle name="Normal 4 4 2 6 2 2 3" xfId="26349" xr:uid="{682656AB-3F06-4AEA-AA31-ABB9C344A1F1}"/>
    <cellStyle name="Normal 4 4 2 6 2 3" xfId="12833" xr:uid="{A139A5D1-2AC3-45BA-A57F-5F131189C513}"/>
    <cellStyle name="Normal 4 4 2 6 2 4" xfId="22132" xr:uid="{A2E0C033-098D-4F07-B3E2-4BBD762C87BA}"/>
    <cellStyle name="Normal 4 4 2 6 3" xfId="5579" xr:uid="{00000000-0005-0000-0000-000059150000}"/>
    <cellStyle name="Normal 4 4 2 6 3 2" xfId="14905" xr:uid="{90AE9E52-E661-493C-89FD-8082D50B0B8A}"/>
    <cellStyle name="Normal 4 4 2 6 3 3" xfId="24204" xr:uid="{79C0F6A1-2975-47BE-A60E-7F0ACF04673F}"/>
    <cellStyle name="Normal 4 4 2 6 4" xfId="10688" xr:uid="{1C683C66-0440-490A-A841-A96EC863029F}"/>
    <cellStyle name="Normal 4 4 2 6 5" xfId="19987" xr:uid="{3FD1DB0B-5867-4E04-9E23-61D1264D2276}"/>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85954D30-CDB0-4011-A694-C6A8846A8DD4}"/>
    <cellStyle name="Normal 4 4 2 7 2 2 3" xfId="26762" xr:uid="{5AC1BAD1-1632-414A-8890-2C13A411198A}"/>
    <cellStyle name="Normal 4 4 2 7 2 3" xfId="13246" xr:uid="{0D1C58B8-22FE-44D3-B678-0A2DA0439A2F}"/>
    <cellStyle name="Normal 4 4 2 7 2 4" xfId="22545" xr:uid="{EA451CEB-185A-43C6-BD28-A0F110E65749}"/>
    <cellStyle name="Normal 4 4 2 7 3" xfId="5992" xr:uid="{00000000-0005-0000-0000-00005D150000}"/>
    <cellStyle name="Normal 4 4 2 7 3 2" xfId="15318" xr:uid="{4B57997F-61B9-4474-BB9C-1484E4BE65FB}"/>
    <cellStyle name="Normal 4 4 2 7 3 3" xfId="24617" xr:uid="{A99882F2-445C-4A7A-B821-D6F3A526E0A4}"/>
    <cellStyle name="Normal 4 4 2 7 4" xfId="11101" xr:uid="{3F9B5BD9-C40C-4344-85BE-37FD738B12EF}"/>
    <cellStyle name="Normal 4 4 2 7 5" xfId="20400" xr:uid="{DBA7EFBB-C469-4B7B-A05F-01C8535B3369}"/>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E6BB8582-AE0E-4D05-841C-068422087864}"/>
    <cellStyle name="Normal 4 4 2 8 2 2 3" xfId="27175" xr:uid="{3B8058BA-A095-44E3-8ECB-6F54E37296DC}"/>
    <cellStyle name="Normal 4 4 2 8 2 3" xfId="13659" xr:uid="{1D7FD21E-B4C0-411F-B6BB-0DEBF761D22F}"/>
    <cellStyle name="Normal 4 4 2 8 2 4" xfId="22958" xr:uid="{486B7FD1-AAA6-4AFD-809D-80BFC1C795A6}"/>
    <cellStyle name="Normal 4 4 2 8 3" xfId="6405" xr:uid="{00000000-0005-0000-0000-000061150000}"/>
    <cellStyle name="Normal 4 4 2 8 3 2" xfId="15731" xr:uid="{DB68CAB1-EBAD-4740-BC45-45E40B195D7E}"/>
    <cellStyle name="Normal 4 4 2 8 3 3" xfId="25030" xr:uid="{CA29E96E-0FF1-479E-8092-2C6ACE99D3F9}"/>
    <cellStyle name="Normal 4 4 2 8 4" xfId="11514" xr:uid="{73C345FA-0497-4404-9DCB-9FE09A59F410}"/>
    <cellStyle name="Normal 4 4 2 8 5" xfId="20813" xr:uid="{09E920E6-FB4A-4E1C-9197-9137683EEA32}"/>
    <cellStyle name="Normal 4 4 2 9" xfId="2535" xr:uid="{00000000-0005-0000-0000-000062150000}"/>
    <cellStyle name="Normal 4 4 2 9 2" xfId="6818" xr:uid="{00000000-0005-0000-0000-000063150000}"/>
    <cellStyle name="Normal 4 4 2 9 2 2" xfId="16144" xr:uid="{FD7367FD-6981-469E-B9BA-90BE8773B3C2}"/>
    <cellStyle name="Normal 4 4 2 9 2 3" xfId="25443" xr:uid="{54D74529-F948-4617-9842-D66CBE6A1044}"/>
    <cellStyle name="Normal 4 4 2 9 3" xfId="11927" xr:uid="{794498F3-332D-42AB-94B9-91C27C39DB17}"/>
    <cellStyle name="Normal 4 4 2 9 4" xfId="21226" xr:uid="{91FE85DE-24C7-4E1D-A600-CD7B71E2D8A7}"/>
    <cellStyle name="Normal 4 4 3" xfId="387" xr:uid="{00000000-0005-0000-0000-000064150000}"/>
    <cellStyle name="Normal 4 4 3 10" xfId="8823" xr:uid="{E623F102-F69B-4FD0-BEDA-A1480AF4D892}"/>
    <cellStyle name="Normal 4 4 3 10 2" xfId="18147" xr:uid="{D5A97CDA-7059-455E-9909-B4247F5D2C7A}"/>
    <cellStyle name="Normal 4 4 3 10 3" xfId="27445" xr:uid="{D5DB11F8-7CE8-4550-A9EC-646D792E6485}"/>
    <cellStyle name="Normal 4 4 3 11" xfId="9870" xr:uid="{8B3AB19D-7AEC-49BB-B47A-08A9A423C87C}"/>
    <cellStyle name="Normal 4 4 3 12" xfId="19169" xr:uid="{675EE35C-CDCF-4F02-BCC6-249832C81EF8}"/>
    <cellStyle name="Normal 4 4 3 2" xfId="388" xr:uid="{00000000-0005-0000-0000-000065150000}"/>
    <cellStyle name="Normal 4 4 3 2 10" xfId="9871" xr:uid="{014AC14A-2C3A-4784-A90A-CAF0A816C283}"/>
    <cellStyle name="Normal 4 4 3 2 11" xfId="19170" xr:uid="{78E463F7-2488-4E88-90EB-656D967E2D56}"/>
    <cellStyle name="Normal 4 4 3 2 2" xfId="389" xr:uid="{00000000-0005-0000-0000-000066150000}"/>
    <cellStyle name="Normal 4 4 3 2 2 10" xfId="19171" xr:uid="{27F89CB0-858C-4071-B149-FBD02F30B80E}"/>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53AF84C6-EFB7-41E7-B005-6829F9E66D1B}"/>
    <cellStyle name="Normal 4 4 3 2 2 2 2 2 3" xfId="25946" xr:uid="{3BA733DA-F41F-42C4-941C-B0410AEE8D45}"/>
    <cellStyle name="Normal 4 4 3 2 2 2 2 3" xfId="12430" xr:uid="{57770940-E31E-4DD3-9893-5F178EED047B}"/>
    <cellStyle name="Normal 4 4 3 2 2 2 2 4" xfId="21729" xr:uid="{121DC478-1E29-4794-A0F7-CA1C60C748A8}"/>
    <cellStyle name="Normal 4 4 3 2 2 2 3" xfId="5176" xr:uid="{00000000-0005-0000-0000-00006A150000}"/>
    <cellStyle name="Normal 4 4 3 2 2 2 3 2" xfId="14502" xr:uid="{FBA21173-D2EF-4189-A6B7-791F47F18643}"/>
    <cellStyle name="Normal 4 4 3 2 2 2 3 3" xfId="23801" xr:uid="{9A506379-FF03-4550-A649-66CD4D2472BD}"/>
    <cellStyle name="Normal 4 4 3 2 2 2 4" xfId="9558" xr:uid="{8C9519E6-5920-473D-9749-EC61E4877632}"/>
    <cellStyle name="Normal 4 4 3 2 2 2 4 2" xfId="18873" xr:uid="{E5C70866-9EA8-4A75-8BEC-981D85ED4A3F}"/>
    <cellStyle name="Normal 4 4 3 2 2 2 4 3" xfId="28170" xr:uid="{925FF850-F25D-4A85-9A17-496FBCDC922F}"/>
    <cellStyle name="Normal 4 4 3 2 2 2 5" xfId="10285" xr:uid="{45C0894B-286B-4531-A6F3-6534B96F5AF0}"/>
    <cellStyle name="Normal 4 4 3 2 2 2 6" xfId="19584" xr:uid="{BDD052A9-7405-47DA-8983-B43208D9CE64}"/>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D6D3998D-A9AE-4130-B014-BB6CD335A121}"/>
    <cellStyle name="Normal 4 4 3 2 2 3 2 2 3" xfId="26359" xr:uid="{A0004054-1449-4FE8-998C-2F1BBF79077C}"/>
    <cellStyle name="Normal 4 4 3 2 2 3 2 3" xfId="12843" xr:uid="{8635AD7A-46D9-4CD1-8D00-537A3FCEC777}"/>
    <cellStyle name="Normal 4 4 3 2 2 3 2 4" xfId="22142" xr:uid="{863D1673-F8D9-400D-A1B5-C91D31AD15B7}"/>
    <cellStyle name="Normal 4 4 3 2 2 3 3" xfId="5589" xr:uid="{00000000-0005-0000-0000-00006E150000}"/>
    <cellStyle name="Normal 4 4 3 2 2 3 3 2" xfId="14915" xr:uid="{6B3E7107-DEF0-4010-8D77-FA116C4ABB90}"/>
    <cellStyle name="Normal 4 4 3 2 2 3 3 3" xfId="24214" xr:uid="{D043B867-EE62-4680-8A53-456A86A09D8D}"/>
    <cellStyle name="Normal 4 4 3 2 2 3 4" xfId="10698" xr:uid="{185639A4-AB82-4DD3-B217-7321D8E61E1D}"/>
    <cellStyle name="Normal 4 4 3 2 2 3 5" xfId="19997" xr:uid="{A7E5EA91-7DE5-4F2C-9632-B2E91F7B2A4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6946DD9C-9880-4914-968D-9B59A40DC598}"/>
    <cellStyle name="Normal 4 4 3 2 2 4 2 2 3" xfId="26772" xr:uid="{0CEE4C97-F53A-40DE-A3ED-164A15B2769B}"/>
    <cellStyle name="Normal 4 4 3 2 2 4 2 3" xfId="13256" xr:uid="{5D0EF134-BFC4-4495-88F3-837509874832}"/>
    <cellStyle name="Normal 4 4 3 2 2 4 2 4" xfId="22555" xr:uid="{61A4FD75-45AB-4732-A462-B0FF482334AF}"/>
    <cellStyle name="Normal 4 4 3 2 2 4 3" xfId="6002" xr:uid="{00000000-0005-0000-0000-000072150000}"/>
    <cellStyle name="Normal 4 4 3 2 2 4 3 2" xfId="15328" xr:uid="{0649A807-31F3-4F5F-A03A-BF9BAE235FAD}"/>
    <cellStyle name="Normal 4 4 3 2 2 4 3 3" xfId="24627" xr:uid="{7E01C0EA-9B83-4A36-A99E-1B4698D2C552}"/>
    <cellStyle name="Normal 4 4 3 2 2 4 4" xfId="11111" xr:uid="{0B688476-C2AF-4D38-AF05-00D4C84F30A1}"/>
    <cellStyle name="Normal 4 4 3 2 2 4 5" xfId="20410" xr:uid="{EE694B77-9276-4023-81BC-7B24630071AB}"/>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4C63C684-F2E9-4A4A-AD6B-8BF31865E2EE}"/>
    <cellStyle name="Normal 4 4 3 2 2 5 2 2 3" xfId="27185" xr:uid="{25B5B7EE-9898-413A-93D0-137AA900D0E6}"/>
    <cellStyle name="Normal 4 4 3 2 2 5 2 3" xfId="13669" xr:uid="{D4A9BF80-5A0B-4941-9A67-8CD2FF54FEA1}"/>
    <cellStyle name="Normal 4 4 3 2 2 5 2 4" xfId="22968" xr:uid="{F7738733-72CC-44FB-97F1-F4ADC8E99F9E}"/>
    <cellStyle name="Normal 4 4 3 2 2 5 3" xfId="6415" xr:uid="{00000000-0005-0000-0000-000076150000}"/>
    <cellStyle name="Normal 4 4 3 2 2 5 3 2" xfId="15741" xr:uid="{AF80A695-06EB-4D1C-A10E-F0EA652DDF4E}"/>
    <cellStyle name="Normal 4 4 3 2 2 5 3 3" xfId="25040" xr:uid="{CBBC72B6-847C-401A-B23F-6D599D7CA1A1}"/>
    <cellStyle name="Normal 4 4 3 2 2 5 4" xfId="11524" xr:uid="{0F272338-A3BE-4F1D-BC9A-DB11B0E0879B}"/>
    <cellStyle name="Normal 4 4 3 2 2 5 5" xfId="20823" xr:uid="{6C17E006-9547-49B0-AE86-4E5286A6F68C}"/>
    <cellStyle name="Normal 4 4 3 2 2 6" xfId="2545" xr:uid="{00000000-0005-0000-0000-000077150000}"/>
    <cellStyle name="Normal 4 4 3 2 2 6 2" xfId="6828" xr:uid="{00000000-0005-0000-0000-000078150000}"/>
    <cellStyle name="Normal 4 4 3 2 2 6 2 2" xfId="16154" xr:uid="{46AA332A-CE15-461D-9706-0CC22A6A95F5}"/>
    <cellStyle name="Normal 4 4 3 2 2 6 2 3" xfId="25453" xr:uid="{93FE69E6-8F3D-424E-91F7-14EC25155458}"/>
    <cellStyle name="Normal 4 4 3 2 2 6 3" xfId="11937" xr:uid="{FD596DDF-FB17-4802-A54B-ADBB48B2D0DF}"/>
    <cellStyle name="Normal 4 4 3 2 2 6 4" xfId="21236" xr:uid="{DA5AAB88-08DA-4551-8786-DE755C6F3927}"/>
    <cellStyle name="Normal 4 4 3 2 2 7" xfId="4763" xr:uid="{00000000-0005-0000-0000-000079150000}"/>
    <cellStyle name="Normal 4 4 3 2 2 7 2" xfId="14089" xr:uid="{E3467040-52E5-4A17-8AAF-1A5347B6DB64}"/>
    <cellStyle name="Normal 4 4 3 2 2 7 3" xfId="23388" xr:uid="{A90CEC3B-CBDC-4D89-A1C4-96C0E9B76001}"/>
    <cellStyle name="Normal 4 4 3 2 2 8" xfId="9133" xr:uid="{37002A66-D58A-4EF9-8D22-8F1A3EE99E08}"/>
    <cellStyle name="Normal 4 4 3 2 2 8 2" xfId="18457" xr:uid="{3254FAC6-6ED0-47C1-92E0-217FF965F772}"/>
    <cellStyle name="Normal 4 4 3 2 2 8 3" xfId="27755" xr:uid="{8CE92E05-6C49-49E2-ADFA-39F6F489AC9F}"/>
    <cellStyle name="Normal 4 4 3 2 2 9" xfId="9872" xr:uid="{E8E7ECCA-C685-48F1-8076-139C4D91496D}"/>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3E912462-FE2B-4362-B786-845421D92123}"/>
    <cellStyle name="Normal 4 4 3 2 3 2 2 3" xfId="25945" xr:uid="{425E9D33-638F-44D5-992E-144294B01971}"/>
    <cellStyle name="Normal 4 4 3 2 3 2 3" xfId="12429" xr:uid="{510EFB86-E4A4-4B40-8397-6D6C675932F1}"/>
    <cellStyle name="Normal 4 4 3 2 3 2 4" xfId="21728" xr:uid="{5B455C0E-8A10-4AC5-88C3-07D3A2C42BED}"/>
    <cellStyle name="Normal 4 4 3 2 3 3" xfId="5175" xr:uid="{00000000-0005-0000-0000-00007D150000}"/>
    <cellStyle name="Normal 4 4 3 2 3 3 2" xfId="14501" xr:uid="{E54507AF-AF3B-4679-A511-998E747E46D5}"/>
    <cellStyle name="Normal 4 4 3 2 3 3 3" xfId="23800" xr:uid="{F1CE5960-E272-4EE0-8737-46897ECD0677}"/>
    <cellStyle name="Normal 4 4 3 2 3 4" xfId="9351" xr:uid="{51AD2B95-755A-411D-AA40-98381F5D8294}"/>
    <cellStyle name="Normal 4 4 3 2 3 4 2" xfId="18666" xr:uid="{8A55807B-CEE6-4AD6-82A1-170299E4D1CD}"/>
    <cellStyle name="Normal 4 4 3 2 3 4 3" xfId="27963" xr:uid="{052B4996-CF0D-406E-87D5-B839D6D3342B}"/>
    <cellStyle name="Normal 4 4 3 2 3 5" xfId="10284" xr:uid="{C00A7E03-FE95-48A9-AE70-787FD2E5E4D7}"/>
    <cellStyle name="Normal 4 4 3 2 3 6" xfId="19583" xr:uid="{7063C2B7-F4C8-48B2-B6A5-07E9E902B0B2}"/>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81DEB0A8-B8BF-4256-9BDC-3DE562027252}"/>
    <cellStyle name="Normal 4 4 3 2 4 2 2 3" xfId="26358" xr:uid="{A7D4C520-064E-44D5-8A78-85C23D368C9A}"/>
    <cellStyle name="Normal 4 4 3 2 4 2 3" xfId="12842" xr:uid="{BFF5BA29-37CB-46FD-BD89-992EB0C6DF00}"/>
    <cellStyle name="Normal 4 4 3 2 4 2 4" xfId="22141" xr:uid="{756745BF-4D9B-4DB7-A7BD-6312F7277E56}"/>
    <cellStyle name="Normal 4 4 3 2 4 3" xfId="5588" xr:uid="{00000000-0005-0000-0000-000081150000}"/>
    <cellStyle name="Normal 4 4 3 2 4 3 2" xfId="14914" xr:uid="{67AC9CC7-1484-42F3-B9F6-2F2CD27DC45A}"/>
    <cellStyle name="Normal 4 4 3 2 4 3 3" xfId="24213" xr:uid="{3668A5A0-4D2B-41CB-92F3-181881F3D702}"/>
    <cellStyle name="Normal 4 4 3 2 4 4" xfId="10697" xr:uid="{47D03D6D-EE30-424F-8B9F-1A5F8C199BBA}"/>
    <cellStyle name="Normal 4 4 3 2 4 5" xfId="19996" xr:uid="{CD7803DB-5239-4299-AB38-BBD4B5C33C8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5AD32C0F-9B56-474C-934D-739ABEC449EE}"/>
    <cellStyle name="Normal 4 4 3 2 5 2 2 3" xfId="26771" xr:uid="{A47DA44A-4455-4387-9477-FB2647FA8B5C}"/>
    <cellStyle name="Normal 4 4 3 2 5 2 3" xfId="13255" xr:uid="{138C431A-7383-4B7C-A03C-E4076717BFDB}"/>
    <cellStyle name="Normal 4 4 3 2 5 2 4" xfId="22554" xr:uid="{F302E4E5-5681-47FE-A370-374017D7BA9E}"/>
    <cellStyle name="Normal 4 4 3 2 5 3" xfId="6001" xr:uid="{00000000-0005-0000-0000-000085150000}"/>
    <cellStyle name="Normal 4 4 3 2 5 3 2" xfId="15327" xr:uid="{EABF4E32-B191-40CA-8810-4956DE6E03C8}"/>
    <cellStyle name="Normal 4 4 3 2 5 3 3" xfId="24626" xr:uid="{A7EC01F6-400B-4BD6-96B7-5F84EF750C12}"/>
    <cellStyle name="Normal 4 4 3 2 5 4" xfId="11110" xr:uid="{228F8375-EAB4-48B3-ADB0-A5989F5E3D00}"/>
    <cellStyle name="Normal 4 4 3 2 5 5" xfId="20409" xr:uid="{863268D7-0C20-4634-ABCD-7B4339FDC539}"/>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0F77AC20-0283-4318-9A98-635098B1F68F}"/>
    <cellStyle name="Normal 4 4 3 2 6 2 2 3" xfId="27184" xr:uid="{8CDBF54B-FCF9-47DB-AF71-99DBF2EFD6BF}"/>
    <cellStyle name="Normal 4 4 3 2 6 2 3" xfId="13668" xr:uid="{B2178E0B-998B-4DD4-8DBE-DA6628A76AFA}"/>
    <cellStyle name="Normal 4 4 3 2 6 2 4" xfId="22967" xr:uid="{87B03358-EB4D-435E-BE9C-D5C4B6D0DA6B}"/>
    <cellStyle name="Normal 4 4 3 2 6 3" xfId="6414" xr:uid="{00000000-0005-0000-0000-000089150000}"/>
    <cellStyle name="Normal 4 4 3 2 6 3 2" xfId="15740" xr:uid="{7FC5541D-FC26-4DF0-9A08-6FD872BE080A}"/>
    <cellStyle name="Normal 4 4 3 2 6 3 3" xfId="25039" xr:uid="{0CCA9C3F-4F22-4A55-8933-DCACB44BDC75}"/>
    <cellStyle name="Normal 4 4 3 2 6 4" xfId="11523" xr:uid="{AD72E1BB-231F-404E-A987-065813A19C7D}"/>
    <cellStyle name="Normal 4 4 3 2 6 5" xfId="20822" xr:uid="{442D2B4B-EEE9-4F7E-B31E-C80338D59BCF}"/>
    <cellStyle name="Normal 4 4 3 2 7" xfId="2544" xr:uid="{00000000-0005-0000-0000-00008A150000}"/>
    <cellStyle name="Normal 4 4 3 2 7 2" xfId="6827" xr:uid="{00000000-0005-0000-0000-00008B150000}"/>
    <cellStyle name="Normal 4 4 3 2 7 2 2" xfId="16153" xr:uid="{AB90608F-FACB-4F6D-92A2-86C25FF16617}"/>
    <cellStyle name="Normal 4 4 3 2 7 2 3" xfId="25452" xr:uid="{764BE83B-3D59-43F3-8BF2-E7C1D5653BC8}"/>
    <cellStyle name="Normal 4 4 3 2 7 3" xfId="11936" xr:uid="{2E9608B3-DBA4-4341-BB77-1A216A15F7EA}"/>
    <cellStyle name="Normal 4 4 3 2 7 4" xfId="21235" xr:uid="{6F334EC8-85C0-419A-95D3-0B4030E34843}"/>
    <cellStyle name="Normal 4 4 3 2 8" xfId="4762" xr:uid="{00000000-0005-0000-0000-00008C150000}"/>
    <cellStyle name="Normal 4 4 3 2 8 2" xfId="14088" xr:uid="{D4EDB6E6-0818-4419-A931-0E6605A6FBF2}"/>
    <cellStyle name="Normal 4 4 3 2 8 3" xfId="23387" xr:uid="{BA9839CD-F92E-464D-A065-ADEEC7A946EF}"/>
    <cellStyle name="Normal 4 4 3 2 9" xfId="8926" xr:uid="{821D1F47-EF8D-4C64-BA70-5606A81A57B5}"/>
    <cellStyle name="Normal 4 4 3 2 9 2" xfId="18250" xr:uid="{759934A8-C1B0-4824-B570-08CA625C6ED5}"/>
    <cellStyle name="Normal 4 4 3 2 9 3" xfId="27548" xr:uid="{B003941C-E905-451C-BD9B-EAD883D9E444}"/>
    <cellStyle name="Normal 4 4 3 3" xfId="390" xr:uid="{00000000-0005-0000-0000-00008D150000}"/>
    <cellStyle name="Normal 4 4 3 3 10" xfId="19172" xr:uid="{26124789-20F6-4799-B27E-B9F6C4F44DFE}"/>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9B5B89F8-59B2-4837-9F63-B95BD7AB4A5E}"/>
    <cellStyle name="Normal 4 4 3 3 2 2 2 3" xfId="25947" xr:uid="{161CAF29-E68B-4024-9261-1E81073C1666}"/>
    <cellStyle name="Normal 4 4 3 3 2 2 3" xfId="12431" xr:uid="{9903224D-9697-44E2-AF5D-AE7469DA3413}"/>
    <cellStyle name="Normal 4 4 3 3 2 2 4" xfId="21730" xr:uid="{F238E8D3-E199-4150-BD48-A7013E386804}"/>
    <cellStyle name="Normal 4 4 3 3 2 3" xfId="5177" xr:uid="{00000000-0005-0000-0000-000091150000}"/>
    <cellStyle name="Normal 4 4 3 3 2 3 2" xfId="14503" xr:uid="{15B12E98-C0AF-4A58-8883-8B9D13032543}"/>
    <cellStyle name="Normal 4 4 3 3 2 3 3" xfId="23802" xr:uid="{9494DC3A-5F55-45B6-A9ED-BA6EA999CF65}"/>
    <cellStyle name="Normal 4 4 3 3 2 4" xfId="9455" xr:uid="{E39EB3A2-D99A-426C-AFEC-E4C90C85BE02}"/>
    <cellStyle name="Normal 4 4 3 3 2 4 2" xfId="18770" xr:uid="{14847662-A60C-48BA-87DD-3DF3E56BC4AE}"/>
    <cellStyle name="Normal 4 4 3 3 2 4 3" xfId="28067" xr:uid="{C0C368CE-6E3F-413B-B55E-1B9735C6C503}"/>
    <cellStyle name="Normal 4 4 3 3 2 5" xfId="10286" xr:uid="{F6F7E380-D343-4EDB-AD31-E5F41BEAD78C}"/>
    <cellStyle name="Normal 4 4 3 3 2 6" xfId="19585" xr:uid="{80A079E5-9983-4CB6-98D8-1D28B5998746}"/>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020790CB-8A28-4742-BFFA-6E24508112DC}"/>
    <cellStyle name="Normal 4 4 3 3 3 2 2 3" xfId="26360" xr:uid="{F8595E8A-A08E-4CBE-9053-4E0D7C015345}"/>
    <cellStyle name="Normal 4 4 3 3 3 2 3" xfId="12844" xr:uid="{3F730C13-0030-451D-9B21-EE1317FD4FA9}"/>
    <cellStyle name="Normal 4 4 3 3 3 2 4" xfId="22143" xr:uid="{A64DA25E-D586-486B-AE0C-9240F7D7C0C8}"/>
    <cellStyle name="Normal 4 4 3 3 3 3" xfId="5590" xr:uid="{00000000-0005-0000-0000-000095150000}"/>
    <cellStyle name="Normal 4 4 3 3 3 3 2" xfId="14916" xr:uid="{AEC19373-5D4B-4472-BB82-CF1B1389ED12}"/>
    <cellStyle name="Normal 4 4 3 3 3 3 3" xfId="24215" xr:uid="{028EECB8-B893-43DB-A029-81FF25B758B5}"/>
    <cellStyle name="Normal 4 4 3 3 3 4" xfId="10699" xr:uid="{EF4C1064-1390-44D1-9E32-FAFA98D33936}"/>
    <cellStyle name="Normal 4 4 3 3 3 5" xfId="19998" xr:uid="{02680477-612E-4BDB-B142-49A14736314B}"/>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3D2F7E8D-35C1-4736-938E-59E5FF656DC7}"/>
    <cellStyle name="Normal 4 4 3 3 4 2 2 3" xfId="26773" xr:uid="{5B241A63-816A-4F3C-A283-DAB90554580F}"/>
    <cellStyle name="Normal 4 4 3 3 4 2 3" xfId="13257" xr:uid="{4F897C9C-1A30-45F0-97D8-668921D25A6C}"/>
    <cellStyle name="Normal 4 4 3 3 4 2 4" xfId="22556" xr:uid="{8E7679AB-FF02-4FC1-BCCE-E0440773897E}"/>
    <cellStyle name="Normal 4 4 3 3 4 3" xfId="6003" xr:uid="{00000000-0005-0000-0000-000099150000}"/>
    <cellStyle name="Normal 4 4 3 3 4 3 2" xfId="15329" xr:uid="{85A1220F-2D18-419A-80E5-3BC30A576AF9}"/>
    <cellStyle name="Normal 4 4 3 3 4 3 3" xfId="24628" xr:uid="{93A8E3F6-1751-4FC5-B43D-AEBC966ED2A8}"/>
    <cellStyle name="Normal 4 4 3 3 4 4" xfId="11112" xr:uid="{18EAC523-8424-4261-BE6B-8EF3113C0F1D}"/>
    <cellStyle name="Normal 4 4 3 3 4 5" xfId="20411" xr:uid="{0CCE1A72-0F3C-4222-981F-5E497561E33F}"/>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F8A6C80B-5CDF-42FB-BA9E-6B94B64D8F07}"/>
    <cellStyle name="Normal 4 4 3 3 5 2 2 3" xfId="27186" xr:uid="{1A0D9B15-26F4-4687-9ABE-10633E483CC7}"/>
    <cellStyle name="Normal 4 4 3 3 5 2 3" xfId="13670" xr:uid="{F4E8DA8F-AE11-4AE9-891D-C239F922148F}"/>
    <cellStyle name="Normal 4 4 3 3 5 2 4" xfId="22969" xr:uid="{11AB4295-45DA-419B-949E-5E0D0FD791B6}"/>
    <cellStyle name="Normal 4 4 3 3 5 3" xfId="6416" xr:uid="{00000000-0005-0000-0000-00009D150000}"/>
    <cellStyle name="Normal 4 4 3 3 5 3 2" xfId="15742" xr:uid="{F843805E-441A-43EA-8E79-E646E89CF7E5}"/>
    <cellStyle name="Normal 4 4 3 3 5 3 3" xfId="25041" xr:uid="{BA5BB389-4AFF-4E83-891E-3982BBDA4B52}"/>
    <cellStyle name="Normal 4 4 3 3 5 4" xfId="11525" xr:uid="{CB69A6C7-6E05-4C71-8246-9FA136FBDAB6}"/>
    <cellStyle name="Normal 4 4 3 3 5 5" xfId="20824" xr:uid="{C0392C57-4B6C-4A58-8A9E-FDC89EA5271E}"/>
    <cellStyle name="Normal 4 4 3 3 6" xfId="2546" xr:uid="{00000000-0005-0000-0000-00009E150000}"/>
    <cellStyle name="Normal 4 4 3 3 6 2" xfId="6829" xr:uid="{00000000-0005-0000-0000-00009F150000}"/>
    <cellStyle name="Normal 4 4 3 3 6 2 2" xfId="16155" xr:uid="{A8A1B27C-E986-4B74-9B3D-C4444A2CF9A3}"/>
    <cellStyle name="Normal 4 4 3 3 6 2 3" xfId="25454" xr:uid="{5F554DBC-C15C-4C70-9190-CBEB958F639A}"/>
    <cellStyle name="Normal 4 4 3 3 6 3" xfId="11938" xr:uid="{729598E9-DE9C-444B-9835-7DB03D077A2B}"/>
    <cellStyle name="Normal 4 4 3 3 6 4" xfId="21237" xr:uid="{8BC58749-1753-4F4B-BBD9-2527C57BBAC2}"/>
    <cellStyle name="Normal 4 4 3 3 7" xfId="4764" xr:uid="{00000000-0005-0000-0000-0000A0150000}"/>
    <cellStyle name="Normal 4 4 3 3 7 2" xfId="14090" xr:uid="{7121180A-3274-45C5-A93F-A9F37AB1CBC7}"/>
    <cellStyle name="Normal 4 4 3 3 7 3" xfId="23389" xr:uid="{54673CC6-3B6A-4CE1-9887-D5C28CC60855}"/>
    <cellStyle name="Normal 4 4 3 3 8" xfId="9030" xr:uid="{F975DAAD-4546-4770-9976-5C5C66DA227B}"/>
    <cellStyle name="Normal 4 4 3 3 8 2" xfId="18354" xr:uid="{73CB813E-0C87-4711-8DCA-782F21BC0F3F}"/>
    <cellStyle name="Normal 4 4 3 3 8 3" xfId="27652" xr:uid="{A72F05C7-1573-45BE-8938-8ED38D4E8853}"/>
    <cellStyle name="Normal 4 4 3 3 9" xfId="9873" xr:uid="{2DBDAB94-229A-4B24-9EF3-9829342608FD}"/>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C85A137F-495D-4944-97B9-89B927D1D293}"/>
    <cellStyle name="Normal 4 4 3 4 2 2 3" xfId="25944" xr:uid="{F8777804-9CE8-4ED8-94E4-8484510A000B}"/>
    <cellStyle name="Normal 4 4 3 4 2 3" xfId="12428" xr:uid="{365CB5B7-5953-41B9-A3BC-F6BCC2E83D12}"/>
    <cellStyle name="Normal 4 4 3 4 2 4" xfId="21727" xr:uid="{6CFE188D-FD42-4B08-90C6-83E1E18C295C}"/>
    <cellStyle name="Normal 4 4 3 4 3" xfId="5174" xr:uid="{00000000-0005-0000-0000-0000A4150000}"/>
    <cellStyle name="Normal 4 4 3 4 3 2" xfId="14500" xr:uid="{B42429BB-E23F-4D71-A2E0-55C97C8941EE}"/>
    <cellStyle name="Normal 4 4 3 4 3 3" xfId="23799" xr:uid="{8A07641D-3D83-482B-853C-D95318742848}"/>
    <cellStyle name="Normal 4 4 3 4 4" xfId="9248" xr:uid="{6C5F877B-48E6-47C2-B849-E53F373D5A86}"/>
    <cellStyle name="Normal 4 4 3 4 4 2" xfId="18563" xr:uid="{E822A00C-6D1D-4148-9697-992AAB989678}"/>
    <cellStyle name="Normal 4 4 3 4 4 3" xfId="27860" xr:uid="{05D84338-67DB-4226-9C62-DEB028385A0A}"/>
    <cellStyle name="Normal 4 4 3 4 5" xfId="10283" xr:uid="{9ECC8091-D782-4DA2-9C59-1595AB0ABF79}"/>
    <cellStyle name="Normal 4 4 3 4 6" xfId="19582" xr:uid="{7886067F-02C3-4CE6-94FC-46813BB8B403}"/>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EB7FED57-9558-426E-943D-3B38A931B161}"/>
    <cellStyle name="Normal 4 4 3 5 2 2 3" xfId="26357" xr:uid="{879D22C2-0E46-44F5-8144-4916C7EF6A56}"/>
    <cellStyle name="Normal 4 4 3 5 2 3" xfId="12841" xr:uid="{93085F39-5FBC-4FF3-AABD-881B3DB8014E}"/>
    <cellStyle name="Normal 4 4 3 5 2 4" xfId="22140" xr:uid="{59566507-074B-4A37-9C1F-8D9C18B3CA50}"/>
    <cellStyle name="Normal 4 4 3 5 3" xfId="5587" xr:uid="{00000000-0005-0000-0000-0000A8150000}"/>
    <cellStyle name="Normal 4 4 3 5 3 2" xfId="14913" xr:uid="{4D712B64-96AA-4743-A444-49ADCA3546A6}"/>
    <cellStyle name="Normal 4 4 3 5 3 3" xfId="24212" xr:uid="{78E28DE3-2B99-44B8-A68C-B8E03A928018}"/>
    <cellStyle name="Normal 4 4 3 5 4" xfId="10696" xr:uid="{B7ECF792-5FB1-48E1-96E7-E4CDDCBB2113}"/>
    <cellStyle name="Normal 4 4 3 5 5" xfId="19995" xr:uid="{04780665-5D33-4F7B-81FF-A9D39D8BCEC8}"/>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EA600DAF-13F9-41FE-9B78-E85B3A90983B}"/>
    <cellStyle name="Normal 4 4 3 6 2 2 3" xfId="26770" xr:uid="{BC8A1647-7F1B-4189-BA8B-94702076DA80}"/>
    <cellStyle name="Normal 4 4 3 6 2 3" xfId="13254" xr:uid="{364DBAA3-35E6-4089-9985-738CAE2CF197}"/>
    <cellStyle name="Normal 4 4 3 6 2 4" xfId="22553" xr:uid="{A03691D5-BAA9-4009-95DA-E930096001AC}"/>
    <cellStyle name="Normal 4 4 3 6 3" xfId="6000" xr:uid="{00000000-0005-0000-0000-0000AC150000}"/>
    <cellStyle name="Normal 4 4 3 6 3 2" xfId="15326" xr:uid="{757C5CEC-E8E6-41AB-83AD-C665FB7A429C}"/>
    <cellStyle name="Normal 4 4 3 6 3 3" xfId="24625" xr:uid="{435BDB6B-E28E-4B72-B18F-F5BD7B3CECBE}"/>
    <cellStyle name="Normal 4 4 3 6 4" xfId="11109" xr:uid="{C8A54FD7-95CF-4E9F-A840-79490286F035}"/>
    <cellStyle name="Normal 4 4 3 6 5" xfId="20408" xr:uid="{D6B587BC-3DD1-4870-88C4-7136B00E38E0}"/>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16E72B88-B227-476C-89C1-D3FC777E1694}"/>
    <cellStyle name="Normal 4 4 3 7 2 2 3" xfId="27183" xr:uid="{7CF674BF-467F-417A-9304-FD4D0841411A}"/>
    <cellStyle name="Normal 4 4 3 7 2 3" xfId="13667" xr:uid="{9AF11130-3B0B-45EB-BD38-45B162DF0B3D}"/>
    <cellStyle name="Normal 4 4 3 7 2 4" xfId="22966" xr:uid="{BA21D971-E491-479A-AEB0-0A7CC13C68C5}"/>
    <cellStyle name="Normal 4 4 3 7 3" xfId="6413" xr:uid="{00000000-0005-0000-0000-0000B0150000}"/>
    <cellStyle name="Normal 4 4 3 7 3 2" xfId="15739" xr:uid="{6D4E9A56-6DF0-4D86-8078-D2D6B353E4AA}"/>
    <cellStyle name="Normal 4 4 3 7 3 3" xfId="25038" xr:uid="{DE5C5639-CA29-4D83-A5DA-DB594F151F81}"/>
    <cellStyle name="Normal 4 4 3 7 4" xfId="11522" xr:uid="{5669E981-46F9-4EDB-9184-BC55F0499862}"/>
    <cellStyle name="Normal 4 4 3 7 5" xfId="20821" xr:uid="{A0D2D7E3-D888-4775-A217-9FA0E45EF9B3}"/>
    <cellStyle name="Normal 4 4 3 8" xfId="2543" xr:uid="{00000000-0005-0000-0000-0000B1150000}"/>
    <cellStyle name="Normal 4 4 3 8 2" xfId="6826" xr:uid="{00000000-0005-0000-0000-0000B2150000}"/>
    <cellStyle name="Normal 4 4 3 8 2 2" xfId="16152" xr:uid="{0076E0CE-6CB2-4E29-B350-F5D210AECCFF}"/>
    <cellStyle name="Normal 4 4 3 8 2 3" xfId="25451" xr:uid="{8556FAD5-0B60-4D4B-BB87-FF0BF37F066B}"/>
    <cellStyle name="Normal 4 4 3 8 3" xfId="11935" xr:uid="{ECE78BB1-4794-4C14-A446-A99CD7978D20}"/>
    <cellStyle name="Normal 4 4 3 8 4" xfId="21234" xr:uid="{C7067932-694D-4919-B315-D37254C7D46F}"/>
    <cellStyle name="Normal 4 4 3 9" xfId="4761" xr:uid="{00000000-0005-0000-0000-0000B3150000}"/>
    <cellStyle name="Normal 4 4 3 9 2" xfId="14087" xr:uid="{7E84F006-384E-4EB8-A840-136ED7E96F7A}"/>
    <cellStyle name="Normal 4 4 3 9 3" xfId="23386" xr:uid="{74F32B8A-62E2-441B-9924-EBAA469BB882}"/>
    <cellStyle name="Normal 4 4 4" xfId="391" xr:uid="{00000000-0005-0000-0000-0000B4150000}"/>
    <cellStyle name="Normal 4 4 4 10" xfId="9874" xr:uid="{71C7CEB7-0560-4D8E-B804-87BA4BD33107}"/>
    <cellStyle name="Normal 4 4 4 11" xfId="19173" xr:uid="{BC124827-5BA5-4795-AB88-A4B5C4C4E25C}"/>
    <cellStyle name="Normal 4 4 4 2" xfId="392" xr:uid="{00000000-0005-0000-0000-0000B5150000}"/>
    <cellStyle name="Normal 4 4 4 2 10" xfId="19174" xr:uid="{AF70BD95-03F0-466C-9C6B-E17ED9950D27}"/>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0A01ED63-B33A-4D90-94D1-167498101288}"/>
    <cellStyle name="Normal 4 4 4 2 2 2 2 3" xfId="25949" xr:uid="{EB5E799F-E184-4848-B90D-5AAA05E2E218}"/>
    <cellStyle name="Normal 4 4 4 2 2 2 3" xfId="12433" xr:uid="{575036C3-9621-4C3A-9F21-B4E834614685}"/>
    <cellStyle name="Normal 4 4 4 2 2 2 4" xfId="21732" xr:uid="{432009FE-C12B-4DE7-B406-AC59584407AF}"/>
    <cellStyle name="Normal 4 4 4 2 2 3" xfId="5179" xr:uid="{00000000-0005-0000-0000-0000B9150000}"/>
    <cellStyle name="Normal 4 4 4 2 2 3 2" xfId="14505" xr:uid="{03A5B628-FFB8-47B8-AFB1-97CC5046AE8E}"/>
    <cellStyle name="Normal 4 4 4 2 2 3 3" xfId="23804" xr:uid="{49534EC2-963B-4FDC-8138-BB8E5C9847BF}"/>
    <cellStyle name="Normal 4 4 4 2 2 4" xfId="9484" xr:uid="{69910E0C-08C8-41C5-A6FC-61B52F6CD538}"/>
    <cellStyle name="Normal 4 4 4 2 2 4 2" xfId="18799" xr:uid="{0C450A77-C0A6-41E8-8752-3E927079D16E}"/>
    <cellStyle name="Normal 4 4 4 2 2 4 3" xfId="28096" xr:uid="{5971BE1B-B6E3-46BB-9BCC-FE12F9BD55C6}"/>
    <cellStyle name="Normal 4 4 4 2 2 5" xfId="10288" xr:uid="{CA7F9C40-689D-445A-9E77-63CE498FD5C8}"/>
    <cellStyle name="Normal 4 4 4 2 2 6" xfId="19587" xr:uid="{D53A7F52-ED62-4471-BC1D-177027B4A519}"/>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5CC22BD7-C892-47A0-91E9-1C88CEC5B3B2}"/>
    <cellStyle name="Normal 4 4 4 2 3 2 2 3" xfId="26362" xr:uid="{8ADAE507-CF50-4CB9-AC54-18F819E0045E}"/>
    <cellStyle name="Normal 4 4 4 2 3 2 3" xfId="12846" xr:uid="{545E8F04-7E45-42A9-8AFB-056F3BE6E730}"/>
    <cellStyle name="Normal 4 4 4 2 3 2 4" xfId="22145" xr:uid="{CB03B2C0-7F7F-4D6F-854F-6AB125240311}"/>
    <cellStyle name="Normal 4 4 4 2 3 3" xfId="5592" xr:uid="{00000000-0005-0000-0000-0000BD150000}"/>
    <cellStyle name="Normal 4 4 4 2 3 3 2" xfId="14918" xr:uid="{9081C066-CD6F-4986-871F-CC87831BEF37}"/>
    <cellStyle name="Normal 4 4 4 2 3 3 3" xfId="24217" xr:uid="{4B4FA583-7958-4176-9CB6-0C6CEB513F78}"/>
    <cellStyle name="Normal 4 4 4 2 3 4" xfId="10701" xr:uid="{F695F99F-6C3E-4747-9101-C76909D1D31A}"/>
    <cellStyle name="Normal 4 4 4 2 3 5" xfId="20000" xr:uid="{F718B8B0-FAA1-4168-87FF-AA85CE2B62A1}"/>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87F65A69-B5C4-4711-9427-B6753AC0FB85}"/>
    <cellStyle name="Normal 4 4 4 2 4 2 2 3" xfId="26775" xr:uid="{7329B647-C9EA-4D22-85D3-F4F98C2F32C5}"/>
    <cellStyle name="Normal 4 4 4 2 4 2 3" xfId="13259" xr:uid="{7AA9103B-5B0B-45EE-9A54-FD6677BE9F17}"/>
    <cellStyle name="Normal 4 4 4 2 4 2 4" xfId="22558" xr:uid="{B8031665-7E3C-48F6-A63B-9828A7835ABD}"/>
    <cellStyle name="Normal 4 4 4 2 4 3" xfId="6005" xr:uid="{00000000-0005-0000-0000-0000C1150000}"/>
    <cellStyle name="Normal 4 4 4 2 4 3 2" xfId="15331" xr:uid="{760292F1-BEA6-4B0E-8359-4A5958E54B47}"/>
    <cellStyle name="Normal 4 4 4 2 4 3 3" xfId="24630" xr:uid="{5767F8EC-7008-463B-A905-80EF070E00D5}"/>
    <cellStyle name="Normal 4 4 4 2 4 4" xfId="11114" xr:uid="{CCE95652-BFDB-4713-9477-4BE3B4743E5C}"/>
    <cellStyle name="Normal 4 4 4 2 4 5" xfId="20413" xr:uid="{EB62AABC-223F-42D6-AA3E-324433A986D9}"/>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079363A6-9732-47F6-B1F1-A99E0A5E7DD9}"/>
    <cellStyle name="Normal 4 4 4 2 5 2 2 3" xfId="27188" xr:uid="{59E809AF-91D1-4DAA-8103-FEACC187E7CB}"/>
    <cellStyle name="Normal 4 4 4 2 5 2 3" xfId="13672" xr:uid="{4B516CA8-62A3-4585-8E7B-C2273639E4CD}"/>
    <cellStyle name="Normal 4 4 4 2 5 2 4" xfId="22971" xr:uid="{4093E01D-C42C-4849-975B-7AFA286D2319}"/>
    <cellStyle name="Normal 4 4 4 2 5 3" xfId="6418" xr:uid="{00000000-0005-0000-0000-0000C5150000}"/>
    <cellStyle name="Normal 4 4 4 2 5 3 2" xfId="15744" xr:uid="{0BA1B7B3-1E29-4FA0-855D-3C15F0DCAAF9}"/>
    <cellStyle name="Normal 4 4 4 2 5 3 3" xfId="25043" xr:uid="{3DE14309-D1EE-4087-ABE8-EBCB74437470}"/>
    <cellStyle name="Normal 4 4 4 2 5 4" xfId="11527" xr:uid="{148C9D02-3377-4620-B11A-0A9BBF0CA1DF}"/>
    <cellStyle name="Normal 4 4 4 2 5 5" xfId="20826" xr:uid="{8EE8CDDA-DD8D-4F78-B55F-8A595B5F4784}"/>
    <cellStyle name="Normal 4 4 4 2 6" xfId="2548" xr:uid="{00000000-0005-0000-0000-0000C6150000}"/>
    <cellStyle name="Normal 4 4 4 2 6 2" xfId="6831" xr:uid="{00000000-0005-0000-0000-0000C7150000}"/>
    <cellStyle name="Normal 4 4 4 2 6 2 2" xfId="16157" xr:uid="{B1D4205D-F60A-4A1C-8DAB-6E22FDB3DA36}"/>
    <cellStyle name="Normal 4 4 4 2 6 2 3" xfId="25456" xr:uid="{413A702D-299B-4501-B7B4-960D6F1DEE40}"/>
    <cellStyle name="Normal 4 4 4 2 6 3" xfId="11940" xr:uid="{E249B30A-9E77-4044-A566-677CC62709B9}"/>
    <cellStyle name="Normal 4 4 4 2 6 4" xfId="21239" xr:uid="{D0AD16C3-0F2B-402F-8E0E-DACE0A410ACA}"/>
    <cellStyle name="Normal 4 4 4 2 7" xfId="4766" xr:uid="{00000000-0005-0000-0000-0000C8150000}"/>
    <cellStyle name="Normal 4 4 4 2 7 2" xfId="14092" xr:uid="{5BD11E72-FE36-480A-8B18-9016B090B18E}"/>
    <cellStyle name="Normal 4 4 4 2 7 3" xfId="23391" xr:uid="{2530DACD-99E5-4136-A3DB-6DD5E82790D7}"/>
    <cellStyle name="Normal 4 4 4 2 8" xfId="9059" xr:uid="{76617FCA-DBA6-4291-BD32-6340A19903F7}"/>
    <cellStyle name="Normal 4 4 4 2 8 2" xfId="18383" xr:uid="{BC2B9DB9-F6D2-4258-B90C-63D9EB1FDB02}"/>
    <cellStyle name="Normal 4 4 4 2 8 3" xfId="27681" xr:uid="{BC8EC383-16F2-46E0-9E1B-C2691776DFCF}"/>
    <cellStyle name="Normal 4 4 4 2 9" xfId="9875" xr:uid="{9E1E24FB-F0C2-4952-A9FC-5CE492117BAB}"/>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2B0320F9-7419-47A1-AAFE-7BA673399CAF}"/>
    <cellStyle name="Normal 4 4 4 3 2 2 3" xfId="25948" xr:uid="{3D64DAF1-D521-4951-B39F-F056FE7EE6F5}"/>
    <cellStyle name="Normal 4 4 4 3 2 3" xfId="12432" xr:uid="{E712586B-895B-45B9-A52D-26DF0212A5D4}"/>
    <cellStyle name="Normal 4 4 4 3 2 4" xfId="21731" xr:uid="{B7D9EB07-6989-48C7-9BB9-5A2A59631C85}"/>
    <cellStyle name="Normal 4 4 4 3 3" xfId="5178" xr:uid="{00000000-0005-0000-0000-0000CC150000}"/>
    <cellStyle name="Normal 4 4 4 3 3 2" xfId="14504" xr:uid="{2F5EDAB2-275A-482E-B99C-4C096E88D16C}"/>
    <cellStyle name="Normal 4 4 4 3 3 3" xfId="23803" xr:uid="{A044BDEB-9D4D-4E07-B285-6438B5ED73D0}"/>
    <cellStyle name="Normal 4 4 4 3 4" xfId="9277" xr:uid="{DD01CD29-2559-4BCC-919C-99D1D75C445F}"/>
    <cellStyle name="Normal 4 4 4 3 4 2" xfId="18592" xr:uid="{445297F2-1BAB-4B2D-86EB-74F53E0BA803}"/>
    <cellStyle name="Normal 4 4 4 3 4 3" xfId="27889" xr:uid="{DC2D6D72-298B-416E-9C4C-B68BED9F0117}"/>
    <cellStyle name="Normal 4 4 4 3 5" xfId="10287" xr:uid="{65A878E8-4D2B-4E8F-ACCC-E5FB78A782EC}"/>
    <cellStyle name="Normal 4 4 4 3 6" xfId="19586" xr:uid="{1CA9DDE2-44ED-4C25-95F2-B576A852B19E}"/>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DC7C6CA2-D73B-44AF-9B1F-84C705FC7771}"/>
    <cellStyle name="Normal 4 4 4 4 2 2 3" xfId="26361" xr:uid="{83C0F656-2426-47DF-8F6B-C6ACBB688B02}"/>
    <cellStyle name="Normal 4 4 4 4 2 3" xfId="12845" xr:uid="{1FDFD0F0-F867-4FA4-86F3-3353084EBAB9}"/>
    <cellStyle name="Normal 4 4 4 4 2 4" xfId="22144" xr:uid="{D4832E59-E348-4AC5-8EBF-7333BED225A7}"/>
    <cellStyle name="Normal 4 4 4 4 3" xfId="5591" xr:uid="{00000000-0005-0000-0000-0000D0150000}"/>
    <cellStyle name="Normal 4 4 4 4 3 2" xfId="14917" xr:uid="{452F47D1-DEBA-4DFC-9998-0397B27ACD75}"/>
    <cellStyle name="Normal 4 4 4 4 3 3" xfId="24216" xr:uid="{ED1ED4E6-2FBF-47E5-8F25-02E5F5D234DC}"/>
    <cellStyle name="Normal 4 4 4 4 4" xfId="10700" xr:uid="{B5576A14-F663-4B40-9342-E06C5C10E8BB}"/>
    <cellStyle name="Normal 4 4 4 4 5" xfId="19999" xr:uid="{D4E03032-2F87-40A7-B31A-6AAD53246955}"/>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4F7FDFAA-175E-4069-BA58-D88AFF436C34}"/>
    <cellStyle name="Normal 4 4 4 5 2 2 3" xfId="26774" xr:uid="{9A2A0846-2621-4CB3-875B-D94A0069CB63}"/>
    <cellStyle name="Normal 4 4 4 5 2 3" xfId="13258" xr:uid="{DD2FE7BF-FFA1-4DA5-A5B8-BD2D279DF174}"/>
    <cellStyle name="Normal 4 4 4 5 2 4" xfId="22557" xr:uid="{41DD2E38-9891-4012-8995-24A25332CE55}"/>
    <cellStyle name="Normal 4 4 4 5 3" xfId="6004" xr:uid="{00000000-0005-0000-0000-0000D4150000}"/>
    <cellStyle name="Normal 4 4 4 5 3 2" xfId="15330" xr:uid="{6E32ACC7-8001-46EF-AA63-770C34D0B18A}"/>
    <cellStyle name="Normal 4 4 4 5 3 3" xfId="24629" xr:uid="{1D997AFE-68B1-43AD-8BFB-EB24EF8C87A8}"/>
    <cellStyle name="Normal 4 4 4 5 4" xfId="11113" xr:uid="{6670D8A9-F5DC-43C8-8A59-937F0FE359B8}"/>
    <cellStyle name="Normal 4 4 4 5 5" xfId="20412" xr:uid="{246CC624-AF0A-4ADB-A7A2-0941E295AA87}"/>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A9A716D0-E0D7-49CF-930F-97E907462890}"/>
    <cellStyle name="Normal 4 4 4 6 2 2 3" xfId="27187" xr:uid="{87907E76-D571-43D2-900A-C5F1D56D6019}"/>
    <cellStyle name="Normal 4 4 4 6 2 3" xfId="13671" xr:uid="{7E4E56A1-C2C4-4EFF-BF28-C2DFE3028D8E}"/>
    <cellStyle name="Normal 4 4 4 6 2 4" xfId="22970" xr:uid="{EC7DD5CB-A72C-494C-B5E3-138487D952D8}"/>
    <cellStyle name="Normal 4 4 4 6 3" xfId="6417" xr:uid="{00000000-0005-0000-0000-0000D8150000}"/>
    <cellStyle name="Normal 4 4 4 6 3 2" xfId="15743" xr:uid="{EC7CD0EF-A074-4B07-A64B-8B0162AB63C3}"/>
    <cellStyle name="Normal 4 4 4 6 3 3" xfId="25042" xr:uid="{36452EFF-0A8C-4E7C-87B0-89452F333411}"/>
    <cellStyle name="Normal 4 4 4 6 4" xfId="11526" xr:uid="{3FE52287-54D5-4DB2-A604-6976553F1945}"/>
    <cellStyle name="Normal 4 4 4 6 5" xfId="20825" xr:uid="{FAEB1953-7E1E-4D21-841C-1F14D496684C}"/>
    <cellStyle name="Normal 4 4 4 7" xfId="2547" xr:uid="{00000000-0005-0000-0000-0000D9150000}"/>
    <cellStyle name="Normal 4 4 4 7 2" xfId="6830" xr:uid="{00000000-0005-0000-0000-0000DA150000}"/>
    <cellStyle name="Normal 4 4 4 7 2 2" xfId="16156" xr:uid="{CA99F8CF-440E-4511-B426-7615117D80CD}"/>
    <cellStyle name="Normal 4 4 4 7 2 3" xfId="25455" xr:uid="{41EA7F12-C966-4A97-8BFB-518A71819C97}"/>
    <cellStyle name="Normal 4 4 4 7 3" xfId="11939" xr:uid="{168D74A7-22F6-4250-9770-9812A9704B6C}"/>
    <cellStyle name="Normal 4 4 4 7 4" xfId="21238" xr:uid="{E6E87CC8-E838-4521-9611-F9E6BF09655D}"/>
    <cellStyle name="Normal 4 4 4 8" xfId="4765" xr:uid="{00000000-0005-0000-0000-0000DB150000}"/>
    <cellStyle name="Normal 4 4 4 8 2" xfId="14091" xr:uid="{074BC9DE-0FE3-44BD-9AC8-2DBA16340F86}"/>
    <cellStyle name="Normal 4 4 4 8 3" xfId="23390" xr:uid="{5A017F7B-16C8-4830-A146-140C370256C2}"/>
    <cellStyle name="Normal 4 4 4 9" xfId="8852" xr:uid="{DF4BB962-85B1-44B5-A0FE-735796672772}"/>
    <cellStyle name="Normal 4 4 4 9 2" xfId="18176" xr:uid="{256E374A-AEC6-4719-8EEB-C1BEB9353E98}"/>
    <cellStyle name="Normal 4 4 4 9 3" xfId="27474" xr:uid="{6AE1A7A3-6014-44F5-8741-32F29326BCDE}"/>
    <cellStyle name="Normal 4 4 5" xfId="393" xr:uid="{00000000-0005-0000-0000-0000DC150000}"/>
    <cellStyle name="Normal 4 4 5 10" xfId="19175" xr:uid="{5DA14650-E294-443B-929A-97C5D00A0452}"/>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EC2FA224-D40E-4746-AC36-C3DFB12EE0D9}"/>
    <cellStyle name="Normal 4 4 5 2 2 2 3" xfId="25950" xr:uid="{B7BEAC8B-F5EF-4559-B1D1-604198F92667}"/>
    <cellStyle name="Normal 4 4 5 2 2 3" xfId="12434" xr:uid="{AE6FBABD-0A7E-4E51-B6AC-F43CCA29C384}"/>
    <cellStyle name="Normal 4 4 5 2 2 4" xfId="21733" xr:uid="{C2009AEE-A4AB-4732-A50C-D7EC43CAB409}"/>
    <cellStyle name="Normal 4 4 5 2 3" xfId="5180" xr:uid="{00000000-0005-0000-0000-0000E0150000}"/>
    <cellStyle name="Normal 4 4 5 2 3 2" xfId="14506" xr:uid="{A98E4574-116B-41F2-A750-62FEC73D031A}"/>
    <cellStyle name="Normal 4 4 5 2 3 3" xfId="23805" xr:uid="{35D38CF5-ED79-4FDA-B055-CC3A1F89B8B4}"/>
    <cellStyle name="Normal 4 4 5 2 4" xfId="9393" xr:uid="{C2991CC4-4E0B-46C4-B338-C6A1C9BA2DE9}"/>
    <cellStyle name="Normal 4 4 5 2 4 2" xfId="18708" xr:uid="{B7BFF9C7-BB0B-4B79-A624-EFC4E50FF813}"/>
    <cellStyle name="Normal 4 4 5 2 4 3" xfId="28005" xr:uid="{4CD40695-0FD7-43C4-9AA5-696B70BD4F0D}"/>
    <cellStyle name="Normal 4 4 5 2 5" xfId="10289" xr:uid="{3B62E907-A361-4568-842D-98F06262CE73}"/>
    <cellStyle name="Normal 4 4 5 2 6" xfId="19588" xr:uid="{D97A4D10-C8C9-4018-87C4-731CB1491C9A}"/>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FB9F3C16-7A4A-409A-AB01-9D61FC8F69C3}"/>
    <cellStyle name="Normal 4 4 5 3 2 2 3" xfId="26363" xr:uid="{3B03B2C8-4CC2-489A-A1B0-5CA7717120AC}"/>
    <cellStyle name="Normal 4 4 5 3 2 3" xfId="12847" xr:uid="{37CD9AC0-8456-49E7-86AE-7DE07DD7965F}"/>
    <cellStyle name="Normal 4 4 5 3 2 4" xfId="22146" xr:uid="{088F6ED0-5E2C-4887-87A7-FD525BB91383}"/>
    <cellStyle name="Normal 4 4 5 3 3" xfId="5593" xr:uid="{00000000-0005-0000-0000-0000E4150000}"/>
    <cellStyle name="Normal 4 4 5 3 3 2" xfId="14919" xr:uid="{39B67F9E-2DBA-4812-99AC-058DED17908A}"/>
    <cellStyle name="Normal 4 4 5 3 3 3" xfId="24218" xr:uid="{F2D9F959-966D-43F7-A7A6-EEB4981A6818}"/>
    <cellStyle name="Normal 4 4 5 3 4" xfId="10702" xr:uid="{D751B029-FEF2-4E9C-9033-0FDB53BCB127}"/>
    <cellStyle name="Normal 4 4 5 3 5" xfId="20001" xr:uid="{547F49E4-2EDA-4482-B2C7-6CE63DBE66F3}"/>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21943A5E-6DA7-4849-ADA6-81F517B5D365}"/>
    <cellStyle name="Normal 4 4 5 4 2 2 3" xfId="26776" xr:uid="{E0C831A5-AAB5-475B-A1CC-381A6563D0E1}"/>
    <cellStyle name="Normal 4 4 5 4 2 3" xfId="13260" xr:uid="{88746F7B-E307-403E-A62C-5AC404A5ABC6}"/>
    <cellStyle name="Normal 4 4 5 4 2 4" xfId="22559" xr:uid="{91A20251-9416-490E-88D9-50983CAB1170}"/>
    <cellStyle name="Normal 4 4 5 4 3" xfId="6006" xr:uid="{00000000-0005-0000-0000-0000E8150000}"/>
    <cellStyle name="Normal 4 4 5 4 3 2" xfId="15332" xr:uid="{CF360D85-DF41-4707-8F3E-05646270CEC5}"/>
    <cellStyle name="Normal 4 4 5 4 3 3" xfId="24631" xr:uid="{5FDF641D-4B96-4C13-B087-2F4410A5D207}"/>
    <cellStyle name="Normal 4 4 5 4 4" xfId="11115" xr:uid="{B9202615-95DA-4458-ADB4-0C80BD571DE6}"/>
    <cellStyle name="Normal 4 4 5 4 5" xfId="20414" xr:uid="{B08E70B9-C66F-49B3-94E3-483484D25C5D}"/>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67A46F7B-CAAD-4D09-8BCF-BC4F07AEBC3D}"/>
    <cellStyle name="Normal 4 4 5 5 2 2 3" xfId="27189" xr:uid="{6B16DA3C-31E5-4D4E-A059-8AD9A681D7CB}"/>
    <cellStyle name="Normal 4 4 5 5 2 3" xfId="13673" xr:uid="{0318BAFC-AF17-4218-9230-00CD9E0ADF76}"/>
    <cellStyle name="Normal 4 4 5 5 2 4" xfId="22972" xr:uid="{E85B5CFB-2506-41BC-A636-E9C1E95BD221}"/>
    <cellStyle name="Normal 4 4 5 5 3" xfId="6419" xr:uid="{00000000-0005-0000-0000-0000EC150000}"/>
    <cellStyle name="Normal 4 4 5 5 3 2" xfId="15745" xr:uid="{B2EF887D-DCBC-4E21-921F-256B4FDA1808}"/>
    <cellStyle name="Normal 4 4 5 5 3 3" xfId="25044" xr:uid="{F013E123-77DA-4FEA-BCCC-B99385E75308}"/>
    <cellStyle name="Normal 4 4 5 5 4" xfId="11528" xr:uid="{E5AC4D1E-C0FA-44E6-83B8-A62FBB7754AD}"/>
    <cellStyle name="Normal 4 4 5 5 5" xfId="20827" xr:uid="{81080787-1088-4EB8-A24C-1DB37B298922}"/>
    <cellStyle name="Normal 4 4 5 6" xfId="2549" xr:uid="{00000000-0005-0000-0000-0000ED150000}"/>
    <cellStyle name="Normal 4 4 5 6 2" xfId="6832" xr:uid="{00000000-0005-0000-0000-0000EE150000}"/>
    <cellStyle name="Normal 4 4 5 6 2 2" xfId="16158" xr:uid="{2FE69377-67E6-4EEC-8B0D-429BDFE5B571}"/>
    <cellStyle name="Normal 4 4 5 6 2 3" xfId="25457" xr:uid="{2A092137-B50B-4389-A84C-3BD05C5998A5}"/>
    <cellStyle name="Normal 4 4 5 6 3" xfId="11941" xr:uid="{E59D4D7D-FABF-452A-A17E-E09B2C63BD79}"/>
    <cellStyle name="Normal 4 4 5 6 4" xfId="21240" xr:uid="{4E0FCC80-00EA-436C-895D-1B9135CE3376}"/>
    <cellStyle name="Normal 4 4 5 7" xfId="4767" xr:uid="{00000000-0005-0000-0000-0000EF150000}"/>
    <cellStyle name="Normal 4 4 5 7 2" xfId="14093" xr:uid="{DC53D580-BFA8-44C7-9C31-4EBC5CA37F82}"/>
    <cellStyle name="Normal 4 4 5 7 3" xfId="23392" xr:uid="{17C6498B-76A2-4A38-A1CA-5DC0373B08AD}"/>
    <cellStyle name="Normal 4 4 5 8" xfId="8968" xr:uid="{BE877DDE-435D-4CBA-84F2-0372D1DDE771}"/>
    <cellStyle name="Normal 4 4 5 8 2" xfId="18292" xr:uid="{27E04D1B-1023-45A9-821B-4B00D3D92259}"/>
    <cellStyle name="Normal 4 4 5 8 3" xfId="27590" xr:uid="{156019C9-85D7-43C0-8032-7C956EFE0988}"/>
    <cellStyle name="Normal 4 4 5 9" xfId="9876" xr:uid="{8C5AA636-4CB1-484A-AA95-DE2E93D194E2}"/>
    <cellStyle name="Normal 4 4 6" xfId="853" xr:uid="{00000000-0005-0000-0000-0000F0150000}"/>
    <cellStyle name="Normal 4 4 6 2" xfId="3088" xr:uid="{00000000-0005-0000-0000-0000F1150000}"/>
    <cellStyle name="Normal 4 4 6 2 2" xfId="7310" xr:uid="{00000000-0005-0000-0000-0000F2150000}"/>
    <cellStyle name="Normal 4 4 6 2 2 2" xfId="16636" xr:uid="{599C0375-D84B-4324-AE87-A4E090287DF4}"/>
    <cellStyle name="Normal 4 4 6 2 2 3" xfId="25935" xr:uid="{88B913B7-9A82-4E46-9EBF-9BB732D83229}"/>
    <cellStyle name="Normal 4 4 6 2 3" xfId="12419" xr:uid="{C8DB57AA-3961-4E2B-9712-48B9F1CF343F}"/>
    <cellStyle name="Normal 4 4 6 2 4" xfId="21718" xr:uid="{C56313CF-925F-4FBD-B540-6C9D3552F380}"/>
    <cellStyle name="Normal 4 4 6 3" xfId="5165" xr:uid="{00000000-0005-0000-0000-0000F3150000}"/>
    <cellStyle name="Normal 4 4 6 3 2" xfId="14491" xr:uid="{36DB3767-7262-4244-B6A1-26760EA257F6}"/>
    <cellStyle name="Normal 4 4 6 3 3" xfId="23790" xr:uid="{B936AB73-127B-4CD0-9F24-3C858DB33729}"/>
    <cellStyle name="Normal 4 4 6 4" xfId="9171" xr:uid="{C474601B-95F0-4C9E-AB77-B3E61D2A21D7}"/>
    <cellStyle name="Normal 4 4 6 4 2" xfId="18489" xr:uid="{78489AD5-8B35-4D83-B1A1-12DE5C799195}"/>
    <cellStyle name="Normal 4 4 6 4 3" xfId="27786" xr:uid="{52D6F409-22F7-4A94-B66A-3EFC7DBDEBE2}"/>
    <cellStyle name="Normal 4 4 6 5" xfId="10274" xr:uid="{34DBBAD4-3319-4536-9620-B547811413DB}"/>
    <cellStyle name="Normal 4 4 6 6" xfId="19573" xr:uid="{CB55DAAA-ECDD-4A13-AB46-1EC0D3F91CDC}"/>
    <cellStyle name="Normal 4 4 7" xfId="1271" xr:uid="{00000000-0005-0000-0000-0000F4150000}"/>
    <cellStyle name="Normal 4 4 7 2" xfId="3501" xr:uid="{00000000-0005-0000-0000-0000F5150000}"/>
    <cellStyle name="Normal 4 4 7 2 2" xfId="7723" xr:uid="{00000000-0005-0000-0000-0000F6150000}"/>
    <cellStyle name="Normal 4 4 7 2 2 2" xfId="17049" xr:uid="{A1E0AB1A-7CBE-4C5B-AE85-2ECF813C5233}"/>
    <cellStyle name="Normal 4 4 7 2 2 3" xfId="26348" xr:uid="{A7DF2A76-CBED-43FF-B0C1-8237B05BC82D}"/>
    <cellStyle name="Normal 4 4 7 2 3" xfId="12832" xr:uid="{9066C98B-DC39-4846-BA5D-5A4A3F3046D0}"/>
    <cellStyle name="Normal 4 4 7 2 4" xfId="22131" xr:uid="{F5EA91F9-E8F9-489C-AD20-27AF2528A891}"/>
    <cellStyle name="Normal 4 4 7 3" xfId="5578" xr:uid="{00000000-0005-0000-0000-0000F7150000}"/>
    <cellStyle name="Normal 4 4 7 3 2" xfId="14904" xr:uid="{EF9C92E7-39CF-4B2A-90D5-429BC12BAE8D}"/>
    <cellStyle name="Normal 4 4 7 3 3" xfId="24203" xr:uid="{AFF17356-4FF4-41EA-8047-173F3762B531}"/>
    <cellStyle name="Normal 4 4 7 4" xfId="10687" xr:uid="{7F2D6905-CDA6-4BB7-85E9-0C7D42A870F5}"/>
    <cellStyle name="Normal 4 4 7 5" xfId="19986" xr:uid="{87DBB5C1-1051-404D-9B72-C447706DF0B9}"/>
    <cellStyle name="Normal 4 4 8" xfId="1684" xr:uid="{00000000-0005-0000-0000-0000F8150000}"/>
    <cellStyle name="Normal 4 4 8 2" xfId="3914" xr:uid="{00000000-0005-0000-0000-0000F9150000}"/>
    <cellStyle name="Normal 4 4 8 2 2" xfId="8136" xr:uid="{00000000-0005-0000-0000-0000FA150000}"/>
    <cellStyle name="Normal 4 4 8 2 2 2" xfId="17462" xr:uid="{B98BF7E2-0B85-4AF2-828E-507FBB58F3D1}"/>
    <cellStyle name="Normal 4 4 8 2 2 3" xfId="26761" xr:uid="{2DFF72A9-5A67-487C-BB51-4A95FBE3D545}"/>
    <cellStyle name="Normal 4 4 8 2 3" xfId="13245" xr:uid="{2B8BEB24-796B-44C2-8C8C-0CFD213F6B53}"/>
    <cellStyle name="Normal 4 4 8 2 4" xfId="22544" xr:uid="{6B03084E-CEA7-4903-9FBE-8BA934669410}"/>
    <cellStyle name="Normal 4 4 8 3" xfId="5991" xr:uid="{00000000-0005-0000-0000-0000FB150000}"/>
    <cellStyle name="Normal 4 4 8 3 2" xfId="15317" xr:uid="{0EF82051-40E3-46FB-9774-1492D237E802}"/>
    <cellStyle name="Normal 4 4 8 3 3" xfId="24616" xr:uid="{3935B5D2-511F-4EDB-BBC2-A970229C39B3}"/>
    <cellStyle name="Normal 4 4 8 4" xfId="11100" xr:uid="{4BD8829D-3D6A-4A05-AA53-AACEBB99CBFB}"/>
    <cellStyle name="Normal 4 4 8 5" xfId="20399" xr:uid="{77DB5DB6-2EB9-499A-8C27-6C4763EEA337}"/>
    <cellStyle name="Normal 4 4 9" xfId="2098" xr:uid="{00000000-0005-0000-0000-0000FC150000}"/>
    <cellStyle name="Normal 4 4 9 2" xfId="4327" xr:uid="{00000000-0005-0000-0000-0000FD150000}"/>
    <cellStyle name="Normal 4 4 9 2 2" xfId="8549" xr:uid="{00000000-0005-0000-0000-0000FE150000}"/>
    <cellStyle name="Normal 4 4 9 2 2 2" xfId="17875" xr:uid="{3BE8D5DD-A6F2-44B8-AA9D-ACE372EA69D1}"/>
    <cellStyle name="Normal 4 4 9 2 2 3" xfId="27174" xr:uid="{E56ADBB6-9532-41A5-A5B5-1CFD5E8F7864}"/>
    <cellStyle name="Normal 4 4 9 2 3" xfId="13658" xr:uid="{6AC1E5A1-3323-4D31-A6EC-5D63C56F31F4}"/>
    <cellStyle name="Normal 4 4 9 2 4" xfId="22957" xr:uid="{D8EF453F-4408-4C70-BC1B-1FD1B50F4AC9}"/>
    <cellStyle name="Normal 4 4 9 3" xfId="6404" xr:uid="{00000000-0005-0000-0000-0000FF150000}"/>
    <cellStyle name="Normal 4 4 9 3 2" xfId="15730" xr:uid="{C2ADB46B-E3F3-4007-9388-E987D0CDF4C1}"/>
    <cellStyle name="Normal 4 4 9 3 3" xfId="25029" xr:uid="{D9D50883-EA39-4F7C-837A-42FA3F84F81B}"/>
    <cellStyle name="Normal 4 4 9 4" xfId="11513" xr:uid="{7A5690FE-1484-4E6B-9893-A037DFD5EB88}"/>
    <cellStyle name="Normal 4 4 9 5" xfId="20812" xr:uid="{B9BDB215-0F90-4B3E-9EF3-8A5F2D6BB806}"/>
    <cellStyle name="Normal 4 5" xfId="394" xr:uid="{00000000-0005-0000-0000-000000160000}"/>
    <cellStyle name="Normal 4 6" xfId="395" xr:uid="{00000000-0005-0000-0000-000001160000}"/>
    <cellStyle name="Normal 4 6 10" xfId="4768" xr:uid="{00000000-0005-0000-0000-000002160000}"/>
    <cellStyle name="Normal 4 6 10 2" xfId="14094" xr:uid="{55367670-CA9B-4448-A1FA-58F6F26460F0}"/>
    <cellStyle name="Normal 4 6 10 3" xfId="23393" xr:uid="{F1AAA9BD-99A3-4482-B8BB-719069B1FE2F}"/>
    <cellStyle name="Normal 4 6 11" xfId="8772" xr:uid="{23628FEE-4113-4B2C-B2A0-0106FC7F55C2}"/>
    <cellStyle name="Normal 4 6 11 2" xfId="18096" xr:uid="{90A725BD-8AB8-4CE4-AD33-81F884DC3E2E}"/>
    <cellStyle name="Normal 4 6 11 3" xfId="27394" xr:uid="{8C9AE5CD-3EE7-4EB6-AD55-DD64033F25F6}"/>
    <cellStyle name="Normal 4 6 12" xfId="9877" xr:uid="{867CC2E6-3211-414F-B8B9-4F323AEC2439}"/>
    <cellStyle name="Normal 4 6 13" xfId="19176" xr:uid="{0D77B04D-6F74-4965-A661-B1EB4C382A79}"/>
    <cellStyle name="Normal 4 6 2" xfId="396" xr:uid="{00000000-0005-0000-0000-000003160000}"/>
    <cellStyle name="Normal 4 6 2 10" xfId="8825" xr:uid="{C3062495-9D56-441B-95F6-B73E7DAC524C}"/>
    <cellStyle name="Normal 4 6 2 10 2" xfId="18149" xr:uid="{1387FFBD-3CE5-4747-A27C-0D617A9C320D}"/>
    <cellStyle name="Normal 4 6 2 10 3" xfId="27447" xr:uid="{C12DBECC-B4EB-4DDD-8EDD-3D6E4B199DD8}"/>
    <cellStyle name="Normal 4 6 2 11" xfId="9878" xr:uid="{8D388AEE-EE5A-4125-AD6A-26AFCD2EC0BE}"/>
    <cellStyle name="Normal 4 6 2 12" xfId="19177" xr:uid="{8EB1073F-BB1D-4E57-92B9-D61F3CF03360}"/>
    <cellStyle name="Normal 4 6 2 2" xfId="397" xr:uid="{00000000-0005-0000-0000-000004160000}"/>
    <cellStyle name="Normal 4 6 2 2 10" xfId="9879" xr:uid="{04AB92DD-80E4-4ED2-A706-32513F412158}"/>
    <cellStyle name="Normal 4 6 2 2 11" xfId="19178" xr:uid="{09CC5E6F-E972-4D89-A1E7-C1EA9AA5BBCB}"/>
    <cellStyle name="Normal 4 6 2 2 2" xfId="398" xr:uid="{00000000-0005-0000-0000-000005160000}"/>
    <cellStyle name="Normal 4 6 2 2 2 10" xfId="19179" xr:uid="{5A052835-9BD9-45F1-8568-2B45047A75A7}"/>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89361F0C-CA65-4180-BB8B-E200CD3710C5}"/>
    <cellStyle name="Normal 4 6 2 2 2 2 2 2 3" xfId="25954" xr:uid="{167FB5D3-06DB-4038-A71D-BC744A3A5069}"/>
    <cellStyle name="Normal 4 6 2 2 2 2 2 3" xfId="12438" xr:uid="{E1A26779-A405-4182-AA35-D4FA8E1B5F9D}"/>
    <cellStyle name="Normal 4 6 2 2 2 2 2 4" xfId="21737" xr:uid="{120BE37A-7D0E-4BD2-9F6B-86CA6B78887C}"/>
    <cellStyle name="Normal 4 6 2 2 2 2 3" xfId="5184" xr:uid="{00000000-0005-0000-0000-000009160000}"/>
    <cellStyle name="Normal 4 6 2 2 2 2 3 2" xfId="14510" xr:uid="{F494A282-05CD-4668-94B0-0B17967D31C9}"/>
    <cellStyle name="Normal 4 6 2 2 2 2 3 3" xfId="23809" xr:uid="{CCA750FC-F86E-49BC-AC87-CE1241C0C67B}"/>
    <cellStyle name="Normal 4 6 2 2 2 2 4" xfId="9560" xr:uid="{04DAEE11-A96E-4522-8546-8A0C107E12B9}"/>
    <cellStyle name="Normal 4 6 2 2 2 2 4 2" xfId="18875" xr:uid="{B2B08775-BDFF-4AD2-A6F5-424D8F90F72C}"/>
    <cellStyle name="Normal 4 6 2 2 2 2 4 3" xfId="28172" xr:uid="{DB0D981E-A237-415C-A0D8-674D7526C6A1}"/>
    <cellStyle name="Normal 4 6 2 2 2 2 5" xfId="10293" xr:uid="{7A890B3B-AB9B-4E68-86BE-0D39587A5E43}"/>
    <cellStyle name="Normal 4 6 2 2 2 2 6" xfId="19592" xr:uid="{6E5505E8-6725-4B45-A79F-AE4B074B986D}"/>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41BD32C9-8E4B-48FA-9554-F5E1BF468406}"/>
    <cellStyle name="Normal 4 6 2 2 2 3 2 2 3" xfId="26367" xr:uid="{8C3C6D0E-8761-41CD-9D18-A0A78653E056}"/>
    <cellStyle name="Normal 4 6 2 2 2 3 2 3" xfId="12851" xr:uid="{A20C0961-94F2-43FE-9BBB-DC68C02E3F1A}"/>
    <cellStyle name="Normal 4 6 2 2 2 3 2 4" xfId="22150" xr:uid="{F01AAE71-363A-47E6-BEAE-A45E97BF573D}"/>
    <cellStyle name="Normal 4 6 2 2 2 3 3" xfId="5597" xr:uid="{00000000-0005-0000-0000-00000D160000}"/>
    <cellStyle name="Normal 4 6 2 2 2 3 3 2" xfId="14923" xr:uid="{66356D9A-EDC6-489E-9773-A08E6BD2FBC4}"/>
    <cellStyle name="Normal 4 6 2 2 2 3 3 3" xfId="24222" xr:uid="{9849C5FA-9F9D-4BC6-81D2-06D835830D08}"/>
    <cellStyle name="Normal 4 6 2 2 2 3 4" xfId="10706" xr:uid="{17396488-A50C-4781-96BB-DB3C93255593}"/>
    <cellStyle name="Normal 4 6 2 2 2 3 5" xfId="20005" xr:uid="{7613EE13-2991-42FA-9A14-D32DDE8E20C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D4E7310E-4A65-4182-A0E0-2BCD94434AC4}"/>
    <cellStyle name="Normal 4 6 2 2 2 4 2 2 3" xfId="26780" xr:uid="{C2476650-4805-4042-A826-1D173F0013C1}"/>
    <cellStyle name="Normal 4 6 2 2 2 4 2 3" xfId="13264" xr:uid="{71B9869D-536C-4D5D-AC1C-C480F3F251C6}"/>
    <cellStyle name="Normal 4 6 2 2 2 4 2 4" xfId="22563" xr:uid="{580D2978-8530-4135-9FC9-CA3C6EF7498A}"/>
    <cellStyle name="Normal 4 6 2 2 2 4 3" xfId="6010" xr:uid="{00000000-0005-0000-0000-000011160000}"/>
    <cellStyle name="Normal 4 6 2 2 2 4 3 2" xfId="15336" xr:uid="{DA4591AC-7FE3-4F44-A6D7-3553F1A370E9}"/>
    <cellStyle name="Normal 4 6 2 2 2 4 3 3" xfId="24635" xr:uid="{EB294F08-626E-47A3-9FA4-A2E7682BBD1F}"/>
    <cellStyle name="Normal 4 6 2 2 2 4 4" xfId="11119" xr:uid="{9F39EF5C-3D2E-409E-908A-8E5FFA6712C6}"/>
    <cellStyle name="Normal 4 6 2 2 2 4 5" xfId="20418" xr:uid="{4CC256CA-E1A2-4724-8E95-204AC0AA72CA}"/>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2ECD5B06-E6BC-49AC-A24B-22F5E07E7FA1}"/>
    <cellStyle name="Normal 4 6 2 2 2 5 2 2 3" xfId="27193" xr:uid="{05341DD1-F09E-40CD-9CF4-FDF2E45206B2}"/>
    <cellStyle name="Normal 4 6 2 2 2 5 2 3" xfId="13677" xr:uid="{8DE5CECD-86B7-463A-B58C-3C598C446EB2}"/>
    <cellStyle name="Normal 4 6 2 2 2 5 2 4" xfId="22976" xr:uid="{0D3A02D2-9B49-456B-8B62-3004C7DCE4E9}"/>
    <cellStyle name="Normal 4 6 2 2 2 5 3" xfId="6423" xr:uid="{00000000-0005-0000-0000-000015160000}"/>
    <cellStyle name="Normal 4 6 2 2 2 5 3 2" xfId="15749" xr:uid="{C2DDE7AA-C015-47D9-8827-3A5331C7485E}"/>
    <cellStyle name="Normal 4 6 2 2 2 5 3 3" xfId="25048" xr:uid="{90A9B332-81A5-4A94-AFB2-849EA514475F}"/>
    <cellStyle name="Normal 4 6 2 2 2 5 4" xfId="11532" xr:uid="{0617BC2F-4451-4FEE-B9EF-775063C1C14C}"/>
    <cellStyle name="Normal 4 6 2 2 2 5 5" xfId="20831" xr:uid="{48456EFF-32B1-4ACC-8BB1-74D64B6F3C9E}"/>
    <cellStyle name="Normal 4 6 2 2 2 6" xfId="2553" xr:uid="{00000000-0005-0000-0000-000016160000}"/>
    <cellStyle name="Normal 4 6 2 2 2 6 2" xfId="6836" xr:uid="{00000000-0005-0000-0000-000017160000}"/>
    <cellStyle name="Normal 4 6 2 2 2 6 2 2" xfId="16162" xr:uid="{82D13ECC-A543-478D-817F-992BAB8B1219}"/>
    <cellStyle name="Normal 4 6 2 2 2 6 2 3" xfId="25461" xr:uid="{32D74334-44AC-44F9-B8E0-F1EFF74B3F3E}"/>
    <cellStyle name="Normal 4 6 2 2 2 6 3" xfId="11945" xr:uid="{C6B53921-8C64-4937-8C61-3B560A5AEB42}"/>
    <cellStyle name="Normal 4 6 2 2 2 6 4" xfId="21244" xr:uid="{6D23E0DD-9D2E-4778-9163-51A5C1A1264D}"/>
    <cellStyle name="Normal 4 6 2 2 2 7" xfId="4771" xr:uid="{00000000-0005-0000-0000-000018160000}"/>
    <cellStyle name="Normal 4 6 2 2 2 7 2" xfId="14097" xr:uid="{5032A161-74D4-43F2-88AF-51B148A2DCE9}"/>
    <cellStyle name="Normal 4 6 2 2 2 7 3" xfId="23396" xr:uid="{2168ED50-E3E8-47C7-8380-8794806DC383}"/>
    <cellStyle name="Normal 4 6 2 2 2 8" xfId="9135" xr:uid="{2F4C420F-13DD-45DD-99DD-C7AFF7CD7823}"/>
    <cellStyle name="Normal 4 6 2 2 2 8 2" xfId="18459" xr:uid="{C221A43C-868B-4460-BAE8-18FD3537D4C4}"/>
    <cellStyle name="Normal 4 6 2 2 2 8 3" xfId="27757" xr:uid="{624DF705-9EA6-4D19-88AE-8C3D55A42D0B}"/>
    <cellStyle name="Normal 4 6 2 2 2 9" xfId="9880" xr:uid="{69CBE1DA-E577-4D20-8CA9-B3818DFEAC24}"/>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E3D19116-5491-48F5-9374-B9FA50BB03AE}"/>
    <cellStyle name="Normal 4 6 2 2 3 2 2 3" xfId="25953" xr:uid="{BDC39ACB-3E47-4B0C-9F01-234C8EE11129}"/>
    <cellStyle name="Normal 4 6 2 2 3 2 3" xfId="12437" xr:uid="{4818C71B-C625-480F-8AB8-B828A4D41F52}"/>
    <cellStyle name="Normal 4 6 2 2 3 2 4" xfId="21736" xr:uid="{A14AED5E-B86B-4292-AC26-34C64642A089}"/>
    <cellStyle name="Normal 4 6 2 2 3 3" xfId="5183" xr:uid="{00000000-0005-0000-0000-00001C160000}"/>
    <cellStyle name="Normal 4 6 2 2 3 3 2" xfId="14509" xr:uid="{4C9CD06A-1268-4C35-97E2-5627D3D9F5B3}"/>
    <cellStyle name="Normal 4 6 2 2 3 3 3" xfId="23808" xr:uid="{14557608-DC3C-4CDF-9B70-A3B9B8A909C6}"/>
    <cellStyle name="Normal 4 6 2 2 3 4" xfId="9353" xr:uid="{60C7EC16-17DE-43AF-A246-41C667B376B7}"/>
    <cellStyle name="Normal 4 6 2 2 3 4 2" xfId="18668" xr:uid="{559AB7F1-377D-40CC-8F33-2302B4BBF127}"/>
    <cellStyle name="Normal 4 6 2 2 3 4 3" xfId="27965" xr:uid="{89025028-2C28-4437-8B8F-363D28090540}"/>
    <cellStyle name="Normal 4 6 2 2 3 5" xfId="10292" xr:uid="{24011E5A-A498-4DF4-826A-D6C7A05E5072}"/>
    <cellStyle name="Normal 4 6 2 2 3 6" xfId="19591" xr:uid="{8F55052B-1D35-4A7B-8AFC-E9C87D024EBD}"/>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EA70954D-30EB-4E48-BC9C-132F5A9B8FBF}"/>
    <cellStyle name="Normal 4 6 2 2 4 2 2 3" xfId="26366" xr:uid="{838D8065-AFDE-477B-A2FB-C09180F5A1B9}"/>
    <cellStyle name="Normal 4 6 2 2 4 2 3" xfId="12850" xr:uid="{005E7C03-A971-41F3-AC5D-A398A7DC7DF3}"/>
    <cellStyle name="Normal 4 6 2 2 4 2 4" xfId="22149" xr:uid="{8C9776C4-80F1-44E5-883D-22FBF0254303}"/>
    <cellStyle name="Normal 4 6 2 2 4 3" xfId="5596" xr:uid="{00000000-0005-0000-0000-000020160000}"/>
    <cellStyle name="Normal 4 6 2 2 4 3 2" xfId="14922" xr:uid="{914FEDBF-1E5F-46DD-A630-09A787FC7D82}"/>
    <cellStyle name="Normal 4 6 2 2 4 3 3" xfId="24221" xr:uid="{994EA05D-15F3-4775-8142-0852204F1791}"/>
    <cellStyle name="Normal 4 6 2 2 4 4" xfId="10705" xr:uid="{BE324BE3-15BD-48D3-A806-73ACDB767014}"/>
    <cellStyle name="Normal 4 6 2 2 4 5" xfId="20004" xr:uid="{8B09D3AB-DD76-4ACC-AF7B-328F5761806A}"/>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9CBB917E-1934-41C1-AECF-F3547FA91261}"/>
    <cellStyle name="Normal 4 6 2 2 5 2 2 3" xfId="26779" xr:uid="{BC6510B0-BFEE-412B-8625-103512AB62A2}"/>
    <cellStyle name="Normal 4 6 2 2 5 2 3" xfId="13263" xr:uid="{F0CDF7DA-3E1F-41A5-9D46-378242FFD85B}"/>
    <cellStyle name="Normal 4 6 2 2 5 2 4" xfId="22562" xr:uid="{A5E9F184-7640-4487-9C56-5D2E9FD60089}"/>
    <cellStyle name="Normal 4 6 2 2 5 3" xfId="6009" xr:uid="{00000000-0005-0000-0000-000024160000}"/>
    <cellStyle name="Normal 4 6 2 2 5 3 2" xfId="15335" xr:uid="{A5338D4A-3043-45DD-9E83-00B6F8F68432}"/>
    <cellStyle name="Normal 4 6 2 2 5 3 3" xfId="24634" xr:uid="{C45230B4-521C-4D90-9696-86E8898A9765}"/>
    <cellStyle name="Normal 4 6 2 2 5 4" xfId="11118" xr:uid="{ABAE9915-B3B6-4F98-B280-E07EE2611C67}"/>
    <cellStyle name="Normal 4 6 2 2 5 5" xfId="20417" xr:uid="{4C01E3BE-268A-49CF-9680-206F6B32E2B7}"/>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B10BAE2A-0082-4E18-B84E-C9C6DDAD6EC8}"/>
    <cellStyle name="Normal 4 6 2 2 6 2 2 3" xfId="27192" xr:uid="{F5F57E30-BE4E-45B3-A5D4-15963887CEBA}"/>
    <cellStyle name="Normal 4 6 2 2 6 2 3" xfId="13676" xr:uid="{9D0B0FDE-0A58-4062-B3E0-F2057A4F647D}"/>
    <cellStyle name="Normal 4 6 2 2 6 2 4" xfId="22975" xr:uid="{515C3942-8F6D-4429-B6A6-C054CA5A683A}"/>
    <cellStyle name="Normal 4 6 2 2 6 3" xfId="6422" xr:uid="{00000000-0005-0000-0000-000028160000}"/>
    <cellStyle name="Normal 4 6 2 2 6 3 2" xfId="15748" xr:uid="{9C5E547D-AEFA-41E7-95C7-4EBBDAF22D7B}"/>
    <cellStyle name="Normal 4 6 2 2 6 3 3" xfId="25047" xr:uid="{FB7B5879-13E8-4E6B-8B29-2C18F2B6C50E}"/>
    <cellStyle name="Normal 4 6 2 2 6 4" xfId="11531" xr:uid="{3401CAA6-56EC-4C4B-908D-874D0A3F8AD9}"/>
    <cellStyle name="Normal 4 6 2 2 6 5" xfId="20830" xr:uid="{B67B5DF0-B368-435D-8A3B-3B337FDD40C1}"/>
    <cellStyle name="Normal 4 6 2 2 7" xfId="2552" xr:uid="{00000000-0005-0000-0000-000029160000}"/>
    <cellStyle name="Normal 4 6 2 2 7 2" xfId="6835" xr:uid="{00000000-0005-0000-0000-00002A160000}"/>
    <cellStyle name="Normal 4 6 2 2 7 2 2" xfId="16161" xr:uid="{C39DAE05-3AD0-4F40-BD99-B41FBAAD0266}"/>
    <cellStyle name="Normal 4 6 2 2 7 2 3" xfId="25460" xr:uid="{0D1E2947-DCA1-4312-99C3-9E2AA0BC885F}"/>
    <cellStyle name="Normal 4 6 2 2 7 3" xfId="11944" xr:uid="{D3D9BE61-1D5E-481D-8798-FF58DF2E72FF}"/>
    <cellStyle name="Normal 4 6 2 2 7 4" xfId="21243" xr:uid="{379A47D8-628C-4B84-8026-A8335A218BFE}"/>
    <cellStyle name="Normal 4 6 2 2 8" xfId="4770" xr:uid="{00000000-0005-0000-0000-00002B160000}"/>
    <cellStyle name="Normal 4 6 2 2 8 2" xfId="14096" xr:uid="{D65969CC-94AE-4395-96D3-F71439172843}"/>
    <cellStyle name="Normal 4 6 2 2 8 3" xfId="23395" xr:uid="{39AAF180-8612-4C99-9CF6-CC2B09A96EE9}"/>
    <cellStyle name="Normal 4 6 2 2 9" xfId="8928" xr:uid="{EC58FE5E-68BA-4864-AD86-0F9D1DB17AD0}"/>
    <cellStyle name="Normal 4 6 2 2 9 2" xfId="18252" xr:uid="{7A8AB4C5-9B29-46F6-85CD-7D0FE8A1B512}"/>
    <cellStyle name="Normal 4 6 2 2 9 3" xfId="27550" xr:uid="{A2AAB480-4E28-4922-9E82-2DD3BF310F4E}"/>
    <cellStyle name="Normal 4 6 2 3" xfId="399" xr:uid="{00000000-0005-0000-0000-00002C160000}"/>
    <cellStyle name="Normal 4 6 2 3 10" xfId="19180" xr:uid="{01E0D227-6699-4FCB-827B-0C2570C1C8F9}"/>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1633FE83-74D2-4193-8460-0C585FC3CBC7}"/>
    <cellStyle name="Normal 4 6 2 3 2 2 2 3" xfId="25955" xr:uid="{064799C8-A2E4-44A9-A916-C8E6EC2AC737}"/>
    <cellStyle name="Normal 4 6 2 3 2 2 3" xfId="12439" xr:uid="{9D6FF889-3C30-4F0C-83C8-BE782A255E91}"/>
    <cellStyle name="Normal 4 6 2 3 2 2 4" xfId="21738" xr:uid="{02F7563D-5A03-48BD-AB18-93330CDC9D66}"/>
    <cellStyle name="Normal 4 6 2 3 2 3" xfId="5185" xr:uid="{00000000-0005-0000-0000-000030160000}"/>
    <cellStyle name="Normal 4 6 2 3 2 3 2" xfId="14511" xr:uid="{97747354-FC8C-4256-ADB2-F30A6D915F5F}"/>
    <cellStyle name="Normal 4 6 2 3 2 3 3" xfId="23810" xr:uid="{D269CB73-C01C-4E81-BE6D-6B63AFC54C5A}"/>
    <cellStyle name="Normal 4 6 2 3 2 4" xfId="9457" xr:uid="{E86AED2D-42AD-49DE-9461-1FA72B82C89E}"/>
    <cellStyle name="Normal 4 6 2 3 2 4 2" xfId="18772" xr:uid="{1444600C-D788-4E0B-A4B0-01FE570B0E54}"/>
    <cellStyle name="Normal 4 6 2 3 2 4 3" xfId="28069" xr:uid="{415A1AC6-7A50-45D6-8DFB-56CB52420689}"/>
    <cellStyle name="Normal 4 6 2 3 2 5" xfId="10294" xr:uid="{850879B6-C7F4-4A04-BD7D-1C2581830741}"/>
    <cellStyle name="Normal 4 6 2 3 2 6" xfId="19593" xr:uid="{62B32B80-4547-47BF-B16F-54207304E614}"/>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D38C1654-B1A2-4CD4-9D6E-5F0555555077}"/>
    <cellStyle name="Normal 4 6 2 3 3 2 2 3" xfId="26368" xr:uid="{1B8A0288-2670-4795-AC3C-2B22D301E01F}"/>
    <cellStyle name="Normal 4 6 2 3 3 2 3" xfId="12852" xr:uid="{4A5931C0-80F6-4B28-BD2C-DFB00A3CA048}"/>
    <cellStyle name="Normal 4 6 2 3 3 2 4" xfId="22151" xr:uid="{C3D00626-B7E7-4595-B829-7297FAC80AC2}"/>
    <cellStyle name="Normal 4 6 2 3 3 3" xfId="5598" xr:uid="{00000000-0005-0000-0000-000034160000}"/>
    <cellStyle name="Normal 4 6 2 3 3 3 2" xfId="14924" xr:uid="{2E2750E7-1E03-4324-919B-D1D7B4EFE94A}"/>
    <cellStyle name="Normal 4 6 2 3 3 3 3" xfId="24223" xr:uid="{C51F1618-A383-4C9E-94C3-5848A8651E84}"/>
    <cellStyle name="Normal 4 6 2 3 3 4" xfId="10707" xr:uid="{1551DDDA-5E46-4874-9CDD-D6AE7ECC5572}"/>
    <cellStyle name="Normal 4 6 2 3 3 5" xfId="20006" xr:uid="{BDF8CA8E-DDD1-4D07-ADE1-C06A8D1BAA2A}"/>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A0E9229E-E0B9-42CC-B3FF-59E4191F98BB}"/>
    <cellStyle name="Normal 4 6 2 3 4 2 2 3" xfId="26781" xr:uid="{2B596ED2-E274-4350-926A-A35B86F788E6}"/>
    <cellStyle name="Normal 4 6 2 3 4 2 3" xfId="13265" xr:uid="{5C2A805F-7F6E-4CDF-9164-A44F12A16862}"/>
    <cellStyle name="Normal 4 6 2 3 4 2 4" xfId="22564" xr:uid="{3E13907B-4A3A-4AAA-883A-592238583C34}"/>
    <cellStyle name="Normal 4 6 2 3 4 3" xfId="6011" xr:uid="{00000000-0005-0000-0000-000038160000}"/>
    <cellStyle name="Normal 4 6 2 3 4 3 2" xfId="15337" xr:uid="{E0C7DA2F-8AEA-4027-AE49-390A49316382}"/>
    <cellStyle name="Normal 4 6 2 3 4 3 3" xfId="24636" xr:uid="{993E8D75-92AB-423E-A57C-466D798861DB}"/>
    <cellStyle name="Normal 4 6 2 3 4 4" xfId="11120" xr:uid="{DDD73E1E-E1E2-415E-A4E4-5E353D4CFA93}"/>
    <cellStyle name="Normal 4 6 2 3 4 5" xfId="20419" xr:uid="{5EEB528D-B07E-4441-A4FD-A615A98B3982}"/>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8799D36A-2997-4C9B-A75B-679A5C6C2B06}"/>
    <cellStyle name="Normal 4 6 2 3 5 2 2 3" xfId="27194" xr:uid="{E26E7E2E-5E9D-4CE3-AA68-5A1320F5CC9E}"/>
    <cellStyle name="Normal 4 6 2 3 5 2 3" xfId="13678" xr:uid="{CE122EE0-E8A8-4CF3-82B0-D5A2513FA81A}"/>
    <cellStyle name="Normal 4 6 2 3 5 2 4" xfId="22977" xr:uid="{6B21380E-EEE4-41E4-BF33-D7F2D818DB50}"/>
    <cellStyle name="Normal 4 6 2 3 5 3" xfId="6424" xr:uid="{00000000-0005-0000-0000-00003C160000}"/>
    <cellStyle name="Normal 4 6 2 3 5 3 2" xfId="15750" xr:uid="{F3557131-6B71-45E8-B4F1-657108CBCF06}"/>
    <cellStyle name="Normal 4 6 2 3 5 3 3" xfId="25049" xr:uid="{8271038A-A76C-4839-9C3D-FF0E37476F68}"/>
    <cellStyle name="Normal 4 6 2 3 5 4" xfId="11533" xr:uid="{DDD6ACF4-C7F3-4A81-8DDB-18815763A85A}"/>
    <cellStyle name="Normal 4 6 2 3 5 5" xfId="20832" xr:uid="{DE2C9E5D-3CD5-4EA4-A578-A81C0EFAFE63}"/>
    <cellStyle name="Normal 4 6 2 3 6" xfId="2554" xr:uid="{00000000-0005-0000-0000-00003D160000}"/>
    <cellStyle name="Normal 4 6 2 3 6 2" xfId="6837" xr:uid="{00000000-0005-0000-0000-00003E160000}"/>
    <cellStyle name="Normal 4 6 2 3 6 2 2" xfId="16163" xr:uid="{C5227C2F-51F2-49A7-B43A-F7404C304E23}"/>
    <cellStyle name="Normal 4 6 2 3 6 2 3" xfId="25462" xr:uid="{6B57E978-6F66-4B5E-9DAB-015A0531010F}"/>
    <cellStyle name="Normal 4 6 2 3 6 3" xfId="11946" xr:uid="{3A9A2779-FA21-455F-B8FA-F1007C26B29D}"/>
    <cellStyle name="Normal 4 6 2 3 6 4" xfId="21245" xr:uid="{E25D8559-C4BD-477F-97B5-565B433D9206}"/>
    <cellStyle name="Normal 4 6 2 3 7" xfId="4772" xr:uid="{00000000-0005-0000-0000-00003F160000}"/>
    <cellStyle name="Normal 4 6 2 3 7 2" xfId="14098" xr:uid="{0A797442-F4D5-4583-8235-3487051C45FA}"/>
    <cellStyle name="Normal 4 6 2 3 7 3" xfId="23397" xr:uid="{AFB153BB-0FAD-4DDC-9E50-AF2A74ED7A67}"/>
    <cellStyle name="Normal 4 6 2 3 8" xfId="9032" xr:uid="{576A1DC5-5971-4772-803F-0A60F80D4C41}"/>
    <cellStyle name="Normal 4 6 2 3 8 2" xfId="18356" xr:uid="{8467019E-D96B-4C22-9EEC-A5874E225E42}"/>
    <cellStyle name="Normal 4 6 2 3 8 3" xfId="27654" xr:uid="{A19CF6BF-89B6-4003-9F29-3903ED34E019}"/>
    <cellStyle name="Normal 4 6 2 3 9" xfId="9881" xr:uid="{62908DA8-75E2-4A33-91BB-1FB16839EAD6}"/>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C2374993-812F-4BC7-85DB-C79769554755}"/>
    <cellStyle name="Normal 4 6 2 4 2 2 3" xfId="25952" xr:uid="{35B365A5-5DA0-4A97-AD3C-D2B6520C3DD3}"/>
    <cellStyle name="Normal 4 6 2 4 2 3" xfId="12436" xr:uid="{0D7A99A6-A09D-4B65-8914-230C26E8EBA5}"/>
    <cellStyle name="Normal 4 6 2 4 2 4" xfId="21735" xr:uid="{0ADFA894-9D27-482E-A6AF-8E3407255FDF}"/>
    <cellStyle name="Normal 4 6 2 4 3" xfId="5182" xr:uid="{00000000-0005-0000-0000-000043160000}"/>
    <cellStyle name="Normal 4 6 2 4 3 2" xfId="14508" xr:uid="{8F4F6DBE-636A-44E7-8EE2-E1606A34AEF7}"/>
    <cellStyle name="Normal 4 6 2 4 3 3" xfId="23807" xr:uid="{EACAAA9F-B3C1-4F82-936C-677263CE602D}"/>
    <cellStyle name="Normal 4 6 2 4 4" xfId="9250" xr:uid="{CBBC9A51-5203-4C00-93C7-FE7C973DCDD1}"/>
    <cellStyle name="Normal 4 6 2 4 4 2" xfId="18565" xr:uid="{7B607DBE-C808-4EFE-A5DD-7CF33700B190}"/>
    <cellStyle name="Normal 4 6 2 4 4 3" xfId="27862" xr:uid="{8E45F3AC-78F8-4A3C-82DF-96306BBFC58A}"/>
    <cellStyle name="Normal 4 6 2 4 5" xfId="10291" xr:uid="{D7961D87-156C-481E-AEAC-01DADA8261C7}"/>
    <cellStyle name="Normal 4 6 2 4 6" xfId="19590" xr:uid="{FD46A97E-B52F-40C5-90C3-425A7BDCB2F1}"/>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F8A7F168-F15D-412D-AFB2-EF42FDC1DDA6}"/>
    <cellStyle name="Normal 4 6 2 5 2 2 3" xfId="26365" xr:uid="{3DED1824-B46E-4687-A3C1-3D0773D2943E}"/>
    <cellStyle name="Normal 4 6 2 5 2 3" xfId="12849" xr:uid="{0673D7D8-A05B-4ADA-8E2D-ADA554D3C52A}"/>
    <cellStyle name="Normal 4 6 2 5 2 4" xfId="22148" xr:uid="{04583CC0-FB10-424B-A871-942E992E280E}"/>
    <cellStyle name="Normal 4 6 2 5 3" xfId="5595" xr:uid="{00000000-0005-0000-0000-000047160000}"/>
    <cellStyle name="Normal 4 6 2 5 3 2" xfId="14921" xr:uid="{21D90E20-1733-4ACD-8117-A3EAEF9CE454}"/>
    <cellStyle name="Normal 4 6 2 5 3 3" xfId="24220" xr:uid="{58BF8FE6-9C74-4992-861C-76DCC88E6DE5}"/>
    <cellStyle name="Normal 4 6 2 5 4" xfId="10704" xr:uid="{1FF5CDC9-CA49-4A2C-8FC3-C038BB30C5A5}"/>
    <cellStyle name="Normal 4 6 2 5 5" xfId="20003" xr:uid="{EF139ECE-ADE6-4B92-97B3-59EDDCCD384F}"/>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171B220E-6496-475A-98F7-6BF35A05F27B}"/>
    <cellStyle name="Normal 4 6 2 6 2 2 3" xfId="26778" xr:uid="{B922F129-43B0-4C67-95D9-74F5D17571E8}"/>
    <cellStyle name="Normal 4 6 2 6 2 3" xfId="13262" xr:uid="{237F2686-082E-4E93-82D3-99E573534E5C}"/>
    <cellStyle name="Normal 4 6 2 6 2 4" xfId="22561" xr:uid="{8EEC8519-8475-4149-9F86-F057B5732385}"/>
    <cellStyle name="Normal 4 6 2 6 3" xfId="6008" xr:uid="{00000000-0005-0000-0000-00004B160000}"/>
    <cellStyle name="Normal 4 6 2 6 3 2" xfId="15334" xr:uid="{5BDFACBA-C25E-4D71-B090-0C6260177BEB}"/>
    <cellStyle name="Normal 4 6 2 6 3 3" xfId="24633" xr:uid="{B852D9EE-AF7A-4EF9-98FD-0FFC2652EB16}"/>
    <cellStyle name="Normal 4 6 2 6 4" xfId="11117" xr:uid="{FE517546-8AFA-49BE-B486-901A564D23EC}"/>
    <cellStyle name="Normal 4 6 2 6 5" xfId="20416" xr:uid="{53980957-A6DB-4A5D-A16A-495025318053}"/>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092842E9-1E87-4633-8DA3-5F9FB00590FD}"/>
    <cellStyle name="Normal 4 6 2 7 2 2 3" xfId="27191" xr:uid="{91BC0E40-7B0A-4184-9CC4-33D4359A1922}"/>
    <cellStyle name="Normal 4 6 2 7 2 3" xfId="13675" xr:uid="{5A7F5F0D-32BC-4CA6-AB53-37DEF40593A1}"/>
    <cellStyle name="Normal 4 6 2 7 2 4" xfId="22974" xr:uid="{3B35EC2D-34B6-4157-9644-50938ADFD5F8}"/>
    <cellStyle name="Normal 4 6 2 7 3" xfId="6421" xr:uid="{00000000-0005-0000-0000-00004F160000}"/>
    <cellStyle name="Normal 4 6 2 7 3 2" xfId="15747" xr:uid="{75629B9C-384B-415E-B599-DE77D34A3698}"/>
    <cellStyle name="Normal 4 6 2 7 3 3" xfId="25046" xr:uid="{6D4CFD5C-41E9-4CB7-ABE6-F96B793573D5}"/>
    <cellStyle name="Normal 4 6 2 7 4" xfId="11530" xr:uid="{490207C9-55BF-483A-A6A2-28B544053F73}"/>
    <cellStyle name="Normal 4 6 2 7 5" xfId="20829" xr:uid="{75407AC1-4B30-410D-B8D6-67972DDF0AB7}"/>
    <cellStyle name="Normal 4 6 2 8" xfId="2551" xr:uid="{00000000-0005-0000-0000-000050160000}"/>
    <cellStyle name="Normal 4 6 2 8 2" xfId="6834" xr:uid="{00000000-0005-0000-0000-000051160000}"/>
    <cellStyle name="Normal 4 6 2 8 2 2" xfId="16160" xr:uid="{1798DCBB-61AC-4705-8786-8A1C7A715194}"/>
    <cellStyle name="Normal 4 6 2 8 2 3" xfId="25459" xr:uid="{596AB3D0-512A-4BAC-8F53-DDD3D678E9C9}"/>
    <cellStyle name="Normal 4 6 2 8 3" xfId="11943" xr:uid="{2ECADF0F-097A-4956-9E79-E3F1C8AB3ADF}"/>
    <cellStyle name="Normal 4 6 2 8 4" xfId="21242" xr:uid="{C3BAF9E7-A8E3-4A12-B1BB-885923F1A9E4}"/>
    <cellStyle name="Normal 4 6 2 9" xfId="4769" xr:uid="{00000000-0005-0000-0000-000052160000}"/>
    <cellStyle name="Normal 4 6 2 9 2" xfId="14095" xr:uid="{5282B7D2-9E97-47AE-BA3C-BECDF582F1AF}"/>
    <cellStyle name="Normal 4 6 2 9 3" xfId="23394" xr:uid="{716306A8-4270-4378-9331-ADF13974EE7D}"/>
    <cellStyle name="Normal 4 6 3" xfId="400" xr:uid="{00000000-0005-0000-0000-000053160000}"/>
    <cellStyle name="Normal 4 6 3 10" xfId="9882" xr:uid="{A3C59E06-D7E2-4E0C-9A98-58C0C215DE43}"/>
    <cellStyle name="Normal 4 6 3 11" xfId="19181" xr:uid="{2DDC367B-7873-4A2F-BE15-2CD1B29732F2}"/>
    <cellStyle name="Normal 4 6 3 2" xfId="401" xr:uid="{00000000-0005-0000-0000-000054160000}"/>
    <cellStyle name="Normal 4 6 3 2 10" xfId="19182" xr:uid="{FD354109-9587-4218-AE1F-6062ABAFF9B2}"/>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B43C9033-4C6A-46F3-9BEE-16AE82C5150C}"/>
    <cellStyle name="Normal 4 6 3 2 2 2 2 3" xfId="25957" xr:uid="{903457A0-A222-43CC-A98B-76B6FB81C781}"/>
    <cellStyle name="Normal 4 6 3 2 2 2 3" xfId="12441" xr:uid="{7D9D417C-0DF3-4F74-B987-627663B9F572}"/>
    <cellStyle name="Normal 4 6 3 2 2 2 4" xfId="21740" xr:uid="{FB9213F4-C176-44E9-B8D2-275553F0F365}"/>
    <cellStyle name="Normal 4 6 3 2 2 3" xfId="5187" xr:uid="{00000000-0005-0000-0000-000058160000}"/>
    <cellStyle name="Normal 4 6 3 2 2 3 2" xfId="14513" xr:uid="{2AD893B0-00CA-4AFB-9E33-6F6AADC3DEF8}"/>
    <cellStyle name="Normal 4 6 3 2 2 3 3" xfId="23812" xr:uid="{2F02263F-DA5D-48B0-B8D0-A04219F50834}"/>
    <cellStyle name="Normal 4 6 3 2 2 4" xfId="9507" xr:uid="{63E4C3EA-8BE6-4CDE-9E44-1D64049D4CF5}"/>
    <cellStyle name="Normal 4 6 3 2 2 4 2" xfId="18822" xr:uid="{D1E03065-9E26-4EE8-88D3-1D38BD11DAE1}"/>
    <cellStyle name="Normal 4 6 3 2 2 4 3" xfId="28119" xr:uid="{A458D98D-EB2C-4BF8-8CF0-8DEAE540571F}"/>
    <cellStyle name="Normal 4 6 3 2 2 5" xfId="10296" xr:uid="{1E0E2CCC-7D31-467A-81B9-F09C2E4C66AE}"/>
    <cellStyle name="Normal 4 6 3 2 2 6" xfId="19595" xr:uid="{EA427BCF-5620-4F0F-88EC-87CC5317EE94}"/>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9AF30F2C-546E-4986-9FE4-C1789BB92231}"/>
    <cellStyle name="Normal 4 6 3 2 3 2 2 3" xfId="26370" xr:uid="{C832D9FF-8B45-4373-B004-BD76A7B428D0}"/>
    <cellStyle name="Normal 4 6 3 2 3 2 3" xfId="12854" xr:uid="{08CEDB3E-DBD5-4B28-ACFB-75DC7BC852C6}"/>
    <cellStyle name="Normal 4 6 3 2 3 2 4" xfId="22153" xr:uid="{71F52C2D-DCAB-4592-9350-3BC12BB9AC0D}"/>
    <cellStyle name="Normal 4 6 3 2 3 3" xfId="5600" xr:uid="{00000000-0005-0000-0000-00005C160000}"/>
    <cellStyle name="Normal 4 6 3 2 3 3 2" xfId="14926" xr:uid="{5FF3499F-67D9-4CD5-AFF3-45A7C7B74432}"/>
    <cellStyle name="Normal 4 6 3 2 3 3 3" xfId="24225" xr:uid="{6B3CB4D3-E3E2-4A82-B0A3-A011A042407C}"/>
    <cellStyle name="Normal 4 6 3 2 3 4" xfId="10709" xr:uid="{94780418-840E-4875-9466-72A0A1A58E8B}"/>
    <cellStyle name="Normal 4 6 3 2 3 5" xfId="20008" xr:uid="{B6605445-233E-405F-A4C9-AC5DC3E333A2}"/>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E0BEE47D-BA29-40D0-8FB0-15CF6C949010}"/>
    <cellStyle name="Normal 4 6 3 2 4 2 2 3" xfId="26783" xr:uid="{2C59FA08-1A8A-4414-88D4-036DF8D3D35F}"/>
    <cellStyle name="Normal 4 6 3 2 4 2 3" xfId="13267" xr:uid="{3FDC8A6F-EA75-4605-9EBC-5ED571C1165F}"/>
    <cellStyle name="Normal 4 6 3 2 4 2 4" xfId="22566" xr:uid="{A4AD690A-3D7F-4150-A11E-F7152CF03AC1}"/>
    <cellStyle name="Normal 4 6 3 2 4 3" xfId="6013" xr:uid="{00000000-0005-0000-0000-000060160000}"/>
    <cellStyle name="Normal 4 6 3 2 4 3 2" xfId="15339" xr:uid="{329E619F-E312-4D34-9FC7-027BB4DAEDF6}"/>
    <cellStyle name="Normal 4 6 3 2 4 3 3" xfId="24638" xr:uid="{51EF4D62-1666-4056-9860-5D156013B761}"/>
    <cellStyle name="Normal 4 6 3 2 4 4" xfId="11122" xr:uid="{A5F23BC8-9F6A-47FA-89C1-9AA872AE0E42}"/>
    <cellStyle name="Normal 4 6 3 2 4 5" xfId="20421" xr:uid="{818B19A3-719D-45B5-917A-B44A1913E98D}"/>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0840D253-7D85-4ED1-815F-61F1A029AEC7}"/>
    <cellStyle name="Normal 4 6 3 2 5 2 2 3" xfId="27196" xr:uid="{B903B2A5-D007-475D-835B-B955FCEFDEC5}"/>
    <cellStyle name="Normal 4 6 3 2 5 2 3" xfId="13680" xr:uid="{63185A21-6324-40FF-A542-DD656C11CC58}"/>
    <cellStyle name="Normal 4 6 3 2 5 2 4" xfId="22979" xr:uid="{C8E0E7B0-E637-45CA-A397-932A7137ECE6}"/>
    <cellStyle name="Normal 4 6 3 2 5 3" xfId="6426" xr:uid="{00000000-0005-0000-0000-000064160000}"/>
    <cellStyle name="Normal 4 6 3 2 5 3 2" xfId="15752" xr:uid="{3E91E21F-674F-4FB5-BFEC-6B6BBE4A0318}"/>
    <cellStyle name="Normal 4 6 3 2 5 3 3" xfId="25051" xr:uid="{33EBB4B4-E5A1-421F-A5B4-4FEE9F53446D}"/>
    <cellStyle name="Normal 4 6 3 2 5 4" xfId="11535" xr:uid="{5BE999A5-9CBA-4B11-ADA2-B47D5E0D7E85}"/>
    <cellStyle name="Normal 4 6 3 2 5 5" xfId="20834" xr:uid="{0360DEEE-BE8F-44A3-8217-B84E62FCC2CA}"/>
    <cellStyle name="Normal 4 6 3 2 6" xfId="2556" xr:uid="{00000000-0005-0000-0000-000065160000}"/>
    <cellStyle name="Normal 4 6 3 2 6 2" xfId="6839" xr:uid="{00000000-0005-0000-0000-000066160000}"/>
    <cellStyle name="Normal 4 6 3 2 6 2 2" xfId="16165" xr:uid="{E5EA4643-846F-4664-9448-556C3E916A03}"/>
    <cellStyle name="Normal 4 6 3 2 6 2 3" xfId="25464" xr:uid="{FEE905F6-06AB-4D07-8B49-4ACD5C19FA9D}"/>
    <cellStyle name="Normal 4 6 3 2 6 3" xfId="11948" xr:uid="{BE765959-3F60-4D98-87C4-DF8FB52E2519}"/>
    <cellStyle name="Normal 4 6 3 2 6 4" xfId="21247" xr:uid="{F347ED8C-EFCE-49FE-BCF8-0E4B0DE730E0}"/>
    <cellStyle name="Normal 4 6 3 2 7" xfId="4774" xr:uid="{00000000-0005-0000-0000-000067160000}"/>
    <cellStyle name="Normal 4 6 3 2 7 2" xfId="14100" xr:uid="{45909E50-ED68-498B-A912-5F9FD55C95F4}"/>
    <cellStyle name="Normal 4 6 3 2 7 3" xfId="23399" xr:uid="{00602D73-D397-496B-916E-A9127F83A97B}"/>
    <cellStyle name="Normal 4 6 3 2 8" xfId="9082" xr:uid="{B272D1AE-3713-4AD0-AE3F-D1A7344AD432}"/>
    <cellStyle name="Normal 4 6 3 2 8 2" xfId="18406" xr:uid="{2B746A07-967F-430B-AE04-9C358445B8E9}"/>
    <cellStyle name="Normal 4 6 3 2 8 3" xfId="27704" xr:uid="{52345789-86F6-45EA-8C35-583D682F00A7}"/>
    <cellStyle name="Normal 4 6 3 2 9" xfId="9883" xr:uid="{F287D488-D499-4BF6-BFA8-04020C068CF0}"/>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2F07BF02-CF51-4AAA-BA16-D3F65F677734}"/>
    <cellStyle name="Normal 4 6 3 3 2 2 3" xfId="25956" xr:uid="{01EFBAA0-C113-4453-B871-58C6003D3D77}"/>
    <cellStyle name="Normal 4 6 3 3 2 3" xfId="12440" xr:uid="{E01384E7-6D3A-4822-80EC-1B209E5B8861}"/>
    <cellStyle name="Normal 4 6 3 3 2 4" xfId="21739" xr:uid="{14596444-D472-4F9F-B11A-4AD4E9018180}"/>
    <cellStyle name="Normal 4 6 3 3 3" xfId="5186" xr:uid="{00000000-0005-0000-0000-00006B160000}"/>
    <cellStyle name="Normal 4 6 3 3 3 2" xfId="14512" xr:uid="{485EE4BB-742C-4BD5-9B07-75D9CE06BCE3}"/>
    <cellStyle name="Normal 4 6 3 3 3 3" xfId="23811" xr:uid="{1149C5CD-F2D6-4876-8DDF-E862F9C09A73}"/>
    <cellStyle name="Normal 4 6 3 3 4" xfId="9300" xr:uid="{955A2E97-C871-4115-A4F5-A642AE2D2C4B}"/>
    <cellStyle name="Normal 4 6 3 3 4 2" xfId="18615" xr:uid="{7B38E4B7-CDB9-4002-80BB-071AFA9A309E}"/>
    <cellStyle name="Normal 4 6 3 3 4 3" xfId="27912" xr:uid="{D8F3CC6A-F672-426E-BE80-744526B6DCA4}"/>
    <cellStyle name="Normal 4 6 3 3 5" xfId="10295" xr:uid="{3D087555-F98B-4B97-BB74-F479E9DCCAAB}"/>
    <cellStyle name="Normal 4 6 3 3 6" xfId="19594" xr:uid="{96BB77FC-0F1D-44D2-9585-F73F986A8BA7}"/>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D118E01C-2E11-4D4E-AC41-7771351EBD4D}"/>
    <cellStyle name="Normal 4 6 3 4 2 2 3" xfId="26369" xr:uid="{888320AC-42EE-4DFC-9AB6-3D4AF57B7059}"/>
    <cellStyle name="Normal 4 6 3 4 2 3" xfId="12853" xr:uid="{F2702C1D-C22F-4EE2-8857-74A335AD3644}"/>
    <cellStyle name="Normal 4 6 3 4 2 4" xfId="22152" xr:uid="{DCEE4071-1EA5-466D-B20B-0554CEC6BF05}"/>
    <cellStyle name="Normal 4 6 3 4 3" xfId="5599" xr:uid="{00000000-0005-0000-0000-00006F160000}"/>
    <cellStyle name="Normal 4 6 3 4 3 2" xfId="14925" xr:uid="{83BCD9DF-3319-4CCA-A408-DAFF65849165}"/>
    <cellStyle name="Normal 4 6 3 4 3 3" xfId="24224" xr:uid="{2EE4ED51-8B20-4E11-8D66-478F5A41833B}"/>
    <cellStyle name="Normal 4 6 3 4 4" xfId="10708" xr:uid="{ABD6F700-7BDA-4EB3-AA53-F5DB2E305ADB}"/>
    <cellStyle name="Normal 4 6 3 4 5" xfId="20007" xr:uid="{C21AF29D-3969-4599-A83B-2594C23E412A}"/>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05CF2EB8-140E-416C-B083-3E016F774FAE}"/>
    <cellStyle name="Normal 4 6 3 5 2 2 3" xfId="26782" xr:uid="{59E7CA88-FD99-4693-BB0F-469C2A88C316}"/>
    <cellStyle name="Normal 4 6 3 5 2 3" xfId="13266" xr:uid="{5D21C5C8-C731-434E-87AF-860EE1098815}"/>
    <cellStyle name="Normal 4 6 3 5 2 4" xfId="22565" xr:uid="{FA7642EF-504F-4405-BCED-EC177F7B35E0}"/>
    <cellStyle name="Normal 4 6 3 5 3" xfId="6012" xr:uid="{00000000-0005-0000-0000-000073160000}"/>
    <cellStyle name="Normal 4 6 3 5 3 2" xfId="15338" xr:uid="{5A14CD66-FB56-4024-8B7F-A106DAE50589}"/>
    <cellStyle name="Normal 4 6 3 5 3 3" xfId="24637" xr:uid="{36AC6264-7FF8-42CA-8548-9A7D6DA54322}"/>
    <cellStyle name="Normal 4 6 3 5 4" xfId="11121" xr:uid="{807BBDDB-EF5B-4DC4-AB0B-2D1E80E4D17E}"/>
    <cellStyle name="Normal 4 6 3 5 5" xfId="20420" xr:uid="{9C1C4F49-89F7-45EC-9FE6-2AC4AFF74439}"/>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7D6B3AE3-EBC5-4ABF-886F-9850EB7F32DE}"/>
    <cellStyle name="Normal 4 6 3 6 2 2 3" xfId="27195" xr:uid="{A9538078-E088-42CF-A185-1EAF6B3D5A82}"/>
    <cellStyle name="Normal 4 6 3 6 2 3" xfId="13679" xr:uid="{DE35F3F3-8B82-43BB-8964-98700B7E8877}"/>
    <cellStyle name="Normal 4 6 3 6 2 4" xfId="22978" xr:uid="{CD095BEC-26A2-466E-AF54-8B935B48D7A9}"/>
    <cellStyle name="Normal 4 6 3 6 3" xfId="6425" xr:uid="{00000000-0005-0000-0000-000077160000}"/>
    <cellStyle name="Normal 4 6 3 6 3 2" xfId="15751" xr:uid="{4928F0B4-6B43-4639-B1E3-FB8126462454}"/>
    <cellStyle name="Normal 4 6 3 6 3 3" xfId="25050" xr:uid="{2B0EC99D-26E9-4F7B-B57F-30D3096167C6}"/>
    <cellStyle name="Normal 4 6 3 6 4" xfId="11534" xr:uid="{25E50C37-D85E-4791-9755-DC7D765510B9}"/>
    <cellStyle name="Normal 4 6 3 6 5" xfId="20833" xr:uid="{05C02F4D-6B1D-46E3-8AF5-7E40D69ADDB6}"/>
    <cellStyle name="Normal 4 6 3 7" xfId="2555" xr:uid="{00000000-0005-0000-0000-000078160000}"/>
    <cellStyle name="Normal 4 6 3 7 2" xfId="6838" xr:uid="{00000000-0005-0000-0000-000079160000}"/>
    <cellStyle name="Normal 4 6 3 7 2 2" xfId="16164" xr:uid="{4E04EB1E-7A57-4738-A094-134C6D453E2D}"/>
    <cellStyle name="Normal 4 6 3 7 2 3" xfId="25463" xr:uid="{3ED34AC2-15B9-49CE-BA0E-284C92D87E57}"/>
    <cellStyle name="Normal 4 6 3 7 3" xfId="11947" xr:uid="{6A21B35D-E4AA-402C-A9CA-B015830C58D1}"/>
    <cellStyle name="Normal 4 6 3 7 4" xfId="21246" xr:uid="{C62B515D-1F4A-44FD-A3FC-A2A31D22C91A}"/>
    <cellStyle name="Normal 4 6 3 8" xfId="4773" xr:uid="{00000000-0005-0000-0000-00007A160000}"/>
    <cellStyle name="Normal 4 6 3 8 2" xfId="14099" xr:uid="{C770A90C-7E4A-4916-AF03-7BF922F54CFA}"/>
    <cellStyle name="Normal 4 6 3 8 3" xfId="23398" xr:uid="{1B7A24DC-004B-479F-9A53-21731866772C}"/>
    <cellStyle name="Normal 4 6 3 9" xfId="8875" xr:uid="{DFD24C28-B729-444D-A0F6-B5522ED354D5}"/>
    <cellStyle name="Normal 4 6 3 9 2" xfId="18199" xr:uid="{C9922648-FA28-40A2-9D79-044BDFD29D5F}"/>
    <cellStyle name="Normal 4 6 3 9 3" xfId="27497" xr:uid="{5160CEEF-6B27-43A3-A2A3-90FEFEAFBEC1}"/>
    <cellStyle name="Normal 4 6 4" xfId="402" xr:uid="{00000000-0005-0000-0000-00007B160000}"/>
    <cellStyle name="Normal 4 6 4 10" xfId="19183" xr:uid="{5C662A16-DF18-463E-80CA-4CDFEBD8681F}"/>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09F94E90-6B2C-4768-A1E0-B553DA93D095}"/>
    <cellStyle name="Normal 4 6 4 2 2 2 3" xfId="25958" xr:uid="{572CE95C-7403-4C25-B2B3-690E33D86230}"/>
    <cellStyle name="Normal 4 6 4 2 2 3" xfId="12442" xr:uid="{EE6E1431-136F-4046-908D-42700E35A1CC}"/>
    <cellStyle name="Normal 4 6 4 2 2 4" xfId="21741" xr:uid="{57A0372B-F684-4756-9BBB-42FDD8D2FE87}"/>
    <cellStyle name="Normal 4 6 4 2 3" xfId="5188" xr:uid="{00000000-0005-0000-0000-00007F160000}"/>
    <cellStyle name="Normal 4 6 4 2 3 2" xfId="14514" xr:uid="{705C118C-FB0A-4898-9697-BE52CC98003E}"/>
    <cellStyle name="Normal 4 6 4 2 3 3" xfId="23813" xr:uid="{D462C680-D310-4AAE-B3C8-4E9A0ECA402C}"/>
    <cellStyle name="Normal 4 6 4 2 4" xfId="9404" xr:uid="{D1BAB6D6-35EF-4C34-91EA-2EB17352CDF9}"/>
    <cellStyle name="Normal 4 6 4 2 4 2" xfId="18719" xr:uid="{8A7E19ED-1151-49B5-879B-1C0B7ACA73B5}"/>
    <cellStyle name="Normal 4 6 4 2 4 3" xfId="28016" xr:uid="{95C03BD2-37B6-4963-AD2F-5CAD9F237106}"/>
    <cellStyle name="Normal 4 6 4 2 5" xfId="10297" xr:uid="{BACDA25A-9ABF-4D77-B151-12EEB36C3D0D}"/>
    <cellStyle name="Normal 4 6 4 2 6" xfId="19596" xr:uid="{56B65FE1-05C6-479D-AB4B-5F1526FAE17D}"/>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EE288A07-689A-4545-83F7-2BFC7BD4141C}"/>
    <cellStyle name="Normal 4 6 4 3 2 2 3" xfId="26371" xr:uid="{BA1BA36D-1BA6-473E-865A-CC348143EBE0}"/>
    <cellStyle name="Normal 4 6 4 3 2 3" xfId="12855" xr:uid="{92C2A391-DBDF-4505-9B1B-38A3367A1F8E}"/>
    <cellStyle name="Normal 4 6 4 3 2 4" xfId="22154" xr:uid="{59C84C48-0144-489F-9C8C-D8C69049197A}"/>
    <cellStyle name="Normal 4 6 4 3 3" xfId="5601" xr:uid="{00000000-0005-0000-0000-000083160000}"/>
    <cellStyle name="Normal 4 6 4 3 3 2" xfId="14927" xr:uid="{5890CF3A-9D69-4204-B034-8012D85EEC08}"/>
    <cellStyle name="Normal 4 6 4 3 3 3" xfId="24226" xr:uid="{682A07D5-6591-4E40-AE89-1537448D335C}"/>
    <cellStyle name="Normal 4 6 4 3 4" xfId="10710" xr:uid="{08D40C9E-3AD0-44E0-9B21-747CA1CFDF24}"/>
    <cellStyle name="Normal 4 6 4 3 5" xfId="20009" xr:uid="{87AD575D-7DFA-468D-8D7C-A279A15E372A}"/>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4E05D22F-E4AB-4AC3-9FB4-400A7E4259C0}"/>
    <cellStyle name="Normal 4 6 4 4 2 2 3" xfId="26784" xr:uid="{E3066603-DE7A-453E-BEE0-14CD653ECB0B}"/>
    <cellStyle name="Normal 4 6 4 4 2 3" xfId="13268" xr:uid="{F583558B-F145-4737-8EEF-C4E57DDCDC69}"/>
    <cellStyle name="Normal 4 6 4 4 2 4" xfId="22567" xr:uid="{CEBA1D81-48E1-47E5-8C4D-9BF5ED24527B}"/>
    <cellStyle name="Normal 4 6 4 4 3" xfId="6014" xr:uid="{00000000-0005-0000-0000-000087160000}"/>
    <cellStyle name="Normal 4 6 4 4 3 2" xfId="15340" xr:uid="{ACF66A19-8592-4203-B0DF-67150C5DB9D9}"/>
    <cellStyle name="Normal 4 6 4 4 3 3" xfId="24639" xr:uid="{FE8C6597-6E99-4198-8D7D-9EE72F7BF653}"/>
    <cellStyle name="Normal 4 6 4 4 4" xfId="11123" xr:uid="{267FA579-2F95-4A31-BE51-74C3DA1CB311}"/>
    <cellStyle name="Normal 4 6 4 4 5" xfId="20422" xr:uid="{72A74B3F-2824-4442-9656-4A55F8CFCBC1}"/>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ACC40C37-9DBF-4681-A6CA-4F4A771F8A2A}"/>
    <cellStyle name="Normal 4 6 4 5 2 2 3" xfId="27197" xr:uid="{BEF9173E-0AB1-4639-AAD9-B14CB6A92F4A}"/>
    <cellStyle name="Normal 4 6 4 5 2 3" xfId="13681" xr:uid="{7A3106CD-1B35-4764-89EF-79989D3097CC}"/>
    <cellStyle name="Normal 4 6 4 5 2 4" xfId="22980" xr:uid="{D58FAD59-75C4-4661-837D-8BA8D8D8F704}"/>
    <cellStyle name="Normal 4 6 4 5 3" xfId="6427" xr:uid="{00000000-0005-0000-0000-00008B160000}"/>
    <cellStyle name="Normal 4 6 4 5 3 2" xfId="15753" xr:uid="{7C6CAC3E-2837-4C5C-8471-E0BBA69D31E8}"/>
    <cellStyle name="Normal 4 6 4 5 3 3" xfId="25052" xr:uid="{89F55F04-4D9C-4818-8E95-503B5EE06D05}"/>
    <cellStyle name="Normal 4 6 4 5 4" xfId="11536" xr:uid="{5717A2DE-4974-40ED-9CC8-D81AF5FDDCF2}"/>
    <cellStyle name="Normal 4 6 4 5 5" xfId="20835" xr:uid="{5DEB4A74-E3C6-43D4-8B7A-FA555B979102}"/>
    <cellStyle name="Normal 4 6 4 6" xfId="2557" xr:uid="{00000000-0005-0000-0000-00008C160000}"/>
    <cellStyle name="Normal 4 6 4 6 2" xfId="6840" xr:uid="{00000000-0005-0000-0000-00008D160000}"/>
    <cellStyle name="Normal 4 6 4 6 2 2" xfId="16166" xr:uid="{7EA77398-24F5-41CC-9A5C-1DC63DB2ADC0}"/>
    <cellStyle name="Normal 4 6 4 6 2 3" xfId="25465" xr:uid="{49D31CB6-67C6-4A0C-BB54-F2C4954F864A}"/>
    <cellStyle name="Normal 4 6 4 6 3" xfId="11949" xr:uid="{776FE6AB-F56C-47C6-9F8E-73397A93048E}"/>
    <cellStyle name="Normal 4 6 4 6 4" xfId="21248" xr:uid="{EB3A4392-209B-4D64-9268-B46BAC070D7A}"/>
    <cellStyle name="Normal 4 6 4 7" xfId="4775" xr:uid="{00000000-0005-0000-0000-00008E160000}"/>
    <cellStyle name="Normal 4 6 4 7 2" xfId="14101" xr:uid="{D5EA3050-137E-4C36-969B-DB28708F1FC1}"/>
    <cellStyle name="Normal 4 6 4 7 3" xfId="23400" xr:uid="{8CE18664-DA5F-4F7D-92F2-655D43441FE5}"/>
    <cellStyle name="Normal 4 6 4 8" xfId="8979" xr:uid="{358D1440-F461-4509-8416-8F78F7D13FF4}"/>
    <cellStyle name="Normal 4 6 4 8 2" xfId="18303" xr:uid="{F53E48CE-ADE7-49F7-995F-1021A0BAEB48}"/>
    <cellStyle name="Normal 4 6 4 8 3" xfId="27601" xr:uid="{5E40168E-82E0-42F2-9FE6-48536822870B}"/>
    <cellStyle name="Normal 4 6 4 9" xfId="9884" xr:uid="{9E1D6C79-9985-48D4-A741-A03E9988760F}"/>
    <cellStyle name="Normal 4 6 5" xfId="869" xr:uid="{00000000-0005-0000-0000-00008F160000}"/>
    <cellStyle name="Normal 4 6 5 2" xfId="3104" xr:uid="{00000000-0005-0000-0000-000090160000}"/>
    <cellStyle name="Normal 4 6 5 2 2" xfId="7326" xr:uid="{00000000-0005-0000-0000-000091160000}"/>
    <cellStyle name="Normal 4 6 5 2 2 2" xfId="16652" xr:uid="{A9007CCD-A5F1-4899-A966-BA701F7ED002}"/>
    <cellStyle name="Normal 4 6 5 2 2 3" xfId="25951" xr:uid="{E56E58DF-8AA5-4E6E-A192-FF1818E434B7}"/>
    <cellStyle name="Normal 4 6 5 2 3" xfId="12435" xr:uid="{C1133E37-7D4E-48E0-8283-2B2C4FFCB175}"/>
    <cellStyle name="Normal 4 6 5 2 4" xfId="21734" xr:uid="{442CD12B-2E2F-47A6-9C47-26E1798DAA49}"/>
    <cellStyle name="Normal 4 6 5 3" xfId="5181" xr:uid="{00000000-0005-0000-0000-000092160000}"/>
    <cellStyle name="Normal 4 6 5 3 2" xfId="14507" xr:uid="{7A6D7F1F-E209-405C-B7ED-D18A7DD29FFA}"/>
    <cellStyle name="Normal 4 6 5 3 3" xfId="23806" xr:uid="{25FB2421-71F0-4520-AE84-24D16F4A6FB9}"/>
    <cellStyle name="Normal 4 6 5 4" xfId="9196" xr:uid="{8DF5D81E-BEC3-4373-A99C-2D9CDEEBBA3C}"/>
    <cellStyle name="Normal 4 6 5 4 2" xfId="18512" xr:uid="{7B52155D-5A65-484A-AF07-85B1BEE246FA}"/>
    <cellStyle name="Normal 4 6 5 4 3" xfId="27809" xr:uid="{06171F07-F066-4661-AD57-30E81C04B517}"/>
    <cellStyle name="Normal 4 6 5 5" xfId="10290" xr:uid="{4ECEE0C3-B16A-45CC-BED6-CA15AAA0B7DA}"/>
    <cellStyle name="Normal 4 6 5 6" xfId="19589" xr:uid="{DC77A78C-9EB0-4D91-B5D8-CA2488CA3F8A}"/>
    <cellStyle name="Normal 4 6 6" xfId="1287" xr:uid="{00000000-0005-0000-0000-000093160000}"/>
    <cellStyle name="Normal 4 6 6 2" xfId="3517" xr:uid="{00000000-0005-0000-0000-000094160000}"/>
    <cellStyle name="Normal 4 6 6 2 2" xfId="7739" xr:uid="{00000000-0005-0000-0000-000095160000}"/>
    <cellStyle name="Normal 4 6 6 2 2 2" xfId="17065" xr:uid="{E4EF0EAC-03ED-48FD-BAF9-50C42959C01D}"/>
    <cellStyle name="Normal 4 6 6 2 2 3" xfId="26364" xr:uid="{B17219FB-3361-411F-AD7B-CE8275FEC996}"/>
    <cellStyle name="Normal 4 6 6 2 3" xfId="12848" xr:uid="{414677BB-4352-4C48-A8A0-31E1E3B8DD01}"/>
    <cellStyle name="Normal 4 6 6 2 4" xfId="22147" xr:uid="{6BC7C6FC-D2DE-4C03-A0FB-3067023A9C96}"/>
    <cellStyle name="Normal 4 6 6 3" xfId="5594" xr:uid="{00000000-0005-0000-0000-000096160000}"/>
    <cellStyle name="Normal 4 6 6 3 2" xfId="14920" xr:uid="{96EEBB30-C467-4B87-A4B2-77B2F5A24B21}"/>
    <cellStyle name="Normal 4 6 6 3 3" xfId="24219" xr:uid="{B6DF2A1E-904C-44BA-AFEF-52A9130D2E1D}"/>
    <cellStyle name="Normal 4 6 6 4" xfId="10703" xr:uid="{20C554DC-D8E0-450D-8FFD-0865819BD059}"/>
    <cellStyle name="Normal 4 6 6 5" xfId="20002" xr:uid="{FA627E81-E7FC-490B-B9FA-074BE622BC27}"/>
    <cellStyle name="Normal 4 6 7" xfId="1700" xr:uid="{00000000-0005-0000-0000-000097160000}"/>
    <cellStyle name="Normal 4 6 7 2" xfId="3930" xr:uid="{00000000-0005-0000-0000-000098160000}"/>
    <cellStyle name="Normal 4 6 7 2 2" xfId="8152" xr:uid="{00000000-0005-0000-0000-000099160000}"/>
    <cellStyle name="Normal 4 6 7 2 2 2" xfId="17478" xr:uid="{7353977B-A91D-4CC7-BB8B-EDC93BF0E1BD}"/>
    <cellStyle name="Normal 4 6 7 2 2 3" xfId="26777" xr:uid="{1D16243E-0485-4917-8C65-E25D79613F15}"/>
    <cellStyle name="Normal 4 6 7 2 3" xfId="13261" xr:uid="{AF6435CB-6697-42E2-80DB-1D904B16A864}"/>
    <cellStyle name="Normal 4 6 7 2 4" xfId="22560" xr:uid="{434B16A7-CE89-45F4-A32B-9AD36821679E}"/>
    <cellStyle name="Normal 4 6 7 3" xfId="6007" xr:uid="{00000000-0005-0000-0000-00009A160000}"/>
    <cellStyle name="Normal 4 6 7 3 2" xfId="15333" xr:uid="{0D636585-4C88-4BED-AD96-726C56159A63}"/>
    <cellStyle name="Normal 4 6 7 3 3" xfId="24632" xr:uid="{5103D07C-DCAC-458A-B4C7-E570EF8A3ACD}"/>
    <cellStyle name="Normal 4 6 7 4" xfId="11116" xr:uid="{EEDA9B18-01AF-44B3-A173-303E5ED77C06}"/>
    <cellStyle name="Normal 4 6 7 5" xfId="20415" xr:uid="{ECBCCB0B-5FA4-4B67-9ACC-FF2BCE766EFA}"/>
    <cellStyle name="Normal 4 6 8" xfId="2114" xr:uid="{00000000-0005-0000-0000-00009B160000}"/>
    <cellStyle name="Normal 4 6 8 2" xfId="4343" xr:uid="{00000000-0005-0000-0000-00009C160000}"/>
    <cellStyle name="Normal 4 6 8 2 2" xfId="8565" xr:uid="{00000000-0005-0000-0000-00009D160000}"/>
    <cellStyle name="Normal 4 6 8 2 2 2" xfId="17891" xr:uid="{3AA6D932-46EF-45B0-A0B0-5EF79860DCD9}"/>
    <cellStyle name="Normal 4 6 8 2 2 3" xfId="27190" xr:uid="{DF5F5015-91E3-4347-A23A-05DA6B7DE44D}"/>
    <cellStyle name="Normal 4 6 8 2 3" xfId="13674" xr:uid="{4B01562D-C6D4-4209-AA67-557D99499085}"/>
    <cellStyle name="Normal 4 6 8 2 4" xfId="22973" xr:uid="{D0D0F92B-676C-4E29-8181-B8A753D7363F}"/>
    <cellStyle name="Normal 4 6 8 3" xfId="6420" xr:uid="{00000000-0005-0000-0000-00009E160000}"/>
    <cellStyle name="Normal 4 6 8 3 2" xfId="15746" xr:uid="{C8D65CAE-8976-4FD9-AF5C-42AE582AE37A}"/>
    <cellStyle name="Normal 4 6 8 3 3" xfId="25045" xr:uid="{ABD45BAA-D34D-4A1D-9ED3-0CB3E50A75E2}"/>
    <cellStyle name="Normal 4 6 8 4" xfId="11529" xr:uid="{04A5F469-B135-4DBC-B5BF-1C32AB0D26B1}"/>
    <cellStyle name="Normal 4 6 8 5" xfId="20828" xr:uid="{9D721B7A-4067-429E-8A55-1D5C1C606979}"/>
    <cellStyle name="Normal 4 6 9" xfId="2550" xr:uid="{00000000-0005-0000-0000-00009F160000}"/>
    <cellStyle name="Normal 4 6 9 2" xfId="6833" xr:uid="{00000000-0005-0000-0000-0000A0160000}"/>
    <cellStyle name="Normal 4 6 9 2 2" xfId="16159" xr:uid="{9E1E17B0-6781-4E2E-B6BF-5816BB6B77BD}"/>
    <cellStyle name="Normal 4 6 9 2 3" xfId="25458" xr:uid="{8ABB6617-C073-407E-8877-2037F0F63948}"/>
    <cellStyle name="Normal 4 6 9 3" xfId="11942" xr:uid="{0ED51A26-5020-442A-B06F-B1C497029087}"/>
    <cellStyle name="Normal 4 6 9 4" xfId="21241" xr:uid="{D51FF313-1AD5-45F8-B15A-0F9F793CBBD0}"/>
    <cellStyle name="Normal 4 7" xfId="403" xr:uid="{00000000-0005-0000-0000-0000A1160000}"/>
    <cellStyle name="Normal 4 7 10" xfId="9885" xr:uid="{C74C8C0B-A85E-4DF8-B2E1-AF1ACA6CF4A2}"/>
    <cellStyle name="Normal 4 7 11" xfId="19184" xr:uid="{923FE1D1-7C83-47A1-8448-0653F2968768}"/>
    <cellStyle name="Normal 4 7 2" xfId="404" xr:uid="{00000000-0005-0000-0000-0000A2160000}"/>
    <cellStyle name="Normal 4 7 2 10" xfId="19185" xr:uid="{339DBDE4-A82B-4BB2-BECD-D5881B551416}"/>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540063F2-D22F-44D7-85DB-48CA275ECD23}"/>
    <cellStyle name="Normal 4 7 2 2 2 2 3" xfId="25960" xr:uid="{FFF05468-31A3-4BFA-ACC8-61A0F6A0C973}"/>
    <cellStyle name="Normal 4 7 2 2 2 3" xfId="12444" xr:uid="{A0146381-0569-4DC1-ADCC-7AB28D54D14F}"/>
    <cellStyle name="Normal 4 7 2 2 2 4" xfId="21743" xr:uid="{7C92483A-2919-4C6B-A4DF-CC3DD499D7F3}"/>
    <cellStyle name="Normal 4 7 2 2 3" xfId="5190" xr:uid="{00000000-0005-0000-0000-0000A6160000}"/>
    <cellStyle name="Normal 4 7 2 2 3 2" xfId="14516" xr:uid="{820AAB07-75AE-496F-928A-EEA517D762FF}"/>
    <cellStyle name="Normal 4 7 2 2 3 3" xfId="23815" xr:uid="{74490E47-6B3C-4C61-9A8A-6E15A31AD759}"/>
    <cellStyle name="Normal 4 7 2 2 4" xfId="9475" xr:uid="{1E309EF6-7D7C-4A4D-B2F1-E00D0CF6E167}"/>
    <cellStyle name="Normal 4 7 2 2 4 2" xfId="18790" xr:uid="{5B8181DD-BB66-48E9-A47D-54E09F143317}"/>
    <cellStyle name="Normal 4 7 2 2 4 3" xfId="28087" xr:uid="{4E57909B-DC34-4523-98E8-A3A03A3AD20F}"/>
    <cellStyle name="Normal 4 7 2 2 5" xfId="10299" xr:uid="{025C1F69-EF07-4A98-93E9-D07070617050}"/>
    <cellStyle name="Normal 4 7 2 2 6" xfId="19598" xr:uid="{A3012EB0-EF8C-4BF8-AC45-D4C153EA4ACF}"/>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D0027199-0402-4F0F-87FB-0129CBF2DEC5}"/>
    <cellStyle name="Normal 4 7 2 3 2 2 3" xfId="26373" xr:uid="{1AC84D0D-2FF8-496B-8C99-2F7D52444B3B}"/>
    <cellStyle name="Normal 4 7 2 3 2 3" xfId="12857" xr:uid="{91BE0840-4CDF-4DDC-B31E-6FA913624F28}"/>
    <cellStyle name="Normal 4 7 2 3 2 4" xfId="22156" xr:uid="{C6DC47AD-2843-47C8-9C85-04371C0A0939}"/>
    <cellStyle name="Normal 4 7 2 3 3" xfId="5603" xr:uid="{00000000-0005-0000-0000-0000AA160000}"/>
    <cellStyle name="Normal 4 7 2 3 3 2" xfId="14929" xr:uid="{C72DB208-4342-4E92-97C2-907ED7988295}"/>
    <cellStyle name="Normal 4 7 2 3 3 3" xfId="24228" xr:uid="{E7EEF0CD-F870-48F6-BA21-4B9B378E37F5}"/>
    <cellStyle name="Normal 4 7 2 3 4" xfId="10712" xr:uid="{05B35D08-2920-47A0-8978-6B9902EC9BE0}"/>
    <cellStyle name="Normal 4 7 2 3 5" xfId="20011" xr:uid="{F92E3015-CC10-40EB-8F74-8D7BFBA2BB41}"/>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743FCC57-6BEF-4003-8BB6-4B13B83553FB}"/>
    <cellStyle name="Normal 4 7 2 4 2 2 3" xfId="26786" xr:uid="{FBEB2A56-C5FC-4472-B5EB-D723822380E6}"/>
    <cellStyle name="Normal 4 7 2 4 2 3" xfId="13270" xr:uid="{6042F0CB-D435-4668-BFEF-D7D8E3FF0D67}"/>
    <cellStyle name="Normal 4 7 2 4 2 4" xfId="22569" xr:uid="{C96E2836-4086-4999-86B7-7476224A2B86}"/>
    <cellStyle name="Normal 4 7 2 4 3" xfId="6016" xr:uid="{00000000-0005-0000-0000-0000AE160000}"/>
    <cellStyle name="Normal 4 7 2 4 3 2" xfId="15342" xr:uid="{4752A158-445D-48F4-88AE-1960E843C9D7}"/>
    <cellStyle name="Normal 4 7 2 4 3 3" xfId="24641" xr:uid="{D140C289-D3EE-4248-9CAF-47F7976DC323}"/>
    <cellStyle name="Normal 4 7 2 4 4" xfId="11125" xr:uid="{E21A9475-A658-446B-A75F-41487912B8E9}"/>
    <cellStyle name="Normal 4 7 2 4 5" xfId="20424" xr:uid="{6D757694-A16D-467A-9B73-B49273C2332B}"/>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0816BF8F-9036-424F-A92A-B59CC36AB3A8}"/>
    <cellStyle name="Normal 4 7 2 5 2 2 3" xfId="27199" xr:uid="{6E78D5C5-BDCA-4B6D-88A6-B8DD69400440}"/>
    <cellStyle name="Normal 4 7 2 5 2 3" xfId="13683" xr:uid="{9F24DDDA-6F10-4127-986D-32FF065453A2}"/>
    <cellStyle name="Normal 4 7 2 5 2 4" xfId="22982" xr:uid="{B7CE415D-1ECE-4C65-9388-0B8B24451ACD}"/>
    <cellStyle name="Normal 4 7 2 5 3" xfId="6429" xr:uid="{00000000-0005-0000-0000-0000B2160000}"/>
    <cellStyle name="Normal 4 7 2 5 3 2" xfId="15755" xr:uid="{A578E8FE-33B3-4E47-B53A-70083A4E1915}"/>
    <cellStyle name="Normal 4 7 2 5 3 3" xfId="25054" xr:uid="{2510901B-271F-4325-9014-032C7B7237B6}"/>
    <cellStyle name="Normal 4 7 2 5 4" xfId="11538" xr:uid="{1D7DAC1A-9FB8-404D-B264-AC9FADBBB070}"/>
    <cellStyle name="Normal 4 7 2 5 5" xfId="20837" xr:uid="{A9464FE2-CBDE-47A2-B277-B840C5AD886B}"/>
    <cellStyle name="Normal 4 7 2 6" xfId="2559" xr:uid="{00000000-0005-0000-0000-0000B3160000}"/>
    <cellStyle name="Normal 4 7 2 6 2" xfId="6842" xr:uid="{00000000-0005-0000-0000-0000B4160000}"/>
    <cellStyle name="Normal 4 7 2 6 2 2" xfId="16168" xr:uid="{5A798320-7DB3-47AB-9978-030FE43E00C5}"/>
    <cellStyle name="Normal 4 7 2 6 2 3" xfId="25467" xr:uid="{508B6376-4EE9-4C41-A286-AB50C0D5E0C6}"/>
    <cellStyle name="Normal 4 7 2 6 3" xfId="11951" xr:uid="{A5BAFD1F-0FE4-4D9E-BCC4-C8B23E58F44C}"/>
    <cellStyle name="Normal 4 7 2 6 4" xfId="21250" xr:uid="{98E55A2D-FF51-424B-A456-B3108287D268}"/>
    <cellStyle name="Normal 4 7 2 7" xfId="4777" xr:uid="{00000000-0005-0000-0000-0000B5160000}"/>
    <cellStyle name="Normal 4 7 2 7 2" xfId="14103" xr:uid="{28CC8F89-9611-404D-88B4-770A84FD6027}"/>
    <cellStyle name="Normal 4 7 2 7 3" xfId="23402" xr:uid="{D7DCCF50-B5CF-4C54-A27A-6908B6403A27}"/>
    <cellStyle name="Normal 4 7 2 8" xfId="9050" xr:uid="{C18A0BCD-6C40-47C4-AC72-E06914F008F6}"/>
    <cellStyle name="Normal 4 7 2 8 2" xfId="18374" xr:uid="{AD1B0776-2D71-4C79-8402-3890D8D52D89}"/>
    <cellStyle name="Normal 4 7 2 8 3" xfId="27672" xr:uid="{7002B339-4EDC-4C9D-A00F-92BA68976EBA}"/>
    <cellStyle name="Normal 4 7 2 9" xfId="9886" xr:uid="{FF76210B-F19E-484D-9A12-D42C77B07977}"/>
    <cellStyle name="Normal 4 7 3" xfId="877" xr:uid="{00000000-0005-0000-0000-0000B6160000}"/>
    <cellStyle name="Normal 4 7 3 2" xfId="3112" xr:uid="{00000000-0005-0000-0000-0000B7160000}"/>
    <cellStyle name="Normal 4 7 3 2 2" xfId="7334" xr:uid="{00000000-0005-0000-0000-0000B8160000}"/>
    <cellStyle name="Normal 4 7 3 2 2 2" xfId="16660" xr:uid="{4D155243-C2C0-497D-81D4-9C26333F2E97}"/>
    <cellStyle name="Normal 4 7 3 2 2 3" xfId="25959" xr:uid="{4C3DD8A6-2B54-4C86-97EF-6274468C87AB}"/>
    <cellStyle name="Normal 4 7 3 2 3" xfId="12443" xr:uid="{722CFB2E-21AB-4D9D-8458-E20F3AD0943F}"/>
    <cellStyle name="Normal 4 7 3 2 4" xfId="21742" xr:uid="{B9273BF0-A20A-4F5B-B2D5-9ED95FA60C7B}"/>
    <cellStyle name="Normal 4 7 3 3" xfId="5189" xr:uid="{00000000-0005-0000-0000-0000B9160000}"/>
    <cellStyle name="Normal 4 7 3 3 2" xfId="14515" xr:uid="{D32DD8FE-8644-4EDA-97B9-159F0D122B5D}"/>
    <cellStyle name="Normal 4 7 3 3 3" xfId="23814" xr:uid="{64E7F3BF-8E39-49AB-BBEA-ED9FB36F6A12}"/>
    <cellStyle name="Normal 4 7 3 4" xfId="9268" xr:uid="{83DA99B2-5D77-4110-AEB9-304D3ECEF3EB}"/>
    <cellStyle name="Normal 4 7 3 4 2" xfId="18583" xr:uid="{3CB8E8A6-2048-4684-9365-14F5A3926698}"/>
    <cellStyle name="Normal 4 7 3 4 3" xfId="27880" xr:uid="{C21D49DD-DD95-495A-AD2A-51681477DA48}"/>
    <cellStyle name="Normal 4 7 3 5" xfId="10298" xr:uid="{E83DD4B3-01B4-45B5-B7AC-B474502931D3}"/>
    <cellStyle name="Normal 4 7 3 6" xfId="19597" xr:uid="{3223C02B-954F-4FB6-9A87-7822374BCA85}"/>
    <cellStyle name="Normal 4 7 4" xfId="1295" xr:uid="{00000000-0005-0000-0000-0000BA160000}"/>
    <cellStyle name="Normal 4 7 4 2" xfId="3525" xr:uid="{00000000-0005-0000-0000-0000BB160000}"/>
    <cellStyle name="Normal 4 7 4 2 2" xfId="7747" xr:uid="{00000000-0005-0000-0000-0000BC160000}"/>
    <cellStyle name="Normal 4 7 4 2 2 2" xfId="17073" xr:uid="{7735CA7B-88BA-4045-BEBF-D132FA45F642}"/>
    <cellStyle name="Normal 4 7 4 2 2 3" xfId="26372" xr:uid="{2EBEF9BF-81DC-4A97-BFCC-B35EA8845D25}"/>
    <cellStyle name="Normal 4 7 4 2 3" xfId="12856" xr:uid="{2407F86D-0532-48F7-8645-2EDE3F32285E}"/>
    <cellStyle name="Normal 4 7 4 2 4" xfId="22155" xr:uid="{7DCE95B8-0316-466E-8672-87A6C150FF12}"/>
    <cellStyle name="Normal 4 7 4 3" xfId="5602" xr:uid="{00000000-0005-0000-0000-0000BD160000}"/>
    <cellStyle name="Normal 4 7 4 3 2" xfId="14928" xr:uid="{56293520-4483-410F-B8BD-5EB7C7525FC9}"/>
    <cellStyle name="Normal 4 7 4 3 3" xfId="24227" xr:uid="{6FAAF88A-B0F5-49B9-BBEE-6DDF2F2F3691}"/>
    <cellStyle name="Normal 4 7 4 4" xfId="10711" xr:uid="{4E761342-32C5-472A-AB3B-E61C9A400573}"/>
    <cellStyle name="Normal 4 7 4 5" xfId="20010" xr:uid="{FDD499E3-F861-4AFF-BF0F-FD6E2AB23187}"/>
    <cellStyle name="Normal 4 7 5" xfId="1708" xr:uid="{00000000-0005-0000-0000-0000BE160000}"/>
    <cellStyle name="Normal 4 7 5 2" xfId="3938" xr:uid="{00000000-0005-0000-0000-0000BF160000}"/>
    <cellStyle name="Normal 4 7 5 2 2" xfId="8160" xr:uid="{00000000-0005-0000-0000-0000C0160000}"/>
    <cellStyle name="Normal 4 7 5 2 2 2" xfId="17486" xr:uid="{E1EE4787-F69C-460D-96DD-2F0C6F96C546}"/>
    <cellStyle name="Normal 4 7 5 2 2 3" xfId="26785" xr:uid="{7FBD311D-321F-4475-B908-1E67CA54C375}"/>
    <cellStyle name="Normal 4 7 5 2 3" xfId="13269" xr:uid="{23A63DB3-6B59-4227-BB23-857FB860AC6E}"/>
    <cellStyle name="Normal 4 7 5 2 4" xfId="22568" xr:uid="{E953BC51-2E11-4EE7-AFF1-1F25150D3960}"/>
    <cellStyle name="Normal 4 7 5 3" xfId="6015" xr:uid="{00000000-0005-0000-0000-0000C1160000}"/>
    <cellStyle name="Normal 4 7 5 3 2" xfId="15341" xr:uid="{F5F6C28A-C33A-43C9-AEB7-17B7A3964CAE}"/>
    <cellStyle name="Normal 4 7 5 3 3" xfId="24640" xr:uid="{2D1A89ED-9C61-42F8-9AD3-FDB1DE061761}"/>
    <cellStyle name="Normal 4 7 5 4" xfId="11124" xr:uid="{85E946DC-A4AA-4FF0-AD4A-8CDAA1C18DAA}"/>
    <cellStyle name="Normal 4 7 5 5" xfId="20423" xr:uid="{3BB1C4A2-C8FF-42D9-B8AB-119D9225C8AF}"/>
    <cellStyle name="Normal 4 7 6" xfId="2122" xr:uid="{00000000-0005-0000-0000-0000C2160000}"/>
    <cellStyle name="Normal 4 7 6 2" xfId="4351" xr:uid="{00000000-0005-0000-0000-0000C3160000}"/>
    <cellStyle name="Normal 4 7 6 2 2" xfId="8573" xr:uid="{00000000-0005-0000-0000-0000C4160000}"/>
    <cellStyle name="Normal 4 7 6 2 2 2" xfId="17899" xr:uid="{25EF6168-6265-49A5-90E3-4C58C7163EA8}"/>
    <cellStyle name="Normal 4 7 6 2 2 3" xfId="27198" xr:uid="{DA46FEA3-3333-42CB-8694-84AC4909E7AC}"/>
    <cellStyle name="Normal 4 7 6 2 3" xfId="13682" xr:uid="{2F7F1E3A-9B1B-4064-A939-D50528239637}"/>
    <cellStyle name="Normal 4 7 6 2 4" xfId="22981" xr:uid="{64A9FE07-EDA3-4ECE-8A5F-DF6F324D1E3A}"/>
    <cellStyle name="Normal 4 7 6 3" xfId="6428" xr:uid="{00000000-0005-0000-0000-0000C5160000}"/>
    <cellStyle name="Normal 4 7 6 3 2" xfId="15754" xr:uid="{F49CE259-26CC-4A79-AD6B-8C1355FF62F6}"/>
    <cellStyle name="Normal 4 7 6 3 3" xfId="25053" xr:uid="{2FEA40F8-710D-4F67-A530-385FF8496116}"/>
    <cellStyle name="Normal 4 7 6 4" xfId="11537" xr:uid="{6F0CF3F9-19BA-4CA2-BE0F-6C21EF0A01C0}"/>
    <cellStyle name="Normal 4 7 6 5" xfId="20836" xr:uid="{A0137FA0-AA18-44D5-9611-206A32C4584C}"/>
    <cellStyle name="Normal 4 7 7" xfId="2558" xr:uid="{00000000-0005-0000-0000-0000C6160000}"/>
    <cellStyle name="Normal 4 7 7 2" xfId="6841" xr:uid="{00000000-0005-0000-0000-0000C7160000}"/>
    <cellStyle name="Normal 4 7 7 2 2" xfId="16167" xr:uid="{3D5AE198-1C9B-41CF-BD65-81D47786D56D}"/>
    <cellStyle name="Normal 4 7 7 2 3" xfId="25466" xr:uid="{62BC394B-119B-4740-B256-C41DAD3D2BE8}"/>
    <cellStyle name="Normal 4 7 7 3" xfId="11950" xr:uid="{66FCFB02-A662-4C1F-9006-E91FD6E19B28}"/>
    <cellStyle name="Normal 4 7 7 4" xfId="21249" xr:uid="{1BA3B8B3-D592-41D4-846D-5178F75D9B3E}"/>
    <cellStyle name="Normal 4 7 8" xfId="4776" xr:uid="{00000000-0005-0000-0000-0000C8160000}"/>
    <cellStyle name="Normal 4 7 8 2" xfId="14102" xr:uid="{3D08ECA6-CE19-4BF6-AD5D-327DADCCBCC8}"/>
    <cellStyle name="Normal 4 7 8 3" xfId="23401" xr:uid="{E48B4464-552A-4CEE-9C20-D02CAC5F0BD9}"/>
    <cellStyle name="Normal 4 7 9" xfId="8843" xr:uid="{092972D9-0015-4C5A-94A6-5AFD2026266B}"/>
    <cellStyle name="Normal 4 7 9 2" xfId="18167" xr:uid="{4935EAFF-7609-4D6E-9E09-32EB76ACE791}"/>
    <cellStyle name="Normal 4 7 9 3" xfId="27465" xr:uid="{3274B6CB-3260-4C34-AEAC-DA108FF6BCF5}"/>
    <cellStyle name="Normal 4 8" xfId="405" xr:uid="{00000000-0005-0000-0000-0000C9160000}"/>
    <cellStyle name="Normal 4 8 10" xfId="19186" xr:uid="{D9C7CB58-07C8-480F-A4D2-388486F58D56}"/>
    <cellStyle name="Normal 4 8 2" xfId="879" xr:uid="{00000000-0005-0000-0000-0000CA160000}"/>
    <cellStyle name="Normal 4 8 2 2" xfId="3114" xr:uid="{00000000-0005-0000-0000-0000CB160000}"/>
    <cellStyle name="Normal 4 8 2 2 2" xfId="7336" xr:uid="{00000000-0005-0000-0000-0000CC160000}"/>
    <cellStyle name="Normal 4 8 2 2 2 2" xfId="16662" xr:uid="{6A9D7D67-F8BF-420E-B593-CE598A60E315}"/>
    <cellStyle name="Normal 4 8 2 2 2 3" xfId="25961" xr:uid="{F831A845-09AC-4B70-B36A-8B418DA69386}"/>
    <cellStyle name="Normal 4 8 2 2 3" xfId="12445" xr:uid="{F482DC5E-F4E7-4D89-AD61-05F22C89F4C2}"/>
    <cellStyle name="Normal 4 8 2 2 4" xfId="21744" xr:uid="{E036EA0D-608A-4AF6-861C-EE5F2C7CF722}"/>
    <cellStyle name="Normal 4 8 2 3" xfId="5191" xr:uid="{00000000-0005-0000-0000-0000CD160000}"/>
    <cellStyle name="Normal 4 8 2 3 2" xfId="14517" xr:uid="{54F7561A-BD09-4E40-A2B6-780171845D38}"/>
    <cellStyle name="Normal 4 8 2 3 3" xfId="23816" xr:uid="{A287E178-74D6-411A-BB82-1313628123BC}"/>
    <cellStyle name="Normal 4 8 2 4" xfId="9384" xr:uid="{6351F1DA-E485-4044-8429-C0AE76E79EEE}"/>
    <cellStyle name="Normal 4 8 2 4 2" xfId="18699" xr:uid="{DF04F964-4562-47B8-B69F-759B789239B3}"/>
    <cellStyle name="Normal 4 8 2 4 3" xfId="27996" xr:uid="{F29AFC87-97BB-4278-9FAC-AB508509BAE9}"/>
    <cellStyle name="Normal 4 8 2 5" xfId="10300" xr:uid="{6F51F93A-9AB0-420A-873D-E4CF2FBFF92C}"/>
    <cellStyle name="Normal 4 8 2 6" xfId="19599" xr:uid="{3F2E158B-420A-4A32-A3F4-A2EBA2A2E876}"/>
    <cellStyle name="Normal 4 8 3" xfId="1297" xr:uid="{00000000-0005-0000-0000-0000CE160000}"/>
    <cellStyle name="Normal 4 8 3 2" xfId="3527" xr:uid="{00000000-0005-0000-0000-0000CF160000}"/>
    <cellStyle name="Normal 4 8 3 2 2" xfId="7749" xr:uid="{00000000-0005-0000-0000-0000D0160000}"/>
    <cellStyle name="Normal 4 8 3 2 2 2" xfId="17075" xr:uid="{EDE9C0D3-9EC6-4617-B379-F39B786A7AA6}"/>
    <cellStyle name="Normal 4 8 3 2 2 3" xfId="26374" xr:uid="{DC17737B-BFB4-4392-952D-22DCFE893385}"/>
    <cellStyle name="Normal 4 8 3 2 3" xfId="12858" xr:uid="{FC9CDC54-712D-488E-9A0D-B6778C7F7406}"/>
    <cellStyle name="Normal 4 8 3 2 4" xfId="22157" xr:uid="{B05CF415-FB74-4EA6-B5A2-E5AEAC0D7AF1}"/>
    <cellStyle name="Normal 4 8 3 3" xfId="5604" xr:uid="{00000000-0005-0000-0000-0000D1160000}"/>
    <cellStyle name="Normal 4 8 3 3 2" xfId="14930" xr:uid="{8568F517-44D1-4DFF-9593-8510E2817D3B}"/>
    <cellStyle name="Normal 4 8 3 3 3" xfId="24229" xr:uid="{275AD100-C559-4B6C-AE3B-6CCC0E7A4019}"/>
    <cellStyle name="Normal 4 8 3 4" xfId="10713" xr:uid="{D0E20EDF-983A-41DA-B45C-70F3F6E29637}"/>
    <cellStyle name="Normal 4 8 3 5" xfId="20012" xr:uid="{2BBED295-EE2C-4CB1-833E-40AB4A8016E8}"/>
    <cellStyle name="Normal 4 8 4" xfId="1710" xr:uid="{00000000-0005-0000-0000-0000D2160000}"/>
    <cellStyle name="Normal 4 8 4 2" xfId="3940" xr:uid="{00000000-0005-0000-0000-0000D3160000}"/>
    <cellStyle name="Normal 4 8 4 2 2" xfId="8162" xr:uid="{00000000-0005-0000-0000-0000D4160000}"/>
    <cellStyle name="Normal 4 8 4 2 2 2" xfId="17488" xr:uid="{FDDD7AE6-BA42-4A19-A333-E62627298DE0}"/>
    <cellStyle name="Normal 4 8 4 2 2 3" xfId="26787" xr:uid="{BC64E581-CCBB-4BEF-8106-00613E6BF397}"/>
    <cellStyle name="Normal 4 8 4 2 3" xfId="13271" xr:uid="{28CE1413-3501-4AA8-8C5B-87554517D829}"/>
    <cellStyle name="Normal 4 8 4 2 4" xfId="22570" xr:uid="{3CAAA698-B636-4441-AE51-4ED8E06AE76E}"/>
    <cellStyle name="Normal 4 8 4 3" xfId="6017" xr:uid="{00000000-0005-0000-0000-0000D5160000}"/>
    <cellStyle name="Normal 4 8 4 3 2" xfId="15343" xr:uid="{531D8466-631C-454A-BCD7-B147D7B26955}"/>
    <cellStyle name="Normal 4 8 4 3 3" xfId="24642" xr:uid="{5C017C33-9DFA-413F-B68F-38F2E9DEAEB2}"/>
    <cellStyle name="Normal 4 8 4 4" xfId="11126" xr:uid="{EFD8C0C2-D9EA-4B9D-9A21-333BB67E8FB8}"/>
    <cellStyle name="Normal 4 8 4 5" xfId="20425" xr:uid="{6A192AF4-16F6-4ECB-A735-3F117B1F21AB}"/>
    <cellStyle name="Normal 4 8 5" xfId="2124" xr:uid="{00000000-0005-0000-0000-0000D6160000}"/>
    <cellStyle name="Normal 4 8 5 2" xfId="4353" xr:uid="{00000000-0005-0000-0000-0000D7160000}"/>
    <cellStyle name="Normal 4 8 5 2 2" xfId="8575" xr:uid="{00000000-0005-0000-0000-0000D8160000}"/>
    <cellStyle name="Normal 4 8 5 2 2 2" xfId="17901" xr:uid="{F221D008-A389-4F66-B4E7-F232A7D6A483}"/>
    <cellStyle name="Normal 4 8 5 2 2 3" xfId="27200" xr:uid="{6E24C009-066E-469A-8FE7-D68ED5A3E75F}"/>
    <cellStyle name="Normal 4 8 5 2 3" xfId="13684" xr:uid="{2CE12A3C-DB9C-487B-B38A-338CD186939A}"/>
    <cellStyle name="Normal 4 8 5 2 4" xfId="22983" xr:uid="{8C750C2D-2C27-4E39-BB00-B01069D8FB51}"/>
    <cellStyle name="Normal 4 8 5 3" xfId="6430" xr:uid="{00000000-0005-0000-0000-0000D9160000}"/>
    <cellStyle name="Normal 4 8 5 3 2" xfId="15756" xr:uid="{3B52EF7A-0EED-44E8-89BD-35CD3C98E9C0}"/>
    <cellStyle name="Normal 4 8 5 3 3" xfId="25055" xr:uid="{81B10B3A-FB73-46EA-8759-74E601041673}"/>
    <cellStyle name="Normal 4 8 5 4" xfId="11539" xr:uid="{398794D9-1A35-43FE-AB26-C0E912F9A7D2}"/>
    <cellStyle name="Normal 4 8 5 5" xfId="20838" xr:uid="{145730AC-A408-42CA-96A1-B25DB419C127}"/>
    <cellStyle name="Normal 4 8 6" xfId="2560" xr:uid="{00000000-0005-0000-0000-0000DA160000}"/>
    <cellStyle name="Normal 4 8 6 2" xfId="6843" xr:uid="{00000000-0005-0000-0000-0000DB160000}"/>
    <cellStyle name="Normal 4 8 6 2 2" xfId="16169" xr:uid="{D7E0D61A-9BCA-47E3-A055-AE836BEEBD36}"/>
    <cellStyle name="Normal 4 8 6 2 3" xfId="25468" xr:uid="{CF7D4419-5D21-4A49-8241-88D2CCC544A6}"/>
    <cellStyle name="Normal 4 8 6 3" xfId="11952" xr:uid="{C5DC7057-F883-44DD-8007-517651EE5B7C}"/>
    <cellStyle name="Normal 4 8 6 4" xfId="21251" xr:uid="{6A64A45B-9D14-491B-A5B4-7D94EFF2C766}"/>
    <cellStyle name="Normal 4 8 7" xfId="4778" xr:uid="{00000000-0005-0000-0000-0000DC160000}"/>
    <cellStyle name="Normal 4 8 7 2" xfId="14104" xr:uid="{F19C92CE-EF07-47B1-883B-BB5319D6C012}"/>
    <cellStyle name="Normal 4 8 7 3" xfId="23403" xr:uid="{AAA5BBAE-A927-4BB2-BA1E-1181A644AB0A}"/>
    <cellStyle name="Normal 4 8 8" xfId="8959" xr:uid="{E3216EF3-66EB-48FF-967C-A258B3C3F4FF}"/>
    <cellStyle name="Normal 4 8 8 2" xfId="18283" xr:uid="{6B48243C-F6EA-4304-934F-9E9EFDECD0D5}"/>
    <cellStyle name="Normal 4 8 8 3" xfId="27581" xr:uid="{925149B4-6DE3-4C6A-82A2-8B1FFD6F55C8}"/>
    <cellStyle name="Normal 4 8 9" xfId="9887" xr:uid="{8BC69236-6682-4B18-B4B5-D14579C2D6A3}"/>
    <cellStyle name="Normal 4 9" xfId="4715" xr:uid="{00000000-0005-0000-0000-0000DD160000}"/>
    <cellStyle name="Normal 4 9 2" xfId="9162" xr:uid="{BC355FAB-4557-4712-A03F-EB5522B29E6A}"/>
    <cellStyle name="Normal 4 9 2 2" xfId="18480" xr:uid="{1FB87DF8-A386-48D9-AF0F-95638C87D8E7}"/>
    <cellStyle name="Normal 4 9 2 3" xfId="27777" xr:uid="{2CCE8A93-5990-454A-90AA-EF41A7197B57}"/>
    <cellStyle name="Normal 4 9 3" xfId="14041" xr:uid="{4043464D-3E7D-45CE-8F18-C01D6F6B83F3}"/>
    <cellStyle name="Normal 4 9 4" xfId="23340" xr:uid="{852A7799-15EB-4684-92D8-6E9F7ADC51C9}"/>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EF7C064F-4FE7-409C-BD1A-07B54D70F75F}"/>
    <cellStyle name="Normal 5 10 2 2 3" xfId="26788" xr:uid="{C68EF242-6F90-49CD-A53C-20758733436C}"/>
    <cellStyle name="Normal 5 10 2 3" xfId="13272" xr:uid="{0F771BD9-EB15-4B47-A85E-0989C1B47013}"/>
    <cellStyle name="Normal 5 10 2 4" xfId="22571" xr:uid="{DAE08A70-5330-4F84-8D2C-43EEEC07B3F4}"/>
    <cellStyle name="Normal 5 10 3" xfId="6018" xr:uid="{00000000-0005-0000-0000-0000E2160000}"/>
    <cellStyle name="Normal 5 10 3 2" xfId="15344" xr:uid="{AE5DC891-922B-4290-AC43-C2FE1D0388ED}"/>
    <cellStyle name="Normal 5 10 3 3" xfId="24643" xr:uid="{AB43C09E-BAA9-4F45-89C8-A1742C12C9DC}"/>
    <cellStyle name="Normal 5 10 4" xfId="11127" xr:uid="{46AC85A9-62B8-4F6B-944E-91B04EE6C698}"/>
    <cellStyle name="Normal 5 10 5" xfId="20426" xr:uid="{B17CA186-E32D-4DED-881B-4BA4469CEAEE}"/>
    <cellStyle name="Normal 5 11" xfId="2125" xr:uid="{00000000-0005-0000-0000-0000E3160000}"/>
    <cellStyle name="Normal 5 11 2" xfId="4354" xr:uid="{00000000-0005-0000-0000-0000E4160000}"/>
    <cellStyle name="Normal 5 11 2 2" xfId="8576" xr:uid="{00000000-0005-0000-0000-0000E5160000}"/>
    <cellStyle name="Normal 5 11 2 2 2" xfId="17902" xr:uid="{56F98075-8408-4CF5-85F1-DFFC5744CACC}"/>
    <cellStyle name="Normal 5 11 2 2 3" xfId="27201" xr:uid="{B1629732-E61B-4C60-A1A1-86004AE56B6E}"/>
    <cellStyle name="Normal 5 11 2 3" xfId="13685" xr:uid="{EA2C7CC8-0D2C-4C38-9FB9-EC0D5252E42B}"/>
    <cellStyle name="Normal 5 11 2 4" xfId="22984" xr:uid="{04E1504C-0F3D-438C-B2D7-A61CC2BF8143}"/>
    <cellStyle name="Normal 5 11 3" xfId="6431" xr:uid="{00000000-0005-0000-0000-0000E6160000}"/>
    <cellStyle name="Normal 5 11 3 2" xfId="15757" xr:uid="{0845DBBD-E8E9-404F-BA0C-EFBC37A2DD0C}"/>
    <cellStyle name="Normal 5 11 3 3" xfId="25056" xr:uid="{AAA6F146-0BB3-4138-8C57-06DEFDBEBE4F}"/>
    <cellStyle name="Normal 5 11 4" xfId="11540" xr:uid="{EC6C1CFD-8B1E-41F5-A169-D76CCD550154}"/>
    <cellStyle name="Normal 5 11 5" xfId="20839" xr:uid="{8264E8D4-168C-4965-8037-3C377C83266D}"/>
    <cellStyle name="Normal 5 12" xfId="2561" xr:uid="{00000000-0005-0000-0000-0000E7160000}"/>
    <cellStyle name="Normal 5 12 2" xfId="6844" xr:uid="{00000000-0005-0000-0000-0000E8160000}"/>
    <cellStyle name="Normal 5 12 2 2" xfId="16170" xr:uid="{FFC64613-64CC-4C5A-99F7-3D13B80910C6}"/>
    <cellStyle name="Normal 5 12 2 3" xfId="25469" xr:uid="{6B388C8A-ED37-4C8D-A9BE-FE7D37508FFA}"/>
    <cellStyle name="Normal 5 12 3" xfId="11953" xr:uid="{DC46368C-C1AC-4BF0-8D11-5B3E5435942D}"/>
    <cellStyle name="Normal 5 12 4" xfId="21252" xr:uid="{45A5B25F-BA9F-4373-9A8D-0264A4DCC566}"/>
    <cellStyle name="Normal 5 13" xfId="4779" xr:uid="{00000000-0005-0000-0000-0000E9160000}"/>
    <cellStyle name="Normal 5 13 2" xfId="14105" xr:uid="{43C09BF3-E6FE-4DBF-B2AE-D2F748BCB887}"/>
    <cellStyle name="Normal 5 13 3" xfId="23404" xr:uid="{AC508CBF-A89F-4E77-94CE-4DA23D21E869}"/>
    <cellStyle name="Normal 5 14" xfId="8741" xr:uid="{6467398C-BC57-47BF-AF01-9B3356F8431F}"/>
    <cellStyle name="Normal 5 14 2" xfId="18065" xr:uid="{5C9694E9-F1F9-40F3-9CA4-9EAC114CA1A7}"/>
    <cellStyle name="Normal 5 14 3" xfId="27363" xr:uid="{7C246476-738A-4121-BD9D-1F7F04481B56}"/>
    <cellStyle name="Normal 5 15" xfId="9888" xr:uid="{5BDDBF7C-C977-4945-B891-63964A38C8DD}"/>
    <cellStyle name="Normal 5 16" xfId="19187" xr:uid="{2497E0A7-670B-4011-A339-8BB170501EFE}"/>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74B93429-7DDF-406B-89C9-BEB6D16921BD}"/>
    <cellStyle name="Normal 5 2 10 2 2 3" xfId="27202" xr:uid="{49BB8C81-7F5B-4BF9-A21B-D516054F1CE6}"/>
    <cellStyle name="Normal 5 2 10 2 3" xfId="13686" xr:uid="{1CA5CCE4-8B25-4091-B8C6-778AAD6DE28C}"/>
    <cellStyle name="Normal 5 2 10 2 4" xfId="22985" xr:uid="{CDDF57E4-A524-429D-9A27-71D6876DC4DC}"/>
    <cellStyle name="Normal 5 2 10 3" xfId="6432" xr:uid="{00000000-0005-0000-0000-0000EE160000}"/>
    <cellStyle name="Normal 5 2 10 3 2" xfId="15758" xr:uid="{9A8C12A4-5379-4893-A846-9B5796D01876}"/>
    <cellStyle name="Normal 5 2 10 3 3" xfId="25057" xr:uid="{F7D40507-E4DC-4669-BE06-ABF422A4D7CE}"/>
    <cellStyle name="Normal 5 2 10 4" xfId="11541" xr:uid="{2E98E444-BFA7-4F3A-8B85-7C72F7957897}"/>
    <cellStyle name="Normal 5 2 10 5" xfId="20840" xr:uid="{3C9AFFCC-B2F5-40E4-8752-A9EBB4C4D1F7}"/>
    <cellStyle name="Normal 5 2 11" xfId="2562" xr:uid="{00000000-0005-0000-0000-0000EF160000}"/>
    <cellStyle name="Normal 5 2 11 2" xfId="6845" xr:uid="{00000000-0005-0000-0000-0000F0160000}"/>
    <cellStyle name="Normal 5 2 11 2 2" xfId="16171" xr:uid="{94EA260D-4D92-4C42-BCB3-0C40A70AC0C8}"/>
    <cellStyle name="Normal 5 2 11 2 3" xfId="25470" xr:uid="{52D42986-70F1-4D5A-9097-38369D4DCD56}"/>
    <cellStyle name="Normal 5 2 11 3" xfId="11954" xr:uid="{E6F17625-35A8-482E-BCD1-213036E86416}"/>
    <cellStyle name="Normal 5 2 11 4" xfId="21253" xr:uid="{A69B3625-5155-47ED-B890-403675E35914}"/>
    <cellStyle name="Normal 5 2 12" xfId="4780" xr:uid="{00000000-0005-0000-0000-0000F1160000}"/>
    <cellStyle name="Normal 5 2 12 2" xfId="14106" xr:uid="{EC32D44A-9626-4B47-925D-2D0BD90BA466}"/>
    <cellStyle name="Normal 5 2 12 3" xfId="23405" xr:uid="{2A94773A-A9EB-41ED-87FB-5EB91E8E69B7}"/>
    <cellStyle name="Normal 5 2 13" xfId="8744" xr:uid="{40D5DF2B-E9DF-4D52-AAE0-3E5A94050B59}"/>
    <cellStyle name="Normal 5 2 13 2" xfId="18068" xr:uid="{A1730EA7-2AE9-4FC3-970F-3AEC0FBCC749}"/>
    <cellStyle name="Normal 5 2 13 3" xfId="27366" xr:uid="{6692B300-C096-4C14-9901-F9CC83D5E083}"/>
    <cellStyle name="Normal 5 2 14" xfId="9889" xr:uid="{20603A69-1A8B-4D47-8DD2-075BF33D76A8}"/>
    <cellStyle name="Normal 5 2 15" xfId="19188" xr:uid="{A13CA49B-B929-44BA-BD94-FC9E4DEBFF8F}"/>
    <cellStyle name="Normal 5 2 2" xfId="408" xr:uid="{00000000-0005-0000-0000-0000F2160000}"/>
    <cellStyle name="Normal 5 2 2 10" xfId="2563" xr:uid="{00000000-0005-0000-0000-0000F3160000}"/>
    <cellStyle name="Normal 5 2 2 10 2" xfId="6846" xr:uid="{00000000-0005-0000-0000-0000F4160000}"/>
    <cellStyle name="Normal 5 2 2 10 2 2" xfId="16172" xr:uid="{0347A554-D9B5-4E1C-9711-37F94DF09ADB}"/>
    <cellStyle name="Normal 5 2 2 10 2 3" xfId="25471" xr:uid="{FF3F0A28-6178-492A-84F7-91F88E4FD9C0}"/>
    <cellStyle name="Normal 5 2 2 10 3" xfId="11955" xr:uid="{2AE210E7-0A8E-4874-B6B8-DF609DF1D806}"/>
    <cellStyle name="Normal 5 2 2 10 4" xfId="21254" xr:uid="{C0CAC44C-476D-4959-B437-F2353420AC1E}"/>
    <cellStyle name="Normal 5 2 2 11" xfId="4781" xr:uid="{00000000-0005-0000-0000-0000F5160000}"/>
    <cellStyle name="Normal 5 2 2 11 2" xfId="14107" xr:uid="{6FFABB0D-BA2C-49CF-BDA5-D168C3BA8157}"/>
    <cellStyle name="Normal 5 2 2 11 3" xfId="23406" xr:uid="{3B4B0990-DF03-499B-8C9B-EEE9B06FF50E}"/>
    <cellStyle name="Normal 5 2 2 12" xfId="8753" xr:uid="{96D04E2F-D92F-448D-9FDA-8261D8BEE094}"/>
    <cellStyle name="Normal 5 2 2 12 2" xfId="18077" xr:uid="{F99E2C15-4910-42C3-8945-E7D7E377B380}"/>
    <cellStyle name="Normal 5 2 2 12 3" xfId="27375" xr:uid="{3F7E1630-87E2-49E4-AC13-1031569AB70C}"/>
    <cellStyle name="Normal 5 2 2 13" xfId="9890" xr:uid="{8FB1875E-6BBC-4E19-97E9-0DDC0C13711E}"/>
    <cellStyle name="Normal 5 2 2 14" xfId="19189" xr:uid="{4CE41599-BA19-48D6-80AE-713AEF9FBA7A}"/>
    <cellStyle name="Normal 5 2 2 2" xfId="409" xr:uid="{00000000-0005-0000-0000-0000F6160000}"/>
    <cellStyle name="Normal 5 2 2 2 10" xfId="4782" xr:uid="{00000000-0005-0000-0000-0000F7160000}"/>
    <cellStyle name="Normal 5 2 2 2 10 2" xfId="14108" xr:uid="{DBDCD7C2-1EA8-48CA-B5E4-9E3210F39C26}"/>
    <cellStyle name="Normal 5 2 2 2 10 3" xfId="23407" xr:uid="{D2F6260C-EDCD-4628-BBE6-9470F88D109C}"/>
    <cellStyle name="Normal 5 2 2 2 11" xfId="8771" xr:uid="{0E58ED1C-12F1-4692-801F-170CA6F7CBDB}"/>
    <cellStyle name="Normal 5 2 2 2 11 2" xfId="18095" xr:uid="{34E97EBA-BA2D-4780-A866-628079A876E5}"/>
    <cellStyle name="Normal 5 2 2 2 11 3" xfId="27393" xr:uid="{583A917B-E022-4E50-9541-CD7038B072A7}"/>
    <cellStyle name="Normal 5 2 2 2 12" xfId="9891" xr:uid="{F1C5926F-75F7-4078-BB93-4734D00B6168}"/>
    <cellStyle name="Normal 5 2 2 2 13" xfId="19190" xr:uid="{7A752587-D2AA-4159-8637-A380AA46590E}"/>
    <cellStyle name="Normal 5 2 2 2 2" xfId="410" xr:uid="{00000000-0005-0000-0000-0000F8160000}"/>
    <cellStyle name="Normal 5 2 2 2 2 10" xfId="8829" xr:uid="{AC161972-21E9-4E03-8D2E-9F95632CB08D}"/>
    <cellStyle name="Normal 5 2 2 2 2 10 2" xfId="18153" xr:uid="{2CC61220-2468-45BD-A6C3-4FCDD6C05DF4}"/>
    <cellStyle name="Normal 5 2 2 2 2 10 3" xfId="27451" xr:uid="{1B7184B6-30BA-4878-850F-5BB3C325C5F9}"/>
    <cellStyle name="Normal 5 2 2 2 2 11" xfId="9892" xr:uid="{F1602480-E12D-4F19-972C-46E74776B141}"/>
    <cellStyle name="Normal 5 2 2 2 2 12" xfId="19191" xr:uid="{615E8547-01C8-411C-BFBD-F418AFAF7E3C}"/>
    <cellStyle name="Normal 5 2 2 2 2 2" xfId="411" xr:uid="{00000000-0005-0000-0000-0000F9160000}"/>
    <cellStyle name="Normal 5 2 2 2 2 2 10" xfId="9893" xr:uid="{79ED2F5D-BDEB-4C93-834F-81186CBA57A3}"/>
    <cellStyle name="Normal 5 2 2 2 2 2 11" xfId="19192" xr:uid="{D0489755-13F4-4FAE-9536-AE8E58174079}"/>
    <cellStyle name="Normal 5 2 2 2 2 2 2" xfId="412" xr:uid="{00000000-0005-0000-0000-0000FA160000}"/>
    <cellStyle name="Normal 5 2 2 2 2 2 2 10" xfId="19193" xr:uid="{BAD73D65-FD3A-4AC7-85A0-A2EAE15CD747}"/>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81C1B8D7-3563-4243-862A-3E4FE03B2D66}"/>
    <cellStyle name="Normal 5 2 2 2 2 2 2 2 2 2 3" xfId="25968" xr:uid="{84B14BC2-C1E8-46C4-85FD-6E05AEEF10C7}"/>
    <cellStyle name="Normal 5 2 2 2 2 2 2 2 2 3" xfId="12452" xr:uid="{1013A413-B330-4AE1-9364-0F5AD6992FCC}"/>
    <cellStyle name="Normal 5 2 2 2 2 2 2 2 2 4" xfId="21751" xr:uid="{4BFE0051-5BA8-4797-B1CD-DB8F736C6B2D}"/>
    <cellStyle name="Normal 5 2 2 2 2 2 2 2 3" xfId="5198" xr:uid="{00000000-0005-0000-0000-0000FE160000}"/>
    <cellStyle name="Normal 5 2 2 2 2 2 2 2 3 2" xfId="14524" xr:uid="{9DB097E1-F165-4A76-92C5-44E1F1C4F6C1}"/>
    <cellStyle name="Normal 5 2 2 2 2 2 2 2 3 3" xfId="23823" xr:uid="{B367D5A9-D1D6-40AD-95F6-10D357F625E0}"/>
    <cellStyle name="Normal 5 2 2 2 2 2 2 2 4" xfId="9564" xr:uid="{15884BE4-44C0-46E7-A184-FC102AAADEB4}"/>
    <cellStyle name="Normal 5 2 2 2 2 2 2 2 4 2" xfId="18879" xr:uid="{CCBA4C24-3D30-44B8-9F4B-A8CC152C8E7C}"/>
    <cellStyle name="Normal 5 2 2 2 2 2 2 2 4 3" xfId="28176" xr:uid="{4296A753-C75F-4710-887F-7F5A0820ADBE}"/>
    <cellStyle name="Normal 5 2 2 2 2 2 2 2 5" xfId="10307" xr:uid="{FFF4583E-1B0D-4307-952C-30CB56EB4E6E}"/>
    <cellStyle name="Normal 5 2 2 2 2 2 2 2 6" xfId="19606" xr:uid="{A7443BA8-3632-4809-A703-F1D0DC562CB2}"/>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041F3F89-BCD5-41E3-BA6C-50399886F932}"/>
    <cellStyle name="Normal 5 2 2 2 2 2 2 3 2 2 3" xfId="26381" xr:uid="{C019A414-62EE-4A36-A8EF-BEC18F806F2D}"/>
    <cellStyle name="Normal 5 2 2 2 2 2 2 3 2 3" xfId="12865" xr:uid="{EA69C16A-0442-4659-BA80-6BA88DBFAB0C}"/>
    <cellStyle name="Normal 5 2 2 2 2 2 2 3 2 4" xfId="22164" xr:uid="{5FD160F4-A285-4C65-93C7-78BC8269999F}"/>
    <cellStyle name="Normal 5 2 2 2 2 2 2 3 3" xfId="5611" xr:uid="{00000000-0005-0000-0000-000002170000}"/>
    <cellStyle name="Normal 5 2 2 2 2 2 2 3 3 2" xfId="14937" xr:uid="{BB538009-3133-4C16-9996-5F7F3CD25A75}"/>
    <cellStyle name="Normal 5 2 2 2 2 2 2 3 3 3" xfId="24236" xr:uid="{7E148595-63A8-4324-BCB2-14119F53EDAD}"/>
    <cellStyle name="Normal 5 2 2 2 2 2 2 3 4" xfId="10720" xr:uid="{98C3841A-2508-4ACB-B1DC-57FEA2C441EC}"/>
    <cellStyle name="Normal 5 2 2 2 2 2 2 3 5" xfId="20019" xr:uid="{736413DD-4E16-44A9-BD1D-F48839959739}"/>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7440DE2B-C746-412A-AE20-A4EA25FBDC6E}"/>
    <cellStyle name="Normal 5 2 2 2 2 2 2 4 2 2 3" xfId="26794" xr:uid="{73DEC437-47E2-4BFF-AC23-5F63C988C8AD}"/>
    <cellStyle name="Normal 5 2 2 2 2 2 2 4 2 3" xfId="13278" xr:uid="{847A95B8-889F-4EBF-A8A9-53CA7E347AB5}"/>
    <cellStyle name="Normal 5 2 2 2 2 2 2 4 2 4" xfId="22577" xr:uid="{A980085D-1F04-4CC0-9C50-8A69D20DE80D}"/>
    <cellStyle name="Normal 5 2 2 2 2 2 2 4 3" xfId="6024" xr:uid="{00000000-0005-0000-0000-000006170000}"/>
    <cellStyle name="Normal 5 2 2 2 2 2 2 4 3 2" xfId="15350" xr:uid="{2666C964-B00A-44C1-A6D0-85EBAF3ACFF2}"/>
    <cellStyle name="Normal 5 2 2 2 2 2 2 4 3 3" xfId="24649" xr:uid="{FA8B68CE-EAD6-4E92-A1E5-0BE09CE334B3}"/>
    <cellStyle name="Normal 5 2 2 2 2 2 2 4 4" xfId="11133" xr:uid="{D9EC7378-4749-4B67-97F0-00B465670AB4}"/>
    <cellStyle name="Normal 5 2 2 2 2 2 2 4 5" xfId="20432" xr:uid="{C1B9B4FF-433A-463A-B990-466C2C902FC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CFE858BC-B72F-4DA8-996A-C5AAC772F1C0}"/>
    <cellStyle name="Normal 5 2 2 2 2 2 2 5 2 2 3" xfId="27207" xr:uid="{AE74514E-558D-4820-B710-FF5F0C946CF3}"/>
    <cellStyle name="Normal 5 2 2 2 2 2 2 5 2 3" xfId="13691" xr:uid="{42453A14-30FB-4AAB-AFCC-AD16AFDA184F}"/>
    <cellStyle name="Normal 5 2 2 2 2 2 2 5 2 4" xfId="22990" xr:uid="{75D1E243-BF44-487E-8F91-9C8E3CA349FE}"/>
    <cellStyle name="Normal 5 2 2 2 2 2 2 5 3" xfId="6437" xr:uid="{00000000-0005-0000-0000-00000A170000}"/>
    <cellStyle name="Normal 5 2 2 2 2 2 2 5 3 2" xfId="15763" xr:uid="{756AA162-0AEC-4A53-BCB6-2481476CE1F9}"/>
    <cellStyle name="Normal 5 2 2 2 2 2 2 5 3 3" xfId="25062" xr:uid="{5A1D9C35-AA75-495C-A0FE-EF77EE972AFE}"/>
    <cellStyle name="Normal 5 2 2 2 2 2 2 5 4" xfId="11546" xr:uid="{FE715C3B-5B51-4D75-8CA5-66D219CFE52C}"/>
    <cellStyle name="Normal 5 2 2 2 2 2 2 5 5" xfId="20845" xr:uid="{7AEAEB54-C251-482E-86B0-4A3FFC97B50C}"/>
    <cellStyle name="Normal 5 2 2 2 2 2 2 6" xfId="2567" xr:uid="{00000000-0005-0000-0000-00000B170000}"/>
    <cellStyle name="Normal 5 2 2 2 2 2 2 6 2" xfId="6850" xr:uid="{00000000-0005-0000-0000-00000C170000}"/>
    <cellStyle name="Normal 5 2 2 2 2 2 2 6 2 2" xfId="16176" xr:uid="{4C1AD977-58D0-498D-B9A2-C18A8BD00773}"/>
    <cellStyle name="Normal 5 2 2 2 2 2 2 6 2 3" xfId="25475" xr:uid="{1B2EB580-7C37-409F-82EF-285F1BD507A9}"/>
    <cellStyle name="Normal 5 2 2 2 2 2 2 6 3" xfId="11959" xr:uid="{D5C9E4D5-F3BD-418D-9E42-87E0038EBC96}"/>
    <cellStyle name="Normal 5 2 2 2 2 2 2 6 4" xfId="21258" xr:uid="{D1678504-C819-41B3-A2A8-8B03DD5DEECD}"/>
    <cellStyle name="Normal 5 2 2 2 2 2 2 7" xfId="4785" xr:uid="{00000000-0005-0000-0000-00000D170000}"/>
    <cellStyle name="Normal 5 2 2 2 2 2 2 7 2" xfId="14111" xr:uid="{016FA514-E098-484A-92DD-E08AE60A5217}"/>
    <cellStyle name="Normal 5 2 2 2 2 2 2 7 3" xfId="23410" xr:uid="{4A460960-8703-4645-B5A7-6C56357B5080}"/>
    <cellStyle name="Normal 5 2 2 2 2 2 2 8" xfId="9139" xr:uid="{CFCC7179-F81D-4929-81F2-C6E64655A093}"/>
    <cellStyle name="Normal 5 2 2 2 2 2 2 8 2" xfId="18463" xr:uid="{AFC5DA84-A73D-4085-ADD3-AC15847B8F08}"/>
    <cellStyle name="Normal 5 2 2 2 2 2 2 8 3" xfId="27761" xr:uid="{A69BB751-B29A-488E-AFA1-DAE75F22F5BD}"/>
    <cellStyle name="Normal 5 2 2 2 2 2 2 9" xfId="9894" xr:uid="{422D93F5-CE04-4324-9700-72997005D604}"/>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16397778-6387-4435-9DA2-9AC39A2109AC}"/>
    <cellStyle name="Normal 5 2 2 2 2 2 3 2 2 3" xfId="25967" xr:uid="{86122962-DCD5-4A11-B39F-9A85E12E94E8}"/>
    <cellStyle name="Normal 5 2 2 2 2 2 3 2 3" xfId="12451" xr:uid="{0E712668-0E48-435F-A87A-3B17C8E7FDAE}"/>
    <cellStyle name="Normal 5 2 2 2 2 2 3 2 4" xfId="21750" xr:uid="{34E3CEDC-B331-4490-8FDC-32B0D327D163}"/>
    <cellStyle name="Normal 5 2 2 2 2 2 3 3" xfId="5197" xr:uid="{00000000-0005-0000-0000-000011170000}"/>
    <cellStyle name="Normal 5 2 2 2 2 2 3 3 2" xfId="14523" xr:uid="{9F240073-03EA-4CC1-9E27-2357AC3815CB}"/>
    <cellStyle name="Normal 5 2 2 2 2 2 3 3 3" xfId="23822" xr:uid="{6C2D89A8-DD36-4826-A473-55E4A6D832DB}"/>
    <cellStyle name="Normal 5 2 2 2 2 2 3 4" xfId="9357" xr:uid="{1809EB60-9E69-4954-99A5-643CD830C5FB}"/>
    <cellStyle name="Normal 5 2 2 2 2 2 3 4 2" xfId="18672" xr:uid="{CA320460-0789-4D60-8B17-BD6E121AAB2C}"/>
    <cellStyle name="Normal 5 2 2 2 2 2 3 4 3" xfId="27969" xr:uid="{B763A519-E135-4D1E-AC33-02C5640F4D3D}"/>
    <cellStyle name="Normal 5 2 2 2 2 2 3 5" xfId="10306" xr:uid="{912E6E07-5CD1-4BB6-BAA9-24576C1BE950}"/>
    <cellStyle name="Normal 5 2 2 2 2 2 3 6" xfId="19605" xr:uid="{68922DE7-2E20-4B07-BCD6-C94A399CE543}"/>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5883C63B-D76F-482D-A4BA-A3359D3C23A3}"/>
    <cellStyle name="Normal 5 2 2 2 2 2 4 2 2 3" xfId="26380" xr:uid="{74B6CCAC-0E34-42DB-864E-6948CE3D78AD}"/>
    <cellStyle name="Normal 5 2 2 2 2 2 4 2 3" xfId="12864" xr:uid="{537A9729-7F9D-4EAC-8D9C-55D8233813EE}"/>
    <cellStyle name="Normal 5 2 2 2 2 2 4 2 4" xfId="22163" xr:uid="{39735FDC-9A7B-4426-8FF8-C39DE9F91DAF}"/>
    <cellStyle name="Normal 5 2 2 2 2 2 4 3" xfId="5610" xr:uid="{00000000-0005-0000-0000-000015170000}"/>
    <cellStyle name="Normal 5 2 2 2 2 2 4 3 2" xfId="14936" xr:uid="{84AC242B-9CA6-46B4-8C72-1AD9666AAFEC}"/>
    <cellStyle name="Normal 5 2 2 2 2 2 4 3 3" xfId="24235" xr:uid="{8C4F51BC-D5C6-4CEB-8538-FF9A45C7A7F9}"/>
    <cellStyle name="Normal 5 2 2 2 2 2 4 4" xfId="10719" xr:uid="{9071469E-8CA3-4F29-A8A4-CC32EB221353}"/>
    <cellStyle name="Normal 5 2 2 2 2 2 4 5" xfId="20018" xr:uid="{79F51868-EB1C-424D-8484-0F56738B5BD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233CA2F9-B1AD-4545-A568-E585A16E67EB}"/>
    <cellStyle name="Normal 5 2 2 2 2 2 5 2 2 3" xfId="26793" xr:uid="{93228B34-2852-4EF7-A699-43048956EDA4}"/>
    <cellStyle name="Normal 5 2 2 2 2 2 5 2 3" xfId="13277" xr:uid="{84DBF4C4-2A98-4032-BFD2-66168823D193}"/>
    <cellStyle name="Normal 5 2 2 2 2 2 5 2 4" xfId="22576" xr:uid="{0F6A82B9-59FB-4C41-B841-E81C07EA4B0F}"/>
    <cellStyle name="Normal 5 2 2 2 2 2 5 3" xfId="6023" xr:uid="{00000000-0005-0000-0000-000019170000}"/>
    <cellStyle name="Normal 5 2 2 2 2 2 5 3 2" xfId="15349" xr:uid="{9C3FA902-975C-4D3F-B6A5-99C5CAA797C9}"/>
    <cellStyle name="Normal 5 2 2 2 2 2 5 3 3" xfId="24648" xr:uid="{ABBBAD8E-F2EB-48C4-8BD1-FA71D6C3CD78}"/>
    <cellStyle name="Normal 5 2 2 2 2 2 5 4" xfId="11132" xr:uid="{A2A8D011-5EC7-41BC-A2EE-67E897DCCF27}"/>
    <cellStyle name="Normal 5 2 2 2 2 2 5 5" xfId="20431" xr:uid="{00EB5225-DF22-49C1-983A-99C1C997C09A}"/>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AE9C10C0-C878-4710-847F-37DCEFB88CF6}"/>
    <cellStyle name="Normal 5 2 2 2 2 2 6 2 2 3" xfId="27206" xr:uid="{575C6FD4-99BC-44BF-AE74-F210E0C8AA31}"/>
    <cellStyle name="Normal 5 2 2 2 2 2 6 2 3" xfId="13690" xr:uid="{47836E98-FF14-48A8-AED2-C5CEDE658AE5}"/>
    <cellStyle name="Normal 5 2 2 2 2 2 6 2 4" xfId="22989" xr:uid="{BC580348-4687-4A48-B4A2-E85CA03742D5}"/>
    <cellStyle name="Normal 5 2 2 2 2 2 6 3" xfId="6436" xr:uid="{00000000-0005-0000-0000-00001D170000}"/>
    <cellStyle name="Normal 5 2 2 2 2 2 6 3 2" xfId="15762" xr:uid="{9F09579E-985C-40F6-ACFE-D0E251204E8D}"/>
    <cellStyle name="Normal 5 2 2 2 2 2 6 3 3" xfId="25061" xr:uid="{BB1586B2-3EB9-4B7E-BE0F-AEAA00A2D779}"/>
    <cellStyle name="Normal 5 2 2 2 2 2 6 4" xfId="11545" xr:uid="{0707DCE5-AF8B-451F-88A3-3C3FE4750501}"/>
    <cellStyle name="Normal 5 2 2 2 2 2 6 5" xfId="20844" xr:uid="{F811C464-CCD1-42BC-BC41-AA7169801B1B}"/>
    <cellStyle name="Normal 5 2 2 2 2 2 7" xfId="2566" xr:uid="{00000000-0005-0000-0000-00001E170000}"/>
    <cellStyle name="Normal 5 2 2 2 2 2 7 2" xfId="6849" xr:uid="{00000000-0005-0000-0000-00001F170000}"/>
    <cellStyle name="Normal 5 2 2 2 2 2 7 2 2" xfId="16175" xr:uid="{B4D7585B-6CBC-4D2D-BA5C-D8C29C4E46D0}"/>
    <cellStyle name="Normal 5 2 2 2 2 2 7 2 3" xfId="25474" xr:uid="{35183B4D-EBE2-4FBD-9CFF-1903FB1FC6C0}"/>
    <cellStyle name="Normal 5 2 2 2 2 2 7 3" xfId="11958" xr:uid="{6A15C10B-60E9-4A07-8FCC-CFB73FC743B9}"/>
    <cellStyle name="Normal 5 2 2 2 2 2 7 4" xfId="21257" xr:uid="{2FDD73DC-4C2C-4828-A5DF-A5A26CA0AD80}"/>
    <cellStyle name="Normal 5 2 2 2 2 2 8" xfId="4784" xr:uid="{00000000-0005-0000-0000-000020170000}"/>
    <cellStyle name="Normal 5 2 2 2 2 2 8 2" xfId="14110" xr:uid="{B5FA14F7-7B88-423E-A4A0-8208BCBEDF8F}"/>
    <cellStyle name="Normal 5 2 2 2 2 2 8 3" xfId="23409" xr:uid="{AD55BA90-BCBD-4002-B567-F0203A8CB6C9}"/>
    <cellStyle name="Normal 5 2 2 2 2 2 9" xfId="8932" xr:uid="{8A89D9DD-5FCE-4028-8D52-F4758EFA866E}"/>
    <cellStyle name="Normal 5 2 2 2 2 2 9 2" xfId="18256" xr:uid="{B5BC068F-7C99-416D-A5C8-F6489C05A23B}"/>
    <cellStyle name="Normal 5 2 2 2 2 2 9 3" xfId="27554" xr:uid="{2FDA149D-D610-4B71-BE49-FFE3C9C5310A}"/>
    <cellStyle name="Normal 5 2 2 2 2 3" xfId="413" xr:uid="{00000000-0005-0000-0000-000021170000}"/>
    <cellStyle name="Normal 5 2 2 2 2 3 10" xfId="19194" xr:uid="{89357766-14C1-44C7-AAC0-3E2062574539}"/>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911CAD89-EFB8-413E-A10D-845DC4DFB4EA}"/>
    <cellStyle name="Normal 5 2 2 2 2 3 2 2 2 3" xfId="25969" xr:uid="{7A739BDD-0D65-4F62-8D6B-94DD563980FD}"/>
    <cellStyle name="Normal 5 2 2 2 2 3 2 2 3" xfId="12453" xr:uid="{6CC56A9D-5A0A-44C0-9E44-0BB6BA545B92}"/>
    <cellStyle name="Normal 5 2 2 2 2 3 2 2 4" xfId="21752" xr:uid="{21A52D85-BBD9-4360-AF1F-283F43EA7A4A}"/>
    <cellStyle name="Normal 5 2 2 2 2 3 2 3" xfId="5199" xr:uid="{00000000-0005-0000-0000-000025170000}"/>
    <cellStyle name="Normal 5 2 2 2 2 3 2 3 2" xfId="14525" xr:uid="{0EDB7C10-2783-4C7D-85A9-E8B98AA38B4C}"/>
    <cellStyle name="Normal 5 2 2 2 2 3 2 3 3" xfId="23824" xr:uid="{1A3CA82E-4289-4CA3-8DA9-DA9D8A94D457}"/>
    <cellStyle name="Normal 5 2 2 2 2 3 2 4" xfId="9461" xr:uid="{815E4D9A-ED64-4B6C-A17A-F6D83CC40A47}"/>
    <cellStyle name="Normal 5 2 2 2 2 3 2 4 2" xfId="18776" xr:uid="{2661081D-9D33-41CA-A0BE-1B9A8DD9D2A2}"/>
    <cellStyle name="Normal 5 2 2 2 2 3 2 4 3" xfId="28073" xr:uid="{4BDC4533-FC29-4C31-A0B6-66239FF3F42E}"/>
    <cellStyle name="Normal 5 2 2 2 2 3 2 5" xfId="10308" xr:uid="{8CDAA408-E221-4DAD-BC35-C23FFCC51236}"/>
    <cellStyle name="Normal 5 2 2 2 2 3 2 6" xfId="19607" xr:uid="{C383FF63-76B9-47E8-B5D5-B0DE97A1DB68}"/>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977E3EB8-1B95-458B-8EA9-4A7CBE2D2D74}"/>
    <cellStyle name="Normal 5 2 2 2 2 3 3 2 2 3" xfId="26382" xr:uid="{3DA4AE73-DEE0-4B9D-BB50-6D8C7477D8F8}"/>
    <cellStyle name="Normal 5 2 2 2 2 3 3 2 3" xfId="12866" xr:uid="{A9BA1F04-CE54-4FE2-A26D-B5089975214D}"/>
    <cellStyle name="Normal 5 2 2 2 2 3 3 2 4" xfId="22165" xr:uid="{76E744ED-582D-4345-99A6-5F37A9EDECCE}"/>
    <cellStyle name="Normal 5 2 2 2 2 3 3 3" xfId="5612" xr:uid="{00000000-0005-0000-0000-000029170000}"/>
    <cellStyle name="Normal 5 2 2 2 2 3 3 3 2" xfId="14938" xr:uid="{8A7C0A73-0A46-4510-BE3D-4BCC1C0FDFFA}"/>
    <cellStyle name="Normal 5 2 2 2 2 3 3 3 3" xfId="24237" xr:uid="{7A7A9152-BFA0-45DE-96C7-72AEBEBEC9E9}"/>
    <cellStyle name="Normal 5 2 2 2 2 3 3 4" xfId="10721" xr:uid="{7E91E297-2BAA-4583-A50F-2A71C032E948}"/>
    <cellStyle name="Normal 5 2 2 2 2 3 3 5" xfId="20020" xr:uid="{B7ED6691-C870-42DA-BD75-19867954F8F9}"/>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3D7C7020-3750-44A5-900D-91FF77A78CBD}"/>
    <cellStyle name="Normal 5 2 2 2 2 3 4 2 2 3" xfId="26795" xr:uid="{A82056F9-D722-4764-A10E-802269F76A04}"/>
    <cellStyle name="Normal 5 2 2 2 2 3 4 2 3" xfId="13279" xr:uid="{658E9ADF-7283-4D57-89A8-7E22A0AFB6A2}"/>
    <cellStyle name="Normal 5 2 2 2 2 3 4 2 4" xfId="22578" xr:uid="{B64E902F-7855-4415-92C3-0ECAEE8FF4CE}"/>
    <cellStyle name="Normal 5 2 2 2 2 3 4 3" xfId="6025" xr:uid="{00000000-0005-0000-0000-00002D170000}"/>
    <cellStyle name="Normal 5 2 2 2 2 3 4 3 2" xfId="15351" xr:uid="{AB973D33-4820-4C45-A9C3-12CD5BD52EF7}"/>
    <cellStyle name="Normal 5 2 2 2 2 3 4 3 3" xfId="24650" xr:uid="{A46D548E-147C-4E7E-96EE-52649B5CA28A}"/>
    <cellStyle name="Normal 5 2 2 2 2 3 4 4" xfId="11134" xr:uid="{98453493-DEC0-49E0-9415-18916DE687F5}"/>
    <cellStyle name="Normal 5 2 2 2 2 3 4 5" xfId="20433" xr:uid="{2AC198E4-CCBD-4F10-BEBD-5A8BAC80477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86B01B1B-384E-42E8-8A3E-84CDC9698C9F}"/>
    <cellStyle name="Normal 5 2 2 2 2 3 5 2 2 3" xfId="27208" xr:uid="{379BF361-7AA0-4268-9015-1144786C7314}"/>
    <cellStyle name="Normal 5 2 2 2 2 3 5 2 3" xfId="13692" xr:uid="{DF667831-8546-40A7-905B-7D41E8D5825F}"/>
    <cellStyle name="Normal 5 2 2 2 2 3 5 2 4" xfId="22991" xr:uid="{9E5038A6-C3E4-476C-982E-44BD253E5C66}"/>
    <cellStyle name="Normal 5 2 2 2 2 3 5 3" xfId="6438" xr:uid="{00000000-0005-0000-0000-000031170000}"/>
    <cellStyle name="Normal 5 2 2 2 2 3 5 3 2" xfId="15764" xr:uid="{BF4ED3E7-37E4-4E05-B58F-8B210F8A6BFC}"/>
    <cellStyle name="Normal 5 2 2 2 2 3 5 3 3" xfId="25063" xr:uid="{BB4834F0-98BB-4792-A953-AC67AAAFB142}"/>
    <cellStyle name="Normal 5 2 2 2 2 3 5 4" xfId="11547" xr:uid="{EAE94C45-E1C9-4874-9F74-0B52931D149C}"/>
    <cellStyle name="Normal 5 2 2 2 2 3 5 5" xfId="20846" xr:uid="{513A9547-7A9E-43F4-A22A-E8721C97392F}"/>
    <cellStyle name="Normal 5 2 2 2 2 3 6" xfId="2568" xr:uid="{00000000-0005-0000-0000-000032170000}"/>
    <cellStyle name="Normal 5 2 2 2 2 3 6 2" xfId="6851" xr:uid="{00000000-0005-0000-0000-000033170000}"/>
    <cellStyle name="Normal 5 2 2 2 2 3 6 2 2" xfId="16177" xr:uid="{C13C53A7-9A39-4617-9925-F967971FA28E}"/>
    <cellStyle name="Normal 5 2 2 2 2 3 6 2 3" xfId="25476" xr:uid="{E0914A10-8CA3-48FB-972D-57B1C98CD62D}"/>
    <cellStyle name="Normal 5 2 2 2 2 3 6 3" xfId="11960" xr:uid="{ED1C5A48-B542-4177-949F-9931B3817487}"/>
    <cellStyle name="Normal 5 2 2 2 2 3 6 4" xfId="21259" xr:uid="{0A1DB412-FDCC-4DC5-B2F7-C8F5429843FF}"/>
    <cellStyle name="Normal 5 2 2 2 2 3 7" xfId="4786" xr:uid="{00000000-0005-0000-0000-000034170000}"/>
    <cellStyle name="Normal 5 2 2 2 2 3 7 2" xfId="14112" xr:uid="{AB54C8F8-CF5F-4E73-8099-C76E70B1C9CE}"/>
    <cellStyle name="Normal 5 2 2 2 2 3 7 3" xfId="23411" xr:uid="{F2B9E62C-338E-4CDB-B04F-04E7FF908564}"/>
    <cellStyle name="Normal 5 2 2 2 2 3 8" xfId="9036" xr:uid="{2B9BC3AC-900A-42EE-A23F-E5574B6E75BC}"/>
    <cellStyle name="Normal 5 2 2 2 2 3 8 2" xfId="18360" xr:uid="{A57BE484-3605-48AE-94B9-CA7DAA056F24}"/>
    <cellStyle name="Normal 5 2 2 2 2 3 8 3" xfId="27658" xr:uid="{7B5D5FF7-1FB2-478D-8057-DD5F6E113CA6}"/>
    <cellStyle name="Normal 5 2 2 2 2 3 9" xfId="9895" xr:uid="{6CB2CA8E-2D40-448E-A101-287ED33B802B}"/>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8D677314-B13E-433F-B62E-103BDBE76756}"/>
    <cellStyle name="Normal 5 2 2 2 2 4 2 2 3" xfId="25966" xr:uid="{F02A78B3-7BE7-475B-A5B5-7FAEFA92335F}"/>
    <cellStyle name="Normal 5 2 2 2 2 4 2 3" xfId="12450" xr:uid="{B864869A-6474-44BC-AC55-328294F553A1}"/>
    <cellStyle name="Normal 5 2 2 2 2 4 2 4" xfId="21749" xr:uid="{D19D65DB-7ED2-4D32-93F7-5F05AC9F7B08}"/>
    <cellStyle name="Normal 5 2 2 2 2 4 3" xfId="5196" xr:uid="{00000000-0005-0000-0000-000038170000}"/>
    <cellStyle name="Normal 5 2 2 2 2 4 3 2" xfId="14522" xr:uid="{8D65B468-A086-4C9D-84D2-7AAE666D857F}"/>
    <cellStyle name="Normal 5 2 2 2 2 4 3 3" xfId="23821" xr:uid="{346D659C-5AD0-4714-B6DA-2EBEDF195CE5}"/>
    <cellStyle name="Normal 5 2 2 2 2 4 4" xfId="9254" xr:uid="{B0B4DA0D-4C0F-4712-8BF0-280C2A85D575}"/>
    <cellStyle name="Normal 5 2 2 2 2 4 4 2" xfId="18569" xr:uid="{A4C32A50-5A20-421C-B755-4C1C323BABCD}"/>
    <cellStyle name="Normal 5 2 2 2 2 4 4 3" xfId="27866" xr:uid="{D02E9CF5-678E-4258-AE67-D5F92C0F212A}"/>
    <cellStyle name="Normal 5 2 2 2 2 4 5" xfId="10305" xr:uid="{99FD8230-A9B2-4EC5-A887-DEAF484125A5}"/>
    <cellStyle name="Normal 5 2 2 2 2 4 6" xfId="19604" xr:uid="{75AA7515-F865-4C11-A1F6-6870412D08C4}"/>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6D6C9B00-4370-4228-B6B2-DD30651F856C}"/>
    <cellStyle name="Normal 5 2 2 2 2 5 2 2 3" xfId="26379" xr:uid="{A49C6FFA-DE1A-4BBA-9940-C59BB4D41C8E}"/>
    <cellStyle name="Normal 5 2 2 2 2 5 2 3" xfId="12863" xr:uid="{07B35252-7DEC-4F80-9052-345FA71EC2BC}"/>
    <cellStyle name="Normal 5 2 2 2 2 5 2 4" xfId="22162" xr:uid="{433D84FA-70E5-4AE0-B54C-62D8E073FCB4}"/>
    <cellStyle name="Normal 5 2 2 2 2 5 3" xfId="5609" xr:uid="{00000000-0005-0000-0000-00003C170000}"/>
    <cellStyle name="Normal 5 2 2 2 2 5 3 2" xfId="14935" xr:uid="{D3845526-6F95-42CF-8A39-BE4D47826589}"/>
    <cellStyle name="Normal 5 2 2 2 2 5 3 3" xfId="24234" xr:uid="{DD8832C6-428F-4CE7-A310-7BBF866E739F}"/>
    <cellStyle name="Normal 5 2 2 2 2 5 4" xfId="10718" xr:uid="{26431C01-6F44-4A35-9C40-57182B3E8C9A}"/>
    <cellStyle name="Normal 5 2 2 2 2 5 5" xfId="20017" xr:uid="{68392833-27C7-40C6-952D-665B7D3CE854}"/>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BDC7034A-A382-4220-805E-D8BF3766D031}"/>
    <cellStyle name="Normal 5 2 2 2 2 6 2 2 3" xfId="26792" xr:uid="{D64E7C31-C8F2-4785-84E8-A772B489BA34}"/>
    <cellStyle name="Normal 5 2 2 2 2 6 2 3" xfId="13276" xr:uid="{4A9F1206-7647-48B1-9B5B-B06099344C89}"/>
    <cellStyle name="Normal 5 2 2 2 2 6 2 4" xfId="22575" xr:uid="{BC2BE897-EC51-423B-BE89-CF7F1733E4D6}"/>
    <cellStyle name="Normal 5 2 2 2 2 6 3" xfId="6022" xr:uid="{00000000-0005-0000-0000-000040170000}"/>
    <cellStyle name="Normal 5 2 2 2 2 6 3 2" xfId="15348" xr:uid="{1F187CE0-2CE1-4D3F-B27E-D9F3E25214D3}"/>
    <cellStyle name="Normal 5 2 2 2 2 6 3 3" xfId="24647" xr:uid="{668B39FF-E351-4DE0-B2A7-08572EA77191}"/>
    <cellStyle name="Normal 5 2 2 2 2 6 4" xfId="11131" xr:uid="{9C8B40EA-63CF-46D4-82D1-7053FE1D515A}"/>
    <cellStyle name="Normal 5 2 2 2 2 6 5" xfId="20430" xr:uid="{0A9B302F-61C2-4B14-AA8D-0C7E652CC5CC}"/>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30B0F1EA-FA1C-4554-8680-80A287D541A5}"/>
    <cellStyle name="Normal 5 2 2 2 2 7 2 2 3" xfId="27205" xr:uid="{D3A30D1D-9987-48A1-9456-37DFA65124AC}"/>
    <cellStyle name="Normal 5 2 2 2 2 7 2 3" xfId="13689" xr:uid="{2632F992-0865-4E8F-A8E1-DBB8D3D246B1}"/>
    <cellStyle name="Normal 5 2 2 2 2 7 2 4" xfId="22988" xr:uid="{E586D9D4-ECF6-4D12-B4A1-8E03D79E022B}"/>
    <cellStyle name="Normal 5 2 2 2 2 7 3" xfId="6435" xr:uid="{00000000-0005-0000-0000-000044170000}"/>
    <cellStyle name="Normal 5 2 2 2 2 7 3 2" xfId="15761" xr:uid="{A4181E0B-D647-43C3-AE1D-F1F22453951B}"/>
    <cellStyle name="Normal 5 2 2 2 2 7 3 3" xfId="25060" xr:uid="{B00864FF-CB76-4B5B-95AF-79A676750A30}"/>
    <cellStyle name="Normal 5 2 2 2 2 7 4" xfId="11544" xr:uid="{C75C6BA0-5156-437D-BAA6-F479E9BEE142}"/>
    <cellStyle name="Normal 5 2 2 2 2 7 5" xfId="20843" xr:uid="{0E042013-D3FA-4A88-AE90-45FFE4D10099}"/>
    <cellStyle name="Normal 5 2 2 2 2 8" xfId="2565" xr:uid="{00000000-0005-0000-0000-000045170000}"/>
    <cellStyle name="Normal 5 2 2 2 2 8 2" xfId="6848" xr:uid="{00000000-0005-0000-0000-000046170000}"/>
    <cellStyle name="Normal 5 2 2 2 2 8 2 2" xfId="16174" xr:uid="{F7C36C7D-C025-45D1-A097-5E9987734314}"/>
    <cellStyle name="Normal 5 2 2 2 2 8 2 3" xfId="25473" xr:uid="{CD4FFF48-64CB-4601-845C-011268A705BA}"/>
    <cellStyle name="Normal 5 2 2 2 2 8 3" xfId="11957" xr:uid="{563DDA6C-5647-4B0D-8239-27C6549604FD}"/>
    <cellStyle name="Normal 5 2 2 2 2 8 4" xfId="21256" xr:uid="{52CA4250-7520-49C0-A616-9C29104472C9}"/>
    <cellStyle name="Normal 5 2 2 2 2 9" xfId="4783" xr:uid="{00000000-0005-0000-0000-000047170000}"/>
    <cellStyle name="Normal 5 2 2 2 2 9 2" xfId="14109" xr:uid="{3E8635B6-6494-49AB-879C-263259847A2B}"/>
    <cellStyle name="Normal 5 2 2 2 2 9 3" xfId="23408" xr:uid="{3D46F3A9-2FAA-4E22-8372-E46CEA2514E0}"/>
    <cellStyle name="Normal 5 2 2 2 3" xfId="414" xr:uid="{00000000-0005-0000-0000-000048170000}"/>
    <cellStyle name="Normal 5 2 2 2 3 10" xfId="9896" xr:uid="{7F21EC51-61A2-46AB-A1CE-7630795397A1}"/>
    <cellStyle name="Normal 5 2 2 2 3 11" xfId="19195" xr:uid="{6EFBAE21-A3F6-4157-A8C6-DDA88E9EA7D1}"/>
    <cellStyle name="Normal 5 2 2 2 3 2" xfId="415" xr:uid="{00000000-0005-0000-0000-000049170000}"/>
    <cellStyle name="Normal 5 2 2 2 3 2 10" xfId="19196" xr:uid="{B138AFEC-4E12-4557-842D-A4519358ED22}"/>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A23C4C55-CE41-414E-B3FB-2BC088166892}"/>
    <cellStyle name="Normal 5 2 2 2 3 2 2 2 2 3" xfId="25971" xr:uid="{2B8B10BE-EA51-4555-BD86-322040EE3F33}"/>
    <cellStyle name="Normal 5 2 2 2 3 2 2 2 3" xfId="12455" xr:uid="{4287DACC-0CD4-4FD8-8D51-E5D6D5707623}"/>
    <cellStyle name="Normal 5 2 2 2 3 2 2 2 4" xfId="21754" xr:uid="{D5A019CC-E1C8-4393-BA2F-063C248CFE60}"/>
    <cellStyle name="Normal 5 2 2 2 3 2 2 3" xfId="5201" xr:uid="{00000000-0005-0000-0000-00004D170000}"/>
    <cellStyle name="Normal 5 2 2 2 3 2 2 3 2" xfId="14527" xr:uid="{C763EB0A-965D-407F-966A-1DC9128D3A68}"/>
    <cellStyle name="Normal 5 2 2 2 3 2 2 3 3" xfId="23826" xr:uid="{47D3CCA2-CC45-4172-8AAA-60E4EA9B48B2}"/>
    <cellStyle name="Normal 5 2 2 2 3 2 2 4" xfId="9506" xr:uid="{65E8E1F9-5B62-47C9-8131-412DF42F5268}"/>
    <cellStyle name="Normal 5 2 2 2 3 2 2 4 2" xfId="18821" xr:uid="{C41324C6-0CA1-41B3-ADFE-8ECFC05426D9}"/>
    <cellStyle name="Normal 5 2 2 2 3 2 2 4 3" xfId="28118" xr:uid="{19036415-19DF-417C-89E9-B19AE5898FD3}"/>
    <cellStyle name="Normal 5 2 2 2 3 2 2 5" xfId="10310" xr:uid="{D8CF9ED7-DCD6-4087-963F-0B12E3C40A2B}"/>
    <cellStyle name="Normal 5 2 2 2 3 2 2 6" xfId="19609" xr:uid="{7F52E024-FD76-42F8-8210-65F84DF934EC}"/>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9041AE70-CC18-4F18-94CC-DF1A6C357715}"/>
    <cellStyle name="Normal 5 2 2 2 3 2 3 2 2 3" xfId="26384" xr:uid="{33C965B5-066D-4BCB-90F8-59B1A945F5DD}"/>
    <cellStyle name="Normal 5 2 2 2 3 2 3 2 3" xfId="12868" xr:uid="{AABFBE89-CB17-4269-9B3D-2AB1E81980DD}"/>
    <cellStyle name="Normal 5 2 2 2 3 2 3 2 4" xfId="22167" xr:uid="{388D387E-2C28-4115-90BC-DFC8FFA25890}"/>
    <cellStyle name="Normal 5 2 2 2 3 2 3 3" xfId="5614" xr:uid="{00000000-0005-0000-0000-000051170000}"/>
    <cellStyle name="Normal 5 2 2 2 3 2 3 3 2" xfId="14940" xr:uid="{72771148-58BE-4566-90FD-6B15C0EBF432}"/>
    <cellStyle name="Normal 5 2 2 2 3 2 3 3 3" xfId="24239" xr:uid="{0D08AEC0-80D3-4B33-B87D-5B815F69B045}"/>
    <cellStyle name="Normal 5 2 2 2 3 2 3 4" xfId="10723" xr:uid="{358AC1EF-AB4A-4233-AE56-EBE66851F293}"/>
    <cellStyle name="Normal 5 2 2 2 3 2 3 5" xfId="20022" xr:uid="{363E5281-F202-4311-B9EF-88AD79380CBE}"/>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3038979E-20AD-40BD-BCB4-7B682897A9F5}"/>
    <cellStyle name="Normal 5 2 2 2 3 2 4 2 2 3" xfId="26797" xr:uid="{64478CFA-1169-402E-9C28-7B52EA621BA8}"/>
    <cellStyle name="Normal 5 2 2 2 3 2 4 2 3" xfId="13281" xr:uid="{407826D7-4FF7-4855-91DC-D0381434D43A}"/>
    <cellStyle name="Normal 5 2 2 2 3 2 4 2 4" xfId="22580" xr:uid="{0985CD46-9700-453E-8306-1C471ECDC852}"/>
    <cellStyle name="Normal 5 2 2 2 3 2 4 3" xfId="6027" xr:uid="{00000000-0005-0000-0000-000055170000}"/>
    <cellStyle name="Normal 5 2 2 2 3 2 4 3 2" xfId="15353" xr:uid="{9C4DE68C-3BD9-40EA-80D7-3933EE2D9AB5}"/>
    <cellStyle name="Normal 5 2 2 2 3 2 4 3 3" xfId="24652" xr:uid="{A2275E9C-2AB8-4ACA-A936-742F0D86D6B4}"/>
    <cellStyle name="Normal 5 2 2 2 3 2 4 4" xfId="11136" xr:uid="{34FF03F8-CC46-414A-A9A9-E68FB40C3B07}"/>
    <cellStyle name="Normal 5 2 2 2 3 2 4 5" xfId="20435" xr:uid="{A25BE83B-F656-4D5F-A63A-85692346B8F1}"/>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A8E6F6F1-9C8F-425B-8802-77E2D5EB04CA}"/>
    <cellStyle name="Normal 5 2 2 2 3 2 5 2 2 3" xfId="27210" xr:uid="{A449C608-34ED-4419-8BB7-5BEE254DBDD1}"/>
    <cellStyle name="Normal 5 2 2 2 3 2 5 2 3" xfId="13694" xr:uid="{75B28BB2-6E97-4E87-B32A-1F180D9029DF}"/>
    <cellStyle name="Normal 5 2 2 2 3 2 5 2 4" xfId="22993" xr:uid="{B2789463-CCF3-4E2F-82DC-27452AE7EE30}"/>
    <cellStyle name="Normal 5 2 2 2 3 2 5 3" xfId="6440" xr:uid="{00000000-0005-0000-0000-000059170000}"/>
    <cellStyle name="Normal 5 2 2 2 3 2 5 3 2" xfId="15766" xr:uid="{96C86DD3-19EB-4C10-9747-FA7A21A2647C}"/>
    <cellStyle name="Normal 5 2 2 2 3 2 5 3 3" xfId="25065" xr:uid="{3DAAE1F8-003A-4DC2-A160-00ADE485765B}"/>
    <cellStyle name="Normal 5 2 2 2 3 2 5 4" xfId="11549" xr:uid="{787E3B15-B138-44B9-8DA6-E415409EBA06}"/>
    <cellStyle name="Normal 5 2 2 2 3 2 5 5" xfId="20848" xr:uid="{8C3DAF5F-B1F3-4DC2-B3AF-9F5C2C10B096}"/>
    <cellStyle name="Normal 5 2 2 2 3 2 6" xfId="2570" xr:uid="{00000000-0005-0000-0000-00005A170000}"/>
    <cellStyle name="Normal 5 2 2 2 3 2 6 2" xfId="6853" xr:uid="{00000000-0005-0000-0000-00005B170000}"/>
    <cellStyle name="Normal 5 2 2 2 3 2 6 2 2" xfId="16179" xr:uid="{C1C63111-E6FB-40E9-9F36-A61C22DED4E6}"/>
    <cellStyle name="Normal 5 2 2 2 3 2 6 2 3" xfId="25478" xr:uid="{7C13DBCA-2FC4-45A5-BD59-A07824C2CDA9}"/>
    <cellStyle name="Normal 5 2 2 2 3 2 6 3" xfId="11962" xr:uid="{08E8AD30-E0EC-406F-8FE7-FD58BA0D7BB5}"/>
    <cellStyle name="Normal 5 2 2 2 3 2 6 4" xfId="21261" xr:uid="{0BFA56A8-AB9B-4B47-B3FE-1FFD1458FFEE}"/>
    <cellStyle name="Normal 5 2 2 2 3 2 7" xfId="4788" xr:uid="{00000000-0005-0000-0000-00005C170000}"/>
    <cellStyle name="Normal 5 2 2 2 3 2 7 2" xfId="14114" xr:uid="{82130B9F-10A5-4813-9941-55061FEFC18B}"/>
    <cellStyle name="Normal 5 2 2 2 3 2 7 3" xfId="23413" xr:uid="{81424882-CDEB-4170-B852-266379C724C3}"/>
    <cellStyle name="Normal 5 2 2 2 3 2 8" xfId="9081" xr:uid="{B0400C6D-4400-4F06-9092-2DCAD3324CF1}"/>
    <cellStyle name="Normal 5 2 2 2 3 2 8 2" xfId="18405" xr:uid="{76284B2B-BC43-48E4-92B0-5AAA0EB55749}"/>
    <cellStyle name="Normal 5 2 2 2 3 2 8 3" xfId="27703" xr:uid="{C0EE3305-2233-41C1-B2C9-97ADFAFE97A3}"/>
    <cellStyle name="Normal 5 2 2 2 3 2 9" xfId="9897" xr:uid="{35D0B8E0-E2EB-440E-ABE8-E77EF49AD817}"/>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03A4AF6F-C747-4874-8948-771860D5FF82}"/>
    <cellStyle name="Normal 5 2 2 2 3 3 2 2 3" xfId="25970" xr:uid="{85F9966D-217D-4E3D-AC33-67F7413ADABA}"/>
    <cellStyle name="Normal 5 2 2 2 3 3 2 3" xfId="12454" xr:uid="{45EED532-6C81-4ABB-BD1F-7875CF23EB7C}"/>
    <cellStyle name="Normal 5 2 2 2 3 3 2 4" xfId="21753" xr:uid="{3BC2959B-5D0F-4DB4-889B-9BD75C82F0C7}"/>
    <cellStyle name="Normal 5 2 2 2 3 3 3" xfId="5200" xr:uid="{00000000-0005-0000-0000-000060170000}"/>
    <cellStyle name="Normal 5 2 2 2 3 3 3 2" xfId="14526" xr:uid="{D31E1F3C-3535-4EBC-A550-D399AE82DA81}"/>
    <cellStyle name="Normal 5 2 2 2 3 3 3 3" xfId="23825" xr:uid="{54D28364-AEC4-4055-984B-82A85D60EF20}"/>
    <cellStyle name="Normal 5 2 2 2 3 3 4" xfId="9299" xr:uid="{85780536-A38F-4D86-8846-D9FA6BB2D61D}"/>
    <cellStyle name="Normal 5 2 2 2 3 3 4 2" xfId="18614" xr:uid="{9CE235FB-8501-409D-934A-21DF7EC6A578}"/>
    <cellStyle name="Normal 5 2 2 2 3 3 4 3" xfId="27911" xr:uid="{0A64151C-EF06-4C94-BE1B-BBF5C0B6EC52}"/>
    <cellStyle name="Normal 5 2 2 2 3 3 5" xfId="10309" xr:uid="{2DA5A294-B824-4161-957B-9A042DDC9C78}"/>
    <cellStyle name="Normal 5 2 2 2 3 3 6" xfId="19608" xr:uid="{9EBD4454-74BD-4FFE-9858-E23297EE75FA}"/>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D42751EA-E4D3-4BA7-8876-BCAAC2558D70}"/>
    <cellStyle name="Normal 5 2 2 2 3 4 2 2 3" xfId="26383" xr:uid="{334BF925-8964-4D0E-9EA0-1426D4BC3402}"/>
    <cellStyle name="Normal 5 2 2 2 3 4 2 3" xfId="12867" xr:uid="{59F7039D-B298-4CFA-BF0F-FF97221B4D67}"/>
    <cellStyle name="Normal 5 2 2 2 3 4 2 4" xfId="22166" xr:uid="{E5996EB2-D31B-4856-97F1-48F45477C2DF}"/>
    <cellStyle name="Normal 5 2 2 2 3 4 3" xfId="5613" xr:uid="{00000000-0005-0000-0000-000064170000}"/>
    <cellStyle name="Normal 5 2 2 2 3 4 3 2" xfId="14939" xr:uid="{20B0ACBB-25BA-45B5-8657-38B72AE5E740}"/>
    <cellStyle name="Normal 5 2 2 2 3 4 3 3" xfId="24238" xr:uid="{2502135E-9F87-4089-B54C-D640BDD5B594}"/>
    <cellStyle name="Normal 5 2 2 2 3 4 4" xfId="10722" xr:uid="{9A4DBC6A-A8B3-45A7-80BA-D20285F8B9D9}"/>
    <cellStyle name="Normal 5 2 2 2 3 4 5" xfId="20021" xr:uid="{ADBAEABA-2868-44E7-9F8E-3023D07D31C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D9220498-B144-4850-B720-0B0D16882AE9}"/>
    <cellStyle name="Normal 5 2 2 2 3 5 2 2 3" xfId="26796" xr:uid="{F3010CC2-0959-431D-AF54-4314E69A5C62}"/>
    <cellStyle name="Normal 5 2 2 2 3 5 2 3" xfId="13280" xr:uid="{7A29D9AB-799C-4726-A389-DCF14AB86A7B}"/>
    <cellStyle name="Normal 5 2 2 2 3 5 2 4" xfId="22579" xr:uid="{3B8B670E-29F0-4D32-B4AF-7B23369E88FA}"/>
    <cellStyle name="Normal 5 2 2 2 3 5 3" xfId="6026" xr:uid="{00000000-0005-0000-0000-000068170000}"/>
    <cellStyle name="Normal 5 2 2 2 3 5 3 2" xfId="15352" xr:uid="{3B384EF2-EDD6-43DB-A28B-5A4C985FB0BF}"/>
    <cellStyle name="Normal 5 2 2 2 3 5 3 3" xfId="24651" xr:uid="{24989293-1DDE-440D-A81C-4934515DA9EF}"/>
    <cellStyle name="Normal 5 2 2 2 3 5 4" xfId="11135" xr:uid="{DBEC86B5-6445-49BC-A167-BC5A3183A542}"/>
    <cellStyle name="Normal 5 2 2 2 3 5 5" xfId="20434" xr:uid="{70D96D07-C419-4D95-A034-96EF9A568FCD}"/>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2823220F-A696-4BCB-BFAE-1998E1BB8139}"/>
    <cellStyle name="Normal 5 2 2 2 3 6 2 2 3" xfId="27209" xr:uid="{3333F823-7C55-4C4B-B608-DBA697C3C96B}"/>
    <cellStyle name="Normal 5 2 2 2 3 6 2 3" xfId="13693" xr:uid="{6700272D-84C0-43CA-8567-E9AEB35F3F87}"/>
    <cellStyle name="Normal 5 2 2 2 3 6 2 4" xfId="22992" xr:uid="{94AD4399-6186-4448-9469-A8CD075C035D}"/>
    <cellStyle name="Normal 5 2 2 2 3 6 3" xfId="6439" xr:uid="{00000000-0005-0000-0000-00006C170000}"/>
    <cellStyle name="Normal 5 2 2 2 3 6 3 2" xfId="15765" xr:uid="{00F4112B-E120-4922-835E-08C1DE2C98BB}"/>
    <cellStyle name="Normal 5 2 2 2 3 6 3 3" xfId="25064" xr:uid="{1C4EB50D-EF9A-4CBA-B4D8-76B0D43A77B9}"/>
    <cellStyle name="Normal 5 2 2 2 3 6 4" xfId="11548" xr:uid="{FD10E3A6-DFAA-45BF-AE39-B8B8DF5D2C38}"/>
    <cellStyle name="Normal 5 2 2 2 3 6 5" xfId="20847" xr:uid="{569DC470-E70A-440F-84FD-273BBC281B22}"/>
    <cellStyle name="Normal 5 2 2 2 3 7" xfId="2569" xr:uid="{00000000-0005-0000-0000-00006D170000}"/>
    <cellStyle name="Normal 5 2 2 2 3 7 2" xfId="6852" xr:uid="{00000000-0005-0000-0000-00006E170000}"/>
    <cellStyle name="Normal 5 2 2 2 3 7 2 2" xfId="16178" xr:uid="{A211CE02-A658-4C4F-AF83-6FF4DA4BFF23}"/>
    <cellStyle name="Normal 5 2 2 2 3 7 2 3" xfId="25477" xr:uid="{91F74F4F-B23A-4806-9F82-62EE1FEDBE39}"/>
    <cellStyle name="Normal 5 2 2 2 3 7 3" xfId="11961" xr:uid="{B2AC71AB-2261-4AC7-B083-AFD71D6B0AB2}"/>
    <cellStyle name="Normal 5 2 2 2 3 7 4" xfId="21260" xr:uid="{2563A69A-EDA0-41FF-B21C-1D8808ED62A4}"/>
    <cellStyle name="Normal 5 2 2 2 3 8" xfId="4787" xr:uid="{00000000-0005-0000-0000-00006F170000}"/>
    <cellStyle name="Normal 5 2 2 2 3 8 2" xfId="14113" xr:uid="{2DBC9451-4C0A-49DC-A5FC-E2CEEA2E15BE}"/>
    <cellStyle name="Normal 5 2 2 2 3 8 3" xfId="23412" xr:uid="{4FDB5676-F5C4-4018-A259-03FFFE924B3F}"/>
    <cellStyle name="Normal 5 2 2 2 3 9" xfId="8874" xr:uid="{D7CEB9F3-DFA5-483F-B08A-C4A582DD7FE8}"/>
    <cellStyle name="Normal 5 2 2 2 3 9 2" xfId="18198" xr:uid="{97696FD3-4C3D-4487-8CA4-501DD5C93A7E}"/>
    <cellStyle name="Normal 5 2 2 2 3 9 3" xfId="27496" xr:uid="{CC935711-F483-4663-9577-0DA4AB4E913F}"/>
    <cellStyle name="Normal 5 2 2 2 4" xfId="416" xr:uid="{00000000-0005-0000-0000-000070170000}"/>
    <cellStyle name="Normal 5 2 2 2 4 10" xfId="19197" xr:uid="{5710E2B4-4621-42C0-A1A0-BB45160CA9E3}"/>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B2F066A1-300A-4016-80D5-09CB72690674}"/>
    <cellStyle name="Normal 5 2 2 2 4 2 2 2 3" xfId="25972" xr:uid="{4A51C308-7D4E-4CD4-A97A-470DCD0255C2}"/>
    <cellStyle name="Normal 5 2 2 2 4 2 2 3" xfId="12456" xr:uid="{A176557D-B364-4E7F-A2D8-3364E08A6CB8}"/>
    <cellStyle name="Normal 5 2 2 2 4 2 2 4" xfId="21755" xr:uid="{10FE868B-9708-4838-B5F3-42C0BD84A174}"/>
    <cellStyle name="Normal 5 2 2 2 4 2 3" xfId="5202" xr:uid="{00000000-0005-0000-0000-000074170000}"/>
    <cellStyle name="Normal 5 2 2 2 4 2 3 2" xfId="14528" xr:uid="{3A886FAC-E987-4B27-963A-EEDCC11A2B1C}"/>
    <cellStyle name="Normal 5 2 2 2 4 2 3 3" xfId="23827" xr:uid="{C67ACE8F-6089-4B57-8349-C18087778778}"/>
    <cellStyle name="Normal 5 2 2 2 4 2 4" xfId="9403" xr:uid="{DDA7C497-662A-4A76-A324-A27E6A0A2B3D}"/>
    <cellStyle name="Normal 5 2 2 2 4 2 4 2" xfId="18718" xr:uid="{B151BDD7-FEB4-4787-9CA8-F77BE594EC1C}"/>
    <cellStyle name="Normal 5 2 2 2 4 2 4 3" xfId="28015" xr:uid="{F27D0518-5A32-4184-8588-4A7D63DFDC36}"/>
    <cellStyle name="Normal 5 2 2 2 4 2 5" xfId="10311" xr:uid="{EBC24D16-3D97-4139-974B-E57E324817D5}"/>
    <cellStyle name="Normal 5 2 2 2 4 2 6" xfId="19610" xr:uid="{D59F952B-F770-42D4-B368-4880FEC169D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9FCD5E7D-CF96-450F-BFA7-A9F1035B3B0C}"/>
    <cellStyle name="Normal 5 2 2 2 4 3 2 2 3" xfId="26385" xr:uid="{DC666930-1DB5-4919-A728-38AC0B4489EC}"/>
    <cellStyle name="Normal 5 2 2 2 4 3 2 3" xfId="12869" xr:uid="{E8790ACA-5601-46A6-ADC4-09665D0191CA}"/>
    <cellStyle name="Normal 5 2 2 2 4 3 2 4" xfId="22168" xr:uid="{F031E1D0-7B23-41B7-9B94-761D573D29B0}"/>
    <cellStyle name="Normal 5 2 2 2 4 3 3" xfId="5615" xr:uid="{00000000-0005-0000-0000-000078170000}"/>
    <cellStyle name="Normal 5 2 2 2 4 3 3 2" xfId="14941" xr:uid="{E4704DF0-57B5-413E-8AED-ABA7EC785891}"/>
    <cellStyle name="Normal 5 2 2 2 4 3 3 3" xfId="24240" xr:uid="{345F4772-1EDD-43CE-A474-8D99C3FE8364}"/>
    <cellStyle name="Normal 5 2 2 2 4 3 4" xfId="10724" xr:uid="{A4B2F2A9-03B5-4631-9974-4D21B38E954E}"/>
    <cellStyle name="Normal 5 2 2 2 4 3 5" xfId="20023" xr:uid="{686F72DC-69EF-48BE-A460-2E19AF3D4252}"/>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FFC77C00-3B2F-4BC1-9273-AA2F8A95FCCB}"/>
    <cellStyle name="Normal 5 2 2 2 4 4 2 2 3" xfId="26798" xr:uid="{1584BA5D-DCDA-4E4D-8726-CAEF3A6B29FF}"/>
    <cellStyle name="Normal 5 2 2 2 4 4 2 3" xfId="13282" xr:uid="{20A19443-BBB1-498B-96F7-F5FEE6D506B4}"/>
    <cellStyle name="Normal 5 2 2 2 4 4 2 4" xfId="22581" xr:uid="{D3F99454-92DF-42B0-9800-E526A3660BEB}"/>
    <cellStyle name="Normal 5 2 2 2 4 4 3" xfId="6028" xr:uid="{00000000-0005-0000-0000-00007C170000}"/>
    <cellStyle name="Normal 5 2 2 2 4 4 3 2" xfId="15354" xr:uid="{5D9A857E-3B4A-4DE6-A1E7-D33FBA848E11}"/>
    <cellStyle name="Normal 5 2 2 2 4 4 3 3" xfId="24653" xr:uid="{38573E14-1F47-4E67-93B6-12AFDE717087}"/>
    <cellStyle name="Normal 5 2 2 2 4 4 4" xfId="11137" xr:uid="{D6EA0CE6-1A21-4650-BA79-3E8C5BEE7249}"/>
    <cellStyle name="Normal 5 2 2 2 4 4 5" xfId="20436" xr:uid="{1D8F1B55-8F14-4411-951C-BC332D04D359}"/>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4BECD5E9-1BD5-4F63-A544-DECF79441F62}"/>
    <cellStyle name="Normal 5 2 2 2 4 5 2 2 3" xfId="27211" xr:uid="{5F323A21-0A3B-40D3-9A73-86F320395843}"/>
    <cellStyle name="Normal 5 2 2 2 4 5 2 3" xfId="13695" xr:uid="{81E2C7F9-A39E-4867-B015-571A197037A5}"/>
    <cellStyle name="Normal 5 2 2 2 4 5 2 4" xfId="22994" xr:uid="{C10E9FCA-1985-455B-8849-B6A3740859E4}"/>
    <cellStyle name="Normal 5 2 2 2 4 5 3" xfId="6441" xr:uid="{00000000-0005-0000-0000-000080170000}"/>
    <cellStyle name="Normal 5 2 2 2 4 5 3 2" xfId="15767" xr:uid="{EB898188-9E30-4AFF-AF5D-3FD8A3AB79CB}"/>
    <cellStyle name="Normal 5 2 2 2 4 5 3 3" xfId="25066" xr:uid="{7F06C6FF-C0F6-4342-A4B1-5637BF0B7D46}"/>
    <cellStyle name="Normal 5 2 2 2 4 5 4" xfId="11550" xr:uid="{B54443EF-5731-45B5-8EFB-D0892B8B785E}"/>
    <cellStyle name="Normal 5 2 2 2 4 5 5" xfId="20849" xr:uid="{2AA503B2-F05C-4E06-86B1-1D786538DF02}"/>
    <cellStyle name="Normal 5 2 2 2 4 6" xfId="2571" xr:uid="{00000000-0005-0000-0000-000081170000}"/>
    <cellStyle name="Normal 5 2 2 2 4 6 2" xfId="6854" xr:uid="{00000000-0005-0000-0000-000082170000}"/>
    <cellStyle name="Normal 5 2 2 2 4 6 2 2" xfId="16180" xr:uid="{BE8F7B77-D261-4B8F-AC54-47372AF6A453}"/>
    <cellStyle name="Normal 5 2 2 2 4 6 2 3" xfId="25479" xr:uid="{5A570FF6-CDC9-4FAD-9DC5-66D46C611603}"/>
    <cellStyle name="Normal 5 2 2 2 4 6 3" xfId="11963" xr:uid="{1E86D355-EBB9-4A74-B286-5E3B8272AF29}"/>
    <cellStyle name="Normal 5 2 2 2 4 6 4" xfId="21262" xr:uid="{94BB7C5B-A862-4248-8899-07F3EDC51DE2}"/>
    <cellStyle name="Normal 5 2 2 2 4 7" xfId="4789" xr:uid="{00000000-0005-0000-0000-000083170000}"/>
    <cellStyle name="Normal 5 2 2 2 4 7 2" xfId="14115" xr:uid="{DB071793-DC4A-41A7-A1C2-DA6E76F2641F}"/>
    <cellStyle name="Normal 5 2 2 2 4 7 3" xfId="23414" xr:uid="{46E46437-51B0-439A-AA12-15A527488551}"/>
    <cellStyle name="Normal 5 2 2 2 4 8" xfId="8978" xr:uid="{5B5F86B4-BA0F-43A7-920A-E466FD014739}"/>
    <cellStyle name="Normal 5 2 2 2 4 8 2" xfId="18302" xr:uid="{9DD64E69-07F0-4BD5-BF14-BA459911651E}"/>
    <cellStyle name="Normal 5 2 2 2 4 8 3" xfId="27600" xr:uid="{E69D6FE2-65A0-4B30-883C-21BEE6C1775D}"/>
    <cellStyle name="Normal 5 2 2 2 4 9" xfId="9898" xr:uid="{B787FF41-FE7A-4E72-A945-EB2BE80AFDC0}"/>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27F0897E-7D39-4D18-BB6F-0ECFB856B353}"/>
    <cellStyle name="Normal 5 2 2 2 5 2 2 3" xfId="25965" xr:uid="{9FE7E391-FC73-4868-B0D5-84CAA13411C2}"/>
    <cellStyle name="Normal 5 2 2 2 5 2 3" xfId="12449" xr:uid="{2AD75378-CA2D-4E78-A092-D915B1ADA4EF}"/>
    <cellStyle name="Normal 5 2 2 2 5 2 4" xfId="21748" xr:uid="{8E81F673-3908-4DC5-AEF1-57220615D61C}"/>
    <cellStyle name="Normal 5 2 2 2 5 3" xfId="5195" xr:uid="{00000000-0005-0000-0000-000087170000}"/>
    <cellStyle name="Normal 5 2 2 2 5 3 2" xfId="14521" xr:uid="{95C575DD-6877-422E-B6DA-A348BC102ADA}"/>
    <cellStyle name="Normal 5 2 2 2 5 3 3" xfId="23820" xr:uid="{FF72FD04-443C-437F-82CB-9EF8D4DAB03C}"/>
    <cellStyle name="Normal 5 2 2 2 5 4" xfId="9195" xr:uid="{A7E71EA0-2CA4-4918-870E-A32EEF45C61A}"/>
    <cellStyle name="Normal 5 2 2 2 5 4 2" xfId="18511" xr:uid="{980DB0CB-651C-435A-AF2F-A35D85099D6D}"/>
    <cellStyle name="Normal 5 2 2 2 5 4 3" xfId="27808" xr:uid="{088EA82E-B905-4AB3-A4FA-87B6CBE58649}"/>
    <cellStyle name="Normal 5 2 2 2 5 5" xfId="10304" xr:uid="{1732A27D-793B-439B-B82E-5E4325859E87}"/>
    <cellStyle name="Normal 5 2 2 2 5 6" xfId="19603" xr:uid="{E889E4DF-1299-492B-8835-C1D8D84AEA50}"/>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8E222BA5-A507-482C-9986-290D70E69334}"/>
    <cellStyle name="Normal 5 2 2 2 6 2 2 3" xfId="26378" xr:uid="{9F2E9EE9-5CE0-4124-A78B-EACD0C4EE429}"/>
    <cellStyle name="Normal 5 2 2 2 6 2 3" xfId="12862" xr:uid="{FA21E41F-426E-4850-892D-1CEFE0BEEFF7}"/>
    <cellStyle name="Normal 5 2 2 2 6 2 4" xfId="22161" xr:uid="{762450A6-0842-4ADC-BF69-5A7C21F1BEA9}"/>
    <cellStyle name="Normal 5 2 2 2 6 3" xfId="5608" xr:uid="{00000000-0005-0000-0000-00008B170000}"/>
    <cellStyle name="Normal 5 2 2 2 6 3 2" xfId="14934" xr:uid="{1AD1CC07-1DF8-4C71-9C7F-0CB9299460DC}"/>
    <cellStyle name="Normal 5 2 2 2 6 3 3" xfId="24233" xr:uid="{C354BBCB-8834-47A6-BDE8-3DA5F4C4973E}"/>
    <cellStyle name="Normal 5 2 2 2 6 4" xfId="10717" xr:uid="{983B23EF-ED9C-44CA-A925-7F941FD85B89}"/>
    <cellStyle name="Normal 5 2 2 2 6 5" xfId="20016" xr:uid="{A8356402-3EB8-4944-A9FA-4DC912A0AC3E}"/>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B8134E23-55B6-4DB5-8C32-F6A16964CD77}"/>
    <cellStyle name="Normal 5 2 2 2 7 2 2 3" xfId="26791" xr:uid="{6995DFB9-A0BF-4A4C-AA5C-F9908A7BB59A}"/>
    <cellStyle name="Normal 5 2 2 2 7 2 3" xfId="13275" xr:uid="{7B68D073-9EC8-41A8-A568-93951CBC74C6}"/>
    <cellStyle name="Normal 5 2 2 2 7 2 4" xfId="22574" xr:uid="{689C9156-621F-436A-9C42-F10D6EC560CE}"/>
    <cellStyle name="Normal 5 2 2 2 7 3" xfId="6021" xr:uid="{00000000-0005-0000-0000-00008F170000}"/>
    <cellStyle name="Normal 5 2 2 2 7 3 2" xfId="15347" xr:uid="{98850868-9D32-4EA8-A557-EAAEEE841BB7}"/>
    <cellStyle name="Normal 5 2 2 2 7 3 3" xfId="24646" xr:uid="{0C323E7A-228D-4433-9E6B-DBC4C8EACD04}"/>
    <cellStyle name="Normal 5 2 2 2 7 4" xfId="11130" xr:uid="{D5E4F50D-D153-47EB-8AE2-EDD547287A8A}"/>
    <cellStyle name="Normal 5 2 2 2 7 5" xfId="20429" xr:uid="{D34E8629-1A51-46A4-8CB0-16F454075ED9}"/>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2F923332-D4DE-4BD0-A671-DFB0B25F4590}"/>
    <cellStyle name="Normal 5 2 2 2 8 2 2 3" xfId="27204" xr:uid="{A4A7AC1D-19A3-4FB2-9A63-09099052A7EC}"/>
    <cellStyle name="Normal 5 2 2 2 8 2 3" xfId="13688" xr:uid="{900C5FA2-2F35-46D3-845B-BD3161B09E77}"/>
    <cellStyle name="Normal 5 2 2 2 8 2 4" xfId="22987" xr:uid="{126AC4AC-2392-494D-96F4-34BC20E22BFA}"/>
    <cellStyle name="Normal 5 2 2 2 8 3" xfId="6434" xr:uid="{00000000-0005-0000-0000-000093170000}"/>
    <cellStyle name="Normal 5 2 2 2 8 3 2" xfId="15760" xr:uid="{3ED340F3-E673-4972-92E6-B2E1AB4C6C12}"/>
    <cellStyle name="Normal 5 2 2 2 8 3 3" xfId="25059" xr:uid="{7025092C-F403-42B8-AD22-E9AF1FD514D6}"/>
    <cellStyle name="Normal 5 2 2 2 8 4" xfId="11543" xr:uid="{B8C9E437-6B6C-4319-BEDF-27323180B065}"/>
    <cellStyle name="Normal 5 2 2 2 8 5" xfId="20842" xr:uid="{7112FCF6-EF27-4804-9E40-B33FB87471CD}"/>
    <cellStyle name="Normal 5 2 2 2 9" xfId="2564" xr:uid="{00000000-0005-0000-0000-000094170000}"/>
    <cellStyle name="Normal 5 2 2 2 9 2" xfId="6847" xr:uid="{00000000-0005-0000-0000-000095170000}"/>
    <cellStyle name="Normal 5 2 2 2 9 2 2" xfId="16173" xr:uid="{58F5CFCF-89C0-4F41-AE0D-88C2F8C79BB1}"/>
    <cellStyle name="Normal 5 2 2 2 9 2 3" xfId="25472" xr:uid="{22CB9427-CA61-4FB8-9164-8E485E278097}"/>
    <cellStyle name="Normal 5 2 2 2 9 3" xfId="11956" xr:uid="{08B640E9-7C0A-419D-BAF8-53E4B86617EF}"/>
    <cellStyle name="Normal 5 2 2 2 9 4" xfId="21255" xr:uid="{1FA53C28-AA51-4974-9229-5D79D2922387}"/>
    <cellStyle name="Normal 5 2 2 3" xfId="417" xr:uid="{00000000-0005-0000-0000-000096170000}"/>
    <cellStyle name="Normal 5 2 2 3 10" xfId="8828" xr:uid="{5CED8211-F967-469B-812B-9DF6FC250177}"/>
    <cellStyle name="Normal 5 2 2 3 10 2" xfId="18152" xr:uid="{C9AE773E-3489-4092-AE91-737A1ACDD98F}"/>
    <cellStyle name="Normal 5 2 2 3 10 3" xfId="27450" xr:uid="{10FA2511-4D3D-4CB9-A730-930AA80B0092}"/>
    <cellStyle name="Normal 5 2 2 3 11" xfId="9899" xr:uid="{FFAFF1D1-6E90-4721-B3FF-A6C955D4F4B3}"/>
    <cellStyle name="Normal 5 2 2 3 12" xfId="19198" xr:uid="{C83BD3B0-921D-4ADB-B29F-1D5BDCF9C5CE}"/>
    <cellStyle name="Normal 5 2 2 3 2" xfId="418" xr:uid="{00000000-0005-0000-0000-000097170000}"/>
    <cellStyle name="Normal 5 2 2 3 2 10" xfId="9900" xr:uid="{15EE9567-C166-411B-89E5-A666F6920E82}"/>
    <cellStyle name="Normal 5 2 2 3 2 11" xfId="19199" xr:uid="{4E59D4C2-71F1-47DD-AF2F-3163AABA0D48}"/>
    <cellStyle name="Normal 5 2 2 3 2 2" xfId="419" xr:uid="{00000000-0005-0000-0000-000098170000}"/>
    <cellStyle name="Normal 5 2 2 3 2 2 10" xfId="19200" xr:uid="{F7C41B8C-9CBD-491B-8A8A-1D6D7E7C970E}"/>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1E716634-8EF6-4C14-898F-E4C0DDA404F9}"/>
    <cellStyle name="Normal 5 2 2 3 2 2 2 2 2 3" xfId="25975" xr:uid="{F3DADD89-C260-40DA-804D-855FF7F57697}"/>
    <cellStyle name="Normal 5 2 2 3 2 2 2 2 3" xfId="12459" xr:uid="{3C3DDE9C-D402-49A7-8757-81D72CC13A50}"/>
    <cellStyle name="Normal 5 2 2 3 2 2 2 2 4" xfId="21758" xr:uid="{5C40B7EB-8275-40F2-9255-2470AD4773CB}"/>
    <cellStyle name="Normal 5 2 2 3 2 2 2 3" xfId="5205" xr:uid="{00000000-0005-0000-0000-00009C170000}"/>
    <cellStyle name="Normal 5 2 2 3 2 2 2 3 2" xfId="14531" xr:uid="{EB34E842-F54A-4AAA-8710-A650550A7D35}"/>
    <cellStyle name="Normal 5 2 2 3 2 2 2 3 3" xfId="23830" xr:uid="{2D094517-805B-45B7-80AD-8F9F1D7E15CD}"/>
    <cellStyle name="Normal 5 2 2 3 2 2 2 4" xfId="9563" xr:uid="{804E641C-B5FA-46A3-B805-C1D4AF390C28}"/>
    <cellStyle name="Normal 5 2 2 3 2 2 2 4 2" xfId="18878" xr:uid="{1C99556A-3520-46EB-8CAC-947CB1A8E41A}"/>
    <cellStyle name="Normal 5 2 2 3 2 2 2 4 3" xfId="28175" xr:uid="{59CAD340-471A-452C-9937-1F8592544D4C}"/>
    <cellStyle name="Normal 5 2 2 3 2 2 2 5" xfId="10314" xr:uid="{722DACCB-268E-4802-B34E-F9BB4534E6A4}"/>
    <cellStyle name="Normal 5 2 2 3 2 2 2 6" xfId="19613" xr:uid="{EDA261E8-11D8-410F-B47F-4C9BC67035E2}"/>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BF80C689-027B-4068-99B4-1C01B5A040A9}"/>
    <cellStyle name="Normal 5 2 2 3 2 2 3 2 2 3" xfId="26388" xr:uid="{DF8E98CC-F0C5-4A70-8556-AEC836EDC467}"/>
    <cellStyle name="Normal 5 2 2 3 2 2 3 2 3" xfId="12872" xr:uid="{5D88F003-11FA-44D5-93AE-BC9417E3618D}"/>
    <cellStyle name="Normal 5 2 2 3 2 2 3 2 4" xfId="22171" xr:uid="{C259DE69-0AE5-4497-A5CE-0FE276EBC0EF}"/>
    <cellStyle name="Normal 5 2 2 3 2 2 3 3" xfId="5618" xr:uid="{00000000-0005-0000-0000-0000A0170000}"/>
    <cellStyle name="Normal 5 2 2 3 2 2 3 3 2" xfId="14944" xr:uid="{96058DD1-670D-479C-B678-58C493500AAD}"/>
    <cellStyle name="Normal 5 2 2 3 2 2 3 3 3" xfId="24243" xr:uid="{BCD3EB32-BD35-4DBC-BE48-9C183D208096}"/>
    <cellStyle name="Normal 5 2 2 3 2 2 3 4" xfId="10727" xr:uid="{F7AF29B4-0E75-4ABD-88EB-63874EAADB75}"/>
    <cellStyle name="Normal 5 2 2 3 2 2 3 5" xfId="20026" xr:uid="{9BE7EF65-906F-4D50-B462-9A106E31F1C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A1862700-A49D-4FE5-812D-FAEBD02780E1}"/>
    <cellStyle name="Normal 5 2 2 3 2 2 4 2 2 3" xfId="26801" xr:uid="{828B24DA-6B0C-45FE-B11F-60880643A851}"/>
    <cellStyle name="Normal 5 2 2 3 2 2 4 2 3" xfId="13285" xr:uid="{4E4FCE54-3E93-4734-898E-B9FD99183E64}"/>
    <cellStyle name="Normal 5 2 2 3 2 2 4 2 4" xfId="22584" xr:uid="{AFF5E706-4EE5-464A-97A6-BBB6501E30DD}"/>
    <cellStyle name="Normal 5 2 2 3 2 2 4 3" xfId="6031" xr:uid="{00000000-0005-0000-0000-0000A4170000}"/>
    <cellStyle name="Normal 5 2 2 3 2 2 4 3 2" xfId="15357" xr:uid="{08646BC6-BA0A-4A3A-A2D0-9E2C999963C3}"/>
    <cellStyle name="Normal 5 2 2 3 2 2 4 3 3" xfId="24656" xr:uid="{45EE2679-B18E-4BD9-8382-E6E802ADF146}"/>
    <cellStyle name="Normal 5 2 2 3 2 2 4 4" xfId="11140" xr:uid="{E3D80E8F-47FE-467C-BA85-430386A6DE81}"/>
    <cellStyle name="Normal 5 2 2 3 2 2 4 5" xfId="20439" xr:uid="{5F090208-F195-409E-8E34-80DBB824D60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7A025EF0-CA56-4792-BE0E-4DC787C19EAC}"/>
    <cellStyle name="Normal 5 2 2 3 2 2 5 2 2 3" xfId="27214" xr:uid="{A6A06552-DCCE-45A5-B8DD-4615223C4988}"/>
    <cellStyle name="Normal 5 2 2 3 2 2 5 2 3" xfId="13698" xr:uid="{91C137C3-5129-483F-AE36-8A3C9AD65718}"/>
    <cellStyle name="Normal 5 2 2 3 2 2 5 2 4" xfId="22997" xr:uid="{BADB72EC-0196-40BA-A266-52C1A8C69F34}"/>
    <cellStyle name="Normal 5 2 2 3 2 2 5 3" xfId="6444" xr:uid="{00000000-0005-0000-0000-0000A8170000}"/>
    <cellStyle name="Normal 5 2 2 3 2 2 5 3 2" xfId="15770" xr:uid="{24B32585-9D54-4C8C-BDFE-32AEB7E1906B}"/>
    <cellStyle name="Normal 5 2 2 3 2 2 5 3 3" xfId="25069" xr:uid="{C09A04E8-F23A-43A3-BD50-681A64618E3E}"/>
    <cellStyle name="Normal 5 2 2 3 2 2 5 4" xfId="11553" xr:uid="{EFDC55F9-7893-45C2-A166-C940E419028D}"/>
    <cellStyle name="Normal 5 2 2 3 2 2 5 5" xfId="20852" xr:uid="{8262D857-08FB-43EF-8B02-DB117C876FC7}"/>
    <cellStyle name="Normal 5 2 2 3 2 2 6" xfId="2574" xr:uid="{00000000-0005-0000-0000-0000A9170000}"/>
    <cellStyle name="Normal 5 2 2 3 2 2 6 2" xfId="6857" xr:uid="{00000000-0005-0000-0000-0000AA170000}"/>
    <cellStyle name="Normal 5 2 2 3 2 2 6 2 2" xfId="16183" xr:uid="{1617F3DE-5390-4754-AD46-6A920673D902}"/>
    <cellStyle name="Normal 5 2 2 3 2 2 6 2 3" xfId="25482" xr:uid="{D3AA1342-72DA-4D99-AEF3-8560EB31C0F1}"/>
    <cellStyle name="Normal 5 2 2 3 2 2 6 3" xfId="11966" xr:uid="{8CAB11C9-15A6-4F57-9258-D4D45C890436}"/>
    <cellStyle name="Normal 5 2 2 3 2 2 6 4" xfId="21265" xr:uid="{EDB5E896-2E3F-4AD2-A56B-D59A86D71B9D}"/>
    <cellStyle name="Normal 5 2 2 3 2 2 7" xfId="4792" xr:uid="{00000000-0005-0000-0000-0000AB170000}"/>
    <cellStyle name="Normal 5 2 2 3 2 2 7 2" xfId="14118" xr:uid="{F8DF76B0-0EEE-467C-9BF1-DEDF3882A6F5}"/>
    <cellStyle name="Normal 5 2 2 3 2 2 7 3" xfId="23417" xr:uid="{47CFDC54-2686-4748-A211-122C19E6C39E}"/>
    <cellStyle name="Normal 5 2 2 3 2 2 8" xfId="9138" xr:uid="{BE73D583-3CAB-48A9-8A6F-E88EE69D1D1D}"/>
    <cellStyle name="Normal 5 2 2 3 2 2 8 2" xfId="18462" xr:uid="{3AD69733-D10B-48D6-8149-2E862AD97704}"/>
    <cellStyle name="Normal 5 2 2 3 2 2 8 3" xfId="27760" xr:uid="{2FBC3C14-DEE2-433E-A33E-20A494DF8F0F}"/>
    <cellStyle name="Normal 5 2 2 3 2 2 9" xfId="9901" xr:uid="{FADAAFF7-3F3D-4294-8D5E-48AE03CA65D5}"/>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9EB5B5F7-DE16-4242-9001-3B15C4E5C3FE}"/>
    <cellStyle name="Normal 5 2 2 3 2 3 2 2 3" xfId="25974" xr:uid="{91944ED4-2BFC-4D93-9EC9-EDD096211D4C}"/>
    <cellStyle name="Normal 5 2 2 3 2 3 2 3" xfId="12458" xr:uid="{71361392-AC65-4689-B4CA-0C145E5BBCAB}"/>
    <cellStyle name="Normal 5 2 2 3 2 3 2 4" xfId="21757" xr:uid="{1EAD03CC-2784-47AB-8184-76628376461B}"/>
    <cellStyle name="Normal 5 2 2 3 2 3 3" xfId="5204" xr:uid="{00000000-0005-0000-0000-0000AF170000}"/>
    <cellStyle name="Normal 5 2 2 3 2 3 3 2" xfId="14530" xr:uid="{77BA89B6-4A8B-4024-9C38-29942465B23F}"/>
    <cellStyle name="Normal 5 2 2 3 2 3 3 3" xfId="23829" xr:uid="{59F3E213-D0D3-4596-AB1D-DAA293895F55}"/>
    <cellStyle name="Normal 5 2 2 3 2 3 4" xfId="9356" xr:uid="{58BAA3B3-A7A2-4F6F-9929-D8BE9F0A557D}"/>
    <cellStyle name="Normal 5 2 2 3 2 3 4 2" xfId="18671" xr:uid="{6AC98E96-E1E9-4FFE-A629-44C92B73A8D7}"/>
    <cellStyle name="Normal 5 2 2 3 2 3 4 3" xfId="27968" xr:uid="{01240E0A-D858-4A16-B6A3-F66696DEC052}"/>
    <cellStyle name="Normal 5 2 2 3 2 3 5" xfId="10313" xr:uid="{A8489E29-8A0C-4CA9-8D54-D0F99BFE4697}"/>
    <cellStyle name="Normal 5 2 2 3 2 3 6" xfId="19612" xr:uid="{49D5B1B0-1B8C-4D2F-9667-86515F9ED2B9}"/>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D72ED741-DBF0-4CCF-8F77-F3F02DE3F8B3}"/>
    <cellStyle name="Normal 5 2 2 3 2 4 2 2 3" xfId="26387" xr:uid="{5BA61BBC-E609-409D-BD6D-9AB6FE114814}"/>
    <cellStyle name="Normal 5 2 2 3 2 4 2 3" xfId="12871" xr:uid="{C137B425-DE45-4A61-8422-8AB9C9AC3781}"/>
    <cellStyle name="Normal 5 2 2 3 2 4 2 4" xfId="22170" xr:uid="{BDEB0ED0-3FE2-4E54-BEBB-3C1698BB46F0}"/>
    <cellStyle name="Normal 5 2 2 3 2 4 3" xfId="5617" xr:uid="{00000000-0005-0000-0000-0000B3170000}"/>
    <cellStyle name="Normal 5 2 2 3 2 4 3 2" xfId="14943" xr:uid="{66006CB6-26CD-45D5-B785-AB1901B5EF30}"/>
    <cellStyle name="Normal 5 2 2 3 2 4 3 3" xfId="24242" xr:uid="{6EB58A59-AF89-4BB7-A649-34DEC921C73A}"/>
    <cellStyle name="Normal 5 2 2 3 2 4 4" xfId="10726" xr:uid="{9E46DF68-948F-4FC7-99E4-FF620F7EC564}"/>
    <cellStyle name="Normal 5 2 2 3 2 4 5" xfId="20025" xr:uid="{5CD7EA32-5244-4ECC-ABCC-E51B86220F5E}"/>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856A3644-08A5-47A4-B3FC-3997BD12B0A0}"/>
    <cellStyle name="Normal 5 2 2 3 2 5 2 2 3" xfId="26800" xr:uid="{13C5F311-F493-48E4-A3AD-6269287A6BB1}"/>
    <cellStyle name="Normal 5 2 2 3 2 5 2 3" xfId="13284" xr:uid="{DB107E30-1757-44EF-9E3D-A0A4F1538105}"/>
    <cellStyle name="Normal 5 2 2 3 2 5 2 4" xfId="22583" xr:uid="{F87D3E29-CC4E-41B9-AA14-012408BB17C7}"/>
    <cellStyle name="Normal 5 2 2 3 2 5 3" xfId="6030" xr:uid="{00000000-0005-0000-0000-0000B7170000}"/>
    <cellStyle name="Normal 5 2 2 3 2 5 3 2" xfId="15356" xr:uid="{EAA9121A-37D4-48B1-B26D-71EE27C51F1C}"/>
    <cellStyle name="Normal 5 2 2 3 2 5 3 3" xfId="24655" xr:uid="{95F2CEFA-4E8A-4320-BF68-798D40565564}"/>
    <cellStyle name="Normal 5 2 2 3 2 5 4" xfId="11139" xr:uid="{10D6010E-A195-474C-9638-2EA0CF81464E}"/>
    <cellStyle name="Normal 5 2 2 3 2 5 5" xfId="20438" xr:uid="{59DBD9E9-9363-485A-ADB6-15A93116F4E2}"/>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8BA98812-22AC-4688-86D9-D0EAD0A39687}"/>
    <cellStyle name="Normal 5 2 2 3 2 6 2 2 3" xfId="27213" xr:uid="{3D6FD560-5CD9-4CB3-AEBE-A3595A02915B}"/>
    <cellStyle name="Normal 5 2 2 3 2 6 2 3" xfId="13697" xr:uid="{4A73774F-AC95-4C58-A23F-410AE1736475}"/>
    <cellStyle name="Normal 5 2 2 3 2 6 2 4" xfId="22996" xr:uid="{8A7FD2C0-8971-4777-B34A-208B9C943AFC}"/>
    <cellStyle name="Normal 5 2 2 3 2 6 3" xfId="6443" xr:uid="{00000000-0005-0000-0000-0000BB170000}"/>
    <cellStyle name="Normal 5 2 2 3 2 6 3 2" xfId="15769" xr:uid="{ED0781BB-6E07-48D7-BF4E-AFA0E7F7E075}"/>
    <cellStyle name="Normal 5 2 2 3 2 6 3 3" xfId="25068" xr:uid="{22D572D2-9544-42CF-A5E7-8CE4864DABBE}"/>
    <cellStyle name="Normal 5 2 2 3 2 6 4" xfId="11552" xr:uid="{4692FD51-81B4-46A5-8D4D-9451BA43C44E}"/>
    <cellStyle name="Normal 5 2 2 3 2 6 5" xfId="20851" xr:uid="{38C41148-1455-4316-8880-8A256204D780}"/>
    <cellStyle name="Normal 5 2 2 3 2 7" xfId="2573" xr:uid="{00000000-0005-0000-0000-0000BC170000}"/>
    <cellStyle name="Normal 5 2 2 3 2 7 2" xfId="6856" xr:uid="{00000000-0005-0000-0000-0000BD170000}"/>
    <cellStyle name="Normal 5 2 2 3 2 7 2 2" xfId="16182" xr:uid="{54BC6F69-5A38-4B0E-86A4-B3188334EDA5}"/>
    <cellStyle name="Normal 5 2 2 3 2 7 2 3" xfId="25481" xr:uid="{5FF79735-1B57-411A-A9F1-B096645FBB51}"/>
    <cellStyle name="Normal 5 2 2 3 2 7 3" xfId="11965" xr:uid="{DE026AE0-1396-4C93-8916-F81CEAF3C7D4}"/>
    <cellStyle name="Normal 5 2 2 3 2 7 4" xfId="21264" xr:uid="{7E5A9532-B4D2-4984-A658-9AA7EFBB2D11}"/>
    <cellStyle name="Normal 5 2 2 3 2 8" xfId="4791" xr:uid="{00000000-0005-0000-0000-0000BE170000}"/>
    <cellStyle name="Normal 5 2 2 3 2 8 2" xfId="14117" xr:uid="{8269437D-7C5C-4439-A71A-807B4BEB4C03}"/>
    <cellStyle name="Normal 5 2 2 3 2 8 3" xfId="23416" xr:uid="{AB73342A-C7B9-4BAA-B64C-B6D52E168280}"/>
    <cellStyle name="Normal 5 2 2 3 2 9" xfId="8931" xr:uid="{E27E09D3-2564-4B82-8EA4-A27330B6B436}"/>
    <cellStyle name="Normal 5 2 2 3 2 9 2" xfId="18255" xr:uid="{82AD2984-6E35-4996-9BF9-5FB497CD25D3}"/>
    <cellStyle name="Normal 5 2 2 3 2 9 3" xfId="27553" xr:uid="{029E72A0-019A-4ADC-9003-5EC557CD646F}"/>
    <cellStyle name="Normal 5 2 2 3 3" xfId="420" xr:uid="{00000000-0005-0000-0000-0000BF170000}"/>
    <cellStyle name="Normal 5 2 2 3 3 10" xfId="19201" xr:uid="{666E17B6-2810-4C95-BAFE-BB11AE29E7D5}"/>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07FE08BF-E9ED-498A-B81F-9D7D244DA6A0}"/>
    <cellStyle name="Normal 5 2 2 3 3 2 2 2 3" xfId="25976" xr:uid="{FEF8B65F-8633-404F-8890-C64CF41172B7}"/>
    <cellStyle name="Normal 5 2 2 3 3 2 2 3" xfId="12460" xr:uid="{ED4F3438-8E13-4D65-95E2-BCD43D9244C7}"/>
    <cellStyle name="Normal 5 2 2 3 3 2 2 4" xfId="21759" xr:uid="{A8DA651F-17E3-4B06-959E-7E7B692839DB}"/>
    <cellStyle name="Normal 5 2 2 3 3 2 3" xfId="5206" xr:uid="{00000000-0005-0000-0000-0000C3170000}"/>
    <cellStyle name="Normal 5 2 2 3 3 2 3 2" xfId="14532" xr:uid="{0906B7E6-0AF0-4D21-96EF-10C89941A778}"/>
    <cellStyle name="Normal 5 2 2 3 3 2 3 3" xfId="23831" xr:uid="{C224E594-37F7-4BEE-9A7B-C1F111795D29}"/>
    <cellStyle name="Normal 5 2 2 3 3 2 4" xfId="9460" xr:uid="{423E0BE9-24F3-4EF0-8962-2565594BF831}"/>
    <cellStyle name="Normal 5 2 2 3 3 2 4 2" xfId="18775" xr:uid="{F3A076A2-2515-48DA-85BF-4E773FFA82F3}"/>
    <cellStyle name="Normal 5 2 2 3 3 2 4 3" xfId="28072" xr:uid="{5DC329DE-55AF-4454-8795-97CE825FABE0}"/>
    <cellStyle name="Normal 5 2 2 3 3 2 5" xfId="10315" xr:uid="{68487365-9FE3-4DA8-AA2C-44EDD2EDAC9C}"/>
    <cellStyle name="Normal 5 2 2 3 3 2 6" xfId="19614" xr:uid="{1A368002-8621-4DDC-894D-9E4D15339BD4}"/>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34D6FD1A-DC27-4F55-9539-562E518096B6}"/>
    <cellStyle name="Normal 5 2 2 3 3 3 2 2 3" xfId="26389" xr:uid="{D4483B26-831D-4755-AC51-5B72087C643B}"/>
    <cellStyle name="Normal 5 2 2 3 3 3 2 3" xfId="12873" xr:uid="{25DC462A-8DC9-45C2-8A7E-B9F0E2ABFF16}"/>
    <cellStyle name="Normal 5 2 2 3 3 3 2 4" xfId="22172" xr:uid="{8F59B204-C094-4E78-AA99-0CB633EBAB85}"/>
    <cellStyle name="Normal 5 2 2 3 3 3 3" xfId="5619" xr:uid="{00000000-0005-0000-0000-0000C7170000}"/>
    <cellStyle name="Normal 5 2 2 3 3 3 3 2" xfId="14945" xr:uid="{8362A2F2-88A6-446F-9940-4484CDD2BDA2}"/>
    <cellStyle name="Normal 5 2 2 3 3 3 3 3" xfId="24244" xr:uid="{6EC46D5B-6904-4D9F-ABE6-D33142655226}"/>
    <cellStyle name="Normal 5 2 2 3 3 3 4" xfId="10728" xr:uid="{A808C583-1A18-4617-A065-3DD5D705C3E5}"/>
    <cellStyle name="Normal 5 2 2 3 3 3 5" xfId="20027" xr:uid="{5BB46C6B-8FCC-4BE0-B2CD-B6E7616C50F5}"/>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7F9B5F13-5761-4B0A-ABA7-3B6E725B5DE0}"/>
    <cellStyle name="Normal 5 2 2 3 3 4 2 2 3" xfId="26802" xr:uid="{37C8FF3B-2DCA-460A-A8E1-F634EC9FD252}"/>
    <cellStyle name="Normal 5 2 2 3 3 4 2 3" xfId="13286" xr:uid="{0E2DB2E7-F369-408F-989F-A78224624F99}"/>
    <cellStyle name="Normal 5 2 2 3 3 4 2 4" xfId="22585" xr:uid="{41C090F6-BA59-40FF-A16C-0FC5B13798F8}"/>
    <cellStyle name="Normal 5 2 2 3 3 4 3" xfId="6032" xr:uid="{00000000-0005-0000-0000-0000CB170000}"/>
    <cellStyle name="Normal 5 2 2 3 3 4 3 2" xfId="15358" xr:uid="{6E1AA9ED-1B30-405A-9446-0887586CCE65}"/>
    <cellStyle name="Normal 5 2 2 3 3 4 3 3" xfId="24657" xr:uid="{BB195038-8967-4534-B766-5FA515580B2E}"/>
    <cellStyle name="Normal 5 2 2 3 3 4 4" xfId="11141" xr:uid="{6C7270E1-7049-4B06-8943-0458C1FD39D7}"/>
    <cellStyle name="Normal 5 2 2 3 3 4 5" xfId="20440" xr:uid="{2915DE5F-DF18-4827-AE35-18EDE36DE969}"/>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D92A5B8B-F73F-471F-A600-D8D4B41ED38E}"/>
    <cellStyle name="Normal 5 2 2 3 3 5 2 2 3" xfId="27215" xr:uid="{507F6AB0-3F24-4C88-A844-B1753D858E80}"/>
    <cellStyle name="Normal 5 2 2 3 3 5 2 3" xfId="13699" xr:uid="{44030D02-5754-45A2-8B04-42E5A12ED972}"/>
    <cellStyle name="Normal 5 2 2 3 3 5 2 4" xfId="22998" xr:uid="{6E93EDA7-D360-439C-B81D-33EA4EF18124}"/>
    <cellStyle name="Normal 5 2 2 3 3 5 3" xfId="6445" xr:uid="{00000000-0005-0000-0000-0000CF170000}"/>
    <cellStyle name="Normal 5 2 2 3 3 5 3 2" xfId="15771" xr:uid="{7DC46ABC-E159-4A69-A79B-09478D29C837}"/>
    <cellStyle name="Normal 5 2 2 3 3 5 3 3" xfId="25070" xr:uid="{8D3F9F97-E926-4591-8316-573142601BF7}"/>
    <cellStyle name="Normal 5 2 2 3 3 5 4" xfId="11554" xr:uid="{98E27AAC-5E3B-47D5-817B-C56F6894025E}"/>
    <cellStyle name="Normal 5 2 2 3 3 5 5" xfId="20853" xr:uid="{96D73B27-4E8A-4D73-95C4-CAC756965442}"/>
    <cellStyle name="Normal 5 2 2 3 3 6" xfId="2575" xr:uid="{00000000-0005-0000-0000-0000D0170000}"/>
    <cellStyle name="Normal 5 2 2 3 3 6 2" xfId="6858" xr:uid="{00000000-0005-0000-0000-0000D1170000}"/>
    <cellStyle name="Normal 5 2 2 3 3 6 2 2" xfId="16184" xr:uid="{55641319-3AE7-4F05-81C1-C74A438726B2}"/>
    <cellStyle name="Normal 5 2 2 3 3 6 2 3" xfId="25483" xr:uid="{0EFB68EB-2ACD-4F99-8B34-975B77BF3B6B}"/>
    <cellStyle name="Normal 5 2 2 3 3 6 3" xfId="11967" xr:uid="{DA6C92F4-4982-43D7-837F-D6B9FEDF562A}"/>
    <cellStyle name="Normal 5 2 2 3 3 6 4" xfId="21266" xr:uid="{43B3E2A1-CD46-4431-9176-DE6C143E5EC1}"/>
    <cellStyle name="Normal 5 2 2 3 3 7" xfId="4793" xr:uid="{00000000-0005-0000-0000-0000D2170000}"/>
    <cellStyle name="Normal 5 2 2 3 3 7 2" xfId="14119" xr:uid="{69F58F1D-1B02-4A2A-907A-388EFE0C2F4D}"/>
    <cellStyle name="Normal 5 2 2 3 3 7 3" xfId="23418" xr:uid="{B779E425-A3B6-4F1B-B7FC-80E6454FBCC1}"/>
    <cellStyle name="Normal 5 2 2 3 3 8" xfId="9035" xr:uid="{6AC57173-16AF-4847-A277-E4254AACDA36}"/>
    <cellStyle name="Normal 5 2 2 3 3 8 2" xfId="18359" xr:uid="{BC9707D9-CD31-4AB3-9C50-4DE136834083}"/>
    <cellStyle name="Normal 5 2 2 3 3 8 3" xfId="27657" xr:uid="{0828305C-5A86-449F-9159-BB396C8A51DB}"/>
    <cellStyle name="Normal 5 2 2 3 3 9" xfId="9902" xr:uid="{1FDAD83E-18A1-4691-A961-0D41A34ECBB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3B389AD6-027F-49C8-B34D-97527AB56D2A}"/>
    <cellStyle name="Normal 5 2 2 3 4 2 2 3" xfId="25973" xr:uid="{66935AEA-7B05-43B8-A649-DE6B5783670D}"/>
    <cellStyle name="Normal 5 2 2 3 4 2 3" xfId="12457" xr:uid="{2DD0562F-C513-4ABC-8C1A-1028A9F97CAC}"/>
    <cellStyle name="Normal 5 2 2 3 4 2 4" xfId="21756" xr:uid="{B6A4872A-77CD-4ADF-BCAC-2F14DCA6CF31}"/>
    <cellStyle name="Normal 5 2 2 3 4 3" xfId="5203" xr:uid="{00000000-0005-0000-0000-0000D6170000}"/>
    <cellStyle name="Normal 5 2 2 3 4 3 2" xfId="14529" xr:uid="{7023AB6A-0D6E-4450-8B9B-B5786917507A}"/>
    <cellStyle name="Normal 5 2 2 3 4 3 3" xfId="23828" xr:uid="{70A3BE48-E1EB-4286-B3B8-7CCCAB65355B}"/>
    <cellStyle name="Normal 5 2 2 3 4 4" xfId="9253" xr:uid="{A5C3AAF9-67DD-41B1-A0BF-05B69F588F71}"/>
    <cellStyle name="Normal 5 2 2 3 4 4 2" xfId="18568" xr:uid="{CE552588-1829-486B-B067-65E5584626A6}"/>
    <cellStyle name="Normal 5 2 2 3 4 4 3" xfId="27865" xr:uid="{5E8FCAD9-B6A4-4ED5-BC68-1AB7EF87A407}"/>
    <cellStyle name="Normal 5 2 2 3 4 5" xfId="10312" xr:uid="{8E23B2DE-B82F-4F16-84A4-A608473372B4}"/>
    <cellStyle name="Normal 5 2 2 3 4 6" xfId="19611" xr:uid="{58C7B902-DB44-4413-A173-608A88CAC46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C8FE44BE-D59A-470A-AAF2-CAB7113E237D}"/>
    <cellStyle name="Normal 5 2 2 3 5 2 2 3" xfId="26386" xr:uid="{9A239F0E-B650-4DA6-AD61-69B4332CC9ED}"/>
    <cellStyle name="Normal 5 2 2 3 5 2 3" xfId="12870" xr:uid="{6D6A88E5-BD10-4728-A6EF-CCF4D7E407B4}"/>
    <cellStyle name="Normal 5 2 2 3 5 2 4" xfId="22169" xr:uid="{F157D7E7-ED4E-4B99-AB24-42593170092F}"/>
    <cellStyle name="Normal 5 2 2 3 5 3" xfId="5616" xr:uid="{00000000-0005-0000-0000-0000DA170000}"/>
    <cellStyle name="Normal 5 2 2 3 5 3 2" xfId="14942" xr:uid="{0085F2F7-0C32-461D-939A-C5BDC04CC566}"/>
    <cellStyle name="Normal 5 2 2 3 5 3 3" xfId="24241" xr:uid="{9CC32B8C-55BD-403C-8E18-2EC69C7788CB}"/>
    <cellStyle name="Normal 5 2 2 3 5 4" xfId="10725" xr:uid="{6B0A8957-7FC8-40EC-9D5D-BF731F6344AD}"/>
    <cellStyle name="Normal 5 2 2 3 5 5" xfId="20024" xr:uid="{18010A41-0AAB-4CD9-905B-9E1A2BC7894A}"/>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C493CD36-C010-4EEB-B0BE-30E4158A0510}"/>
    <cellStyle name="Normal 5 2 2 3 6 2 2 3" xfId="26799" xr:uid="{543D7563-5834-4009-90D2-B51CE724A3D5}"/>
    <cellStyle name="Normal 5 2 2 3 6 2 3" xfId="13283" xr:uid="{B6FD309A-8F82-41EB-B1FF-FE60357C4DD7}"/>
    <cellStyle name="Normal 5 2 2 3 6 2 4" xfId="22582" xr:uid="{A3FD348E-EEFF-4F67-B85E-72A0B1A7A71B}"/>
    <cellStyle name="Normal 5 2 2 3 6 3" xfId="6029" xr:uid="{00000000-0005-0000-0000-0000DE170000}"/>
    <cellStyle name="Normal 5 2 2 3 6 3 2" xfId="15355" xr:uid="{9A5E9466-2D7E-4615-BB44-90E2384009B7}"/>
    <cellStyle name="Normal 5 2 2 3 6 3 3" xfId="24654" xr:uid="{737A97F4-BDEA-439B-B5D6-1207E1A5C1F9}"/>
    <cellStyle name="Normal 5 2 2 3 6 4" xfId="11138" xr:uid="{2A1C9746-0FC8-4D1D-9C89-6B2D8BB6ADD4}"/>
    <cellStyle name="Normal 5 2 2 3 6 5" xfId="20437" xr:uid="{9C67E45B-28FD-409D-8D00-8F585D8EB856}"/>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4251C75C-519A-4AD0-9FB6-728868D1D8A8}"/>
    <cellStyle name="Normal 5 2 2 3 7 2 2 3" xfId="27212" xr:uid="{221A06C5-0F26-4050-BD6F-B9A972E66552}"/>
    <cellStyle name="Normal 5 2 2 3 7 2 3" xfId="13696" xr:uid="{065519D1-8995-4D22-98BD-F91886AEEA6C}"/>
    <cellStyle name="Normal 5 2 2 3 7 2 4" xfId="22995" xr:uid="{FA8A8EA5-CD4A-42AC-89DF-33F09A62A7BB}"/>
    <cellStyle name="Normal 5 2 2 3 7 3" xfId="6442" xr:uid="{00000000-0005-0000-0000-0000E2170000}"/>
    <cellStyle name="Normal 5 2 2 3 7 3 2" xfId="15768" xr:uid="{94176A8E-535A-4558-B568-742ABF338721}"/>
    <cellStyle name="Normal 5 2 2 3 7 3 3" xfId="25067" xr:uid="{20158896-F81B-467B-8E73-C1BC7E5FCBC3}"/>
    <cellStyle name="Normal 5 2 2 3 7 4" xfId="11551" xr:uid="{6CC2B9C2-91B1-453F-B8F1-EEF748BF0685}"/>
    <cellStyle name="Normal 5 2 2 3 7 5" xfId="20850" xr:uid="{AA43B8B8-8715-4C4F-BA25-5CA4BFDC52DC}"/>
    <cellStyle name="Normal 5 2 2 3 8" xfId="2572" xr:uid="{00000000-0005-0000-0000-0000E3170000}"/>
    <cellStyle name="Normal 5 2 2 3 8 2" xfId="6855" xr:uid="{00000000-0005-0000-0000-0000E4170000}"/>
    <cellStyle name="Normal 5 2 2 3 8 2 2" xfId="16181" xr:uid="{293966F9-1C78-4C92-8A70-0114E04449F5}"/>
    <cellStyle name="Normal 5 2 2 3 8 2 3" xfId="25480" xr:uid="{05C982D8-2689-4725-A1DD-98EF08891693}"/>
    <cellStyle name="Normal 5 2 2 3 8 3" xfId="11964" xr:uid="{4C1AFFF6-8DF1-4A0B-93B7-54067866B414}"/>
    <cellStyle name="Normal 5 2 2 3 8 4" xfId="21263" xr:uid="{B656D0C6-D90B-4C91-8693-9A0A473EA734}"/>
    <cellStyle name="Normal 5 2 2 3 9" xfId="4790" xr:uid="{00000000-0005-0000-0000-0000E5170000}"/>
    <cellStyle name="Normal 5 2 2 3 9 2" xfId="14116" xr:uid="{FCD2A206-BF69-4E38-A0E8-EA86431869FF}"/>
    <cellStyle name="Normal 5 2 2 3 9 3" xfId="23415" xr:uid="{1DC264EB-A2ED-45F7-96F8-1890860EA729}"/>
    <cellStyle name="Normal 5 2 2 4" xfId="421" xr:uid="{00000000-0005-0000-0000-0000E6170000}"/>
    <cellStyle name="Normal 5 2 2 4 10" xfId="9903" xr:uid="{BBEDBE99-A231-468C-B3FD-9050E2C567A7}"/>
    <cellStyle name="Normal 5 2 2 4 11" xfId="19202" xr:uid="{99AD3907-8927-42FB-BA3F-C568ACC5DD7D}"/>
    <cellStyle name="Normal 5 2 2 4 2" xfId="422" xr:uid="{00000000-0005-0000-0000-0000E7170000}"/>
    <cellStyle name="Normal 5 2 2 4 2 10" xfId="19203" xr:uid="{74AAC82E-598D-4856-A9BA-D949081D221C}"/>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6C3EDC61-9341-4E42-A895-11A86DBE212B}"/>
    <cellStyle name="Normal 5 2 2 4 2 2 2 2 3" xfId="25978" xr:uid="{479F2DA5-2A25-4D2B-8091-2B2BBD99F3CC}"/>
    <cellStyle name="Normal 5 2 2 4 2 2 2 3" xfId="12462" xr:uid="{EE3E78B8-517A-408E-967F-06ED146AE9A9}"/>
    <cellStyle name="Normal 5 2 2 4 2 2 2 4" xfId="21761" xr:uid="{B48813F3-D0A7-4963-B43D-C8A3502D4D95}"/>
    <cellStyle name="Normal 5 2 2 4 2 2 3" xfId="5208" xr:uid="{00000000-0005-0000-0000-0000EB170000}"/>
    <cellStyle name="Normal 5 2 2 4 2 2 3 2" xfId="14534" xr:uid="{0824A2F3-BB9B-434F-852C-084E87E8B82D}"/>
    <cellStyle name="Normal 5 2 2 4 2 2 3 3" xfId="23833" xr:uid="{2555DCD3-CC34-45C4-9C50-392546C14C12}"/>
    <cellStyle name="Normal 5 2 2 4 2 2 4" xfId="9488" xr:uid="{2997B11D-E810-48A4-BD3C-4498479B295E}"/>
    <cellStyle name="Normal 5 2 2 4 2 2 4 2" xfId="18803" xr:uid="{AD746E78-0509-4086-A809-7E751299E437}"/>
    <cellStyle name="Normal 5 2 2 4 2 2 4 3" xfId="28100" xr:uid="{2A1C9542-C658-47F9-821B-9B95F9F71035}"/>
    <cellStyle name="Normal 5 2 2 4 2 2 5" xfId="10317" xr:uid="{484698A4-7431-47D5-A5FB-BB3C7EE141DE}"/>
    <cellStyle name="Normal 5 2 2 4 2 2 6" xfId="19616" xr:uid="{BEBED7AE-6164-474B-9C82-68F880859528}"/>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2F8EBDFA-EC57-4DEA-8FC7-9ED1A3A7352D}"/>
    <cellStyle name="Normal 5 2 2 4 2 3 2 2 3" xfId="26391" xr:uid="{06E913B2-8C90-4558-8CA6-9169C87700D1}"/>
    <cellStyle name="Normal 5 2 2 4 2 3 2 3" xfId="12875" xr:uid="{278E5D62-FF45-4355-AF92-A59AED4C3372}"/>
    <cellStyle name="Normal 5 2 2 4 2 3 2 4" xfId="22174" xr:uid="{4855EAD3-4999-4707-9644-6651FF80EA7F}"/>
    <cellStyle name="Normal 5 2 2 4 2 3 3" xfId="5621" xr:uid="{00000000-0005-0000-0000-0000EF170000}"/>
    <cellStyle name="Normal 5 2 2 4 2 3 3 2" xfId="14947" xr:uid="{6C8AF02D-569B-4BA4-99C7-25466689CF6D}"/>
    <cellStyle name="Normal 5 2 2 4 2 3 3 3" xfId="24246" xr:uid="{C5651CF6-6F5B-4A41-A66A-464257499154}"/>
    <cellStyle name="Normal 5 2 2 4 2 3 4" xfId="10730" xr:uid="{6F890166-E83C-4F39-AC8E-91341D300B46}"/>
    <cellStyle name="Normal 5 2 2 4 2 3 5" xfId="20029" xr:uid="{8B3CB780-196B-4AD2-9821-D4899FA95DF7}"/>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A1D3509D-E116-4663-BE88-E7530EF37930}"/>
    <cellStyle name="Normal 5 2 2 4 2 4 2 2 3" xfId="26804" xr:uid="{199ACEBA-4960-43DF-BD0B-F08801F4A857}"/>
    <cellStyle name="Normal 5 2 2 4 2 4 2 3" xfId="13288" xr:uid="{1825989C-6BCB-4F1B-A028-04F46FE61E2C}"/>
    <cellStyle name="Normal 5 2 2 4 2 4 2 4" xfId="22587" xr:uid="{5D9965F7-65D3-4C5D-92CF-C0EDE4A04139}"/>
    <cellStyle name="Normal 5 2 2 4 2 4 3" xfId="6034" xr:uid="{00000000-0005-0000-0000-0000F3170000}"/>
    <cellStyle name="Normal 5 2 2 4 2 4 3 2" xfId="15360" xr:uid="{C1482177-F64C-49F0-9626-F0E1275A3D98}"/>
    <cellStyle name="Normal 5 2 2 4 2 4 3 3" xfId="24659" xr:uid="{52CD318A-FF1A-4AEA-AC81-4C001C5A1A28}"/>
    <cellStyle name="Normal 5 2 2 4 2 4 4" xfId="11143" xr:uid="{84F3B813-F7F5-449F-8776-60C319B933AF}"/>
    <cellStyle name="Normal 5 2 2 4 2 4 5" xfId="20442" xr:uid="{90280A52-BE5B-4F8D-867D-0191F8A1B83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7F33EBC9-3FBC-4114-8385-F4A445CC3D2C}"/>
    <cellStyle name="Normal 5 2 2 4 2 5 2 2 3" xfId="27217" xr:uid="{43AB582B-CD4E-4C42-985B-8967D195762F}"/>
    <cellStyle name="Normal 5 2 2 4 2 5 2 3" xfId="13701" xr:uid="{C14DA703-BA7B-4D13-AA08-A597F375764C}"/>
    <cellStyle name="Normal 5 2 2 4 2 5 2 4" xfId="23000" xr:uid="{9B6E31FB-AB17-4A58-8F21-145A8158D849}"/>
    <cellStyle name="Normal 5 2 2 4 2 5 3" xfId="6447" xr:uid="{00000000-0005-0000-0000-0000F7170000}"/>
    <cellStyle name="Normal 5 2 2 4 2 5 3 2" xfId="15773" xr:uid="{B7F4AECF-2B48-4DAE-BB77-59C7635ED7CA}"/>
    <cellStyle name="Normal 5 2 2 4 2 5 3 3" xfId="25072" xr:uid="{28A785EA-A65A-4EE5-AC64-B69A2F1E078A}"/>
    <cellStyle name="Normal 5 2 2 4 2 5 4" xfId="11556" xr:uid="{B4B19965-97E4-47BD-81AB-317B561A1C1B}"/>
    <cellStyle name="Normal 5 2 2 4 2 5 5" xfId="20855" xr:uid="{6E6D628D-3E12-48AD-B029-88A676601788}"/>
    <cellStyle name="Normal 5 2 2 4 2 6" xfId="2577" xr:uid="{00000000-0005-0000-0000-0000F8170000}"/>
    <cellStyle name="Normal 5 2 2 4 2 6 2" xfId="6860" xr:uid="{00000000-0005-0000-0000-0000F9170000}"/>
    <cellStyle name="Normal 5 2 2 4 2 6 2 2" xfId="16186" xr:uid="{C3FAFDBC-81C6-437D-A4FF-49FA62DD3EE2}"/>
    <cellStyle name="Normal 5 2 2 4 2 6 2 3" xfId="25485" xr:uid="{94368B70-985D-460F-BF77-8104751E7E11}"/>
    <cellStyle name="Normal 5 2 2 4 2 6 3" xfId="11969" xr:uid="{52EDE12A-CC22-4905-AF56-CEDE9294949C}"/>
    <cellStyle name="Normal 5 2 2 4 2 6 4" xfId="21268" xr:uid="{59F59AB2-619A-4095-B52A-4727BF02ED68}"/>
    <cellStyle name="Normal 5 2 2 4 2 7" xfId="4795" xr:uid="{00000000-0005-0000-0000-0000FA170000}"/>
    <cellStyle name="Normal 5 2 2 4 2 7 2" xfId="14121" xr:uid="{8B20AF2C-06EC-4239-BA0C-B3212A5BEE68}"/>
    <cellStyle name="Normal 5 2 2 4 2 7 3" xfId="23420" xr:uid="{A53B3195-2EEE-42EA-8646-A13C4FFBDA50}"/>
    <cellStyle name="Normal 5 2 2 4 2 8" xfId="9063" xr:uid="{3B1AA107-8D7F-4938-A60C-EED41E9B9A2A}"/>
    <cellStyle name="Normal 5 2 2 4 2 8 2" xfId="18387" xr:uid="{25EBF731-EDE9-4BF7-9ED5-F4C08E66B0B0}"/>
    <cellStyle name="Normal 5 2 2 4 2 8 3" xfId="27685" xr:uid="{4B7BA4AE-D736-41BA-A84B-A89EE7CCFF42}"/>
    <cellStyle name="Normal 5 2 2 4 2 9" xfId="9904" xr:uid="{277F5BBB-6566-48EA-98DE-FE2E222A6E8C}"/>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908B22C3-04C6-4C62-A45D-2AB1CEF3D607}"/>
    <cellStyle name="Normal 5 2 2 4 3 2 2 3" xfId="25977" xr:uid="{58512E68-7E2D-47C4-BD98-A3F67F327532}"/>
    <cellStyle name="Normal 5 2 2 4 3 2 3" xfId="12461" xr:uid="{A709BF53-926D-412F-9BDA-0DE9240C9893}"/>
    <cellStyle name="Normal 5 2 2 4 3 2 4" xfId="21760" xr:uid="{69B635B9-1ABC-475C-960D-B8CF7741F8E0}"/>
    <cellStyle name="Normal 5 2 2 4 3 3" xfId="5207" xr:uid="{00000000-0005-0000-0000-0000FE170000}"/>
    <cellStyle name="Normal 5 2 2 4 3 3 2" xfId="14533" xr:uid="{B569212C-8E58-440E-8357-068768E1AA9C}"/>
    <cellStyle name="Normal 5 2 2 4 3 3 3" xfId="23832" xr:uid="{9DB1E047-6E2A-49A3-9E6B-151A9B86CB71}"/>
    <cellStyle name="Normal 5 2 2 4 3 4" xfId="9281" xr:uid="{9304050F-95A7-4BE3-AD21-FEBB7D0875B2}"/>
    <cellStyle name="Normal 5 2 2 4 3 4 2" xfId="18596" xr:uid="{E2B4F226-F7E2-4643-A0E5-8F9E02B0003B}"/>
    <cellStyle name="Normal 5 2 2 4 3 4 3" xfId="27893" xr:uid="{F8AED397-004B-4FA8-A924-133E76B40EA6}"/>
    <cellStyle name="Normal 5 2 2 4 3 5" xfId="10316" xr:uid="{373D97DB-B78B-410C-862F-BBA9C35A8F3C}"/>
    <cellStyle name="Normal 5 2 2 4 3 6" xfId="19615" xr:uid="{5F23129B-C202-48B1-BC21-253981647ED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6AFD368E-43EC-4B19-A960-7750741DE58E}"/>
    <cellStyle name="Normal 5 2 2 4 4 2 2 3" xfId="26390" xr:uid="{E373DDBA-EA0A-425D-952C-6E2E58DE3D5C}"/>
    <cellStyle name="Normal 5 2 2 4 4 2 3" xfId="12874" xr:uid="{1FBB48DB-D448-4B9C-B754-E175B0660A80}"/>
    <cellStyle name="Normal 5 2 2 4 4 2 4" xfId="22173" xr:uid="{CA9847DF-D992-4E56-BD13-1F933E44219A}"/>
    <cellStyle name="Normal 5 2 2 4 4 3" xfId="5620" xr:uid="{00000000-0005-0000-0000-000002180000}"/>
    <cellStyle name="Normal 5 2 2 4 4 3 2" xfId="14946" xr:uid="{A1541D90-30FF-4A78-AB58-62BFBED6CFF8}"/>
    <cellStyle name="Normal 5 2 2 4 4 3 3" xfId="24245" xr:uid="{B39C7BB1-B352-43A8-8F47-930A7BA60618}"/>
    <cellStyle name="Normal 5 2 2 4 4 4" xfId="10729" xr:uid="{56F350B9-7C33-495D-9A6F-F11737A52CD0}"/>
    <cellStyle name="Normal 5 2 2 4 4 5" xfId="20028" xr:uid="{64B2B816-F0AA-488B-93D9-0B6015FD00DB}"/>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C8F2316A-C099-4321-9070-629B44C499DE}"/>
    <cellStyle name="Normal 5 2 2 4 5 2 2 3" xfId="26803" xr:uid="{B9BCD24D-4920-48FC-A117-ED5575651633}"/>
    <cellStyle name="Normal 5 2 2 4 5 2 3" xfId="13287" xr:uid="{DE4DC977-21AD-4A57-8D1F-A40B2FD40453}"/>
    <cellStyle name="Normal 5 2 2 4 5 2 4" xfId="22586" xr:uid="{D760A4A3-1AC6-4ADF-BD11-FBFE1E18D15D}"/>
    <cellStyle name="Normal 5 2 2 4 5 3" xfId="6033" xr:uid="{00000000-0005-0000-0000-000006180000}"/>
    <cellStyle name="Normal 5 2 2 4 5 3 2" xfId="15359" xr:uid="{436AC1A1-BA86-4A1C-9AF3-FB37DC81F5B9}"/>
    <cellStyle name="Normal 5 2 2 4 5 3 3" xfId="24658" xr:uid="{F0541582-434A-47CA-95BA-2BEA415454FC}"/>
    <cellStyle name="Normal 5 2 2 4 5 4" xfId="11142" xr:uid="{656E297E-B7A4-4737-AE26-70E6E0613DDC}"/>
    <cellStyle name="Normal 5 2 2 4 5 5" xfId="20441" xr:uid="{B28EB207-FE87-42BE-8693-96E026D0B6F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B740BF46-516E-4206-A226-21D724BA17EF}"/>
    <cellStyle name="Normal 5 2 2 4 6 2 2 3" xfId="27216" xr:uid="{006354A3-40A7-4C90-82EB-0C688358F04E}"/>
    <cellStyle name="Normal 5 2 2 4 6 2 3" xfId="13700" xr:uid="{8D99C130-1CC8-4F15-8937-B9C6F904DF71}"/>
    <cellStyle name="Normal 5 2 2 4 6 2 4" xfId="22999" xr:uid="{84220B9C-4352-4FF0-8B36-83E84CE2BB57}"/>
    <cellStyle name="Normal 5 2 2 4 6 3" xfId="6446" xr:uid="{00000000-0005-0000-0000-00000A180000}"/>
    <cellStyle name="Normal 5 2 2 4 6 3 2" xfId="15772" xr:uid="{03766C8D-327E-423F-8D05-78499A7D5F0E}"/>
    <cellStyle name="Normal 5 2 2 4 6 3 3" xfId="25071" xr:uid="{0C545A5C-BA27-4335-A315-EE3C2163D841}"/>
    <cellStyle name="Normal 5 2 2 4 6 4" xfId="11555" xr:uid="{89966A37-6297-4C55-BF08-0CB8CC4FF3E5}"/>
    <cellStyle name="Normal 5 2 2 4 6 5" xfId="20854" xr:uid="{E390C202-3A0C-45FF-B10F-6CF26D502444}"/>
    <cellStyle name="Normal 5 2 2 4 7" xfId="2576" xr:uid="{00000000-0005-0000-0000-00000B180000}"/>
    <cellStyle name="Normal 5 2 2 4 7 2" xfId="6859" xr:uid="{00000000-0005-0000-0000-00000C180000}"/>
    <cellStyle name="Normal 5 2 2 4 7 2 2" xfId="16185" xr:uid="{0EAD56FB-503B-490C-AF4D-03B4762797C3}"/>
    <cellStyle name="Normal 5 2 2 4 7 2 3" xfId="25484" xr:uid="{53510AE6-C0E2-4E89-B46C-83DA3AB6EDF9}"/>
    <cellStyle name="Normal 5 2 2 4 7 3" xfId="11968" xr:uid="{A8ECBED8-C287-470F-8F18-C8B6F0442111}"/>
    <cellStyle name="Normal 5 2 2 4 7 4" xfId="21267" xr:uid="{F0B9573E-3696-4F2F-8AE7-197683ABEDCC}"/>
    <cellStyle name="Normal 5 2 2 4 8" xfId="4794" xr:uid="{00000000-0005-0000-0000-00000D180000}"/>
    <cellStyle name="Normal 5 2 2 4 8 2" xfId="14120" xr:uid="{70CCCFCE-6429-450D-A87E-2AA6C0C56681}"/>
    <cellStyle name="Normal 5 2 2 4 8 3" xfId="23419" xr:uid="{6FA08162-EFDB-4D6C-9AE5-63FAC009B548}"/>
    <cellStyle name="Normal 5 2 2 4 9" xfId="8856" xr:uid="{8A537EF5-BE1D-4B82-9546-B2DC1F74308F}"/>
    <cellStyle name="Normal 5 2 2 4 9 2" xfId="18180" xr:uid="{942024AA-9847-49BE-B364-3EA66196710E}"/>
    <cellStyle name="Normal 5 2 2 4 9 3" xfId="27478" xr:uid="{3485F978-B0BF-4C62-B53D-F1039C370B98}"/>
    <cellStyle name="Normal 5 2 2 5" xfId="423" xr:uid="{00000000-0005-0000-0000-00000E180000}"/>
    <cellStyle name="Normal 5 2 2 5 10" xfId="19204" xr:uid="{87BF4124-937E-49FD-BA7A-39204BB25FA3}"/>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CF058BC3-C1FC-4A33-85CA-3D23C803EE59}"/>
    <cellStyle name="Normal 5 2 2 5 2 2 2 3" xfId="25979" xr:uid="{5F43BD08-F9B5-4D58-BE7F-2EC6834567C9}"/>
    <cellStyle name="Normal 5 2 2 5 2 2 3" xfId="12463" xr:uid="{6D6C7C05-2E01-47CB-97D4-CEBB55C906A6}"/>
    <cellStyle name="Normal 5 2 2 5 2 2 4" xfId="21762" xr:uid="{AD56BDF7-2954-4D2F-A2E5-F6C6EDF928AD}"/>
    <cellStyle name="Normal 5 2 2 5 2 3" xfId="5209" xr:uid="{00000000-0005-0000-0000-000012180000}"/>
    <cellStyle name="Normal 5 2 2 5 2 3 2" xfId="14535" xr:uid="{66B07816-F36A-489F-B7F8-828F86C68B9D}"/>
    <cellStyle name="Normal 5 2 2 5 2 3 3" xfId="23834" xr:uid="{CDE9D122-9E38-4782-B49D-8138D3214234}"/>
    <cellStyle name="Normal 5 2 2 5 2 4" xfId="9397" xr:uid="{3CB0B9A4-F907-4F52-ACFC-7970F7AF9B13}"/>
    <cellStyle name="Normal 5 2 2 5 2 4 2" xfId="18712" xr:uid="{AD3C147A-3235-49A4-8A1B-40AA20DB4B05}"/>
    <cellStyle name="Normal 5 2 2 5 2 4 3" xfId="28009" xr:uid="{0D301C91-8B65-4A42-97D7-C82F06F4E454}"/>
    <cellStyle name="Normal 5 2 2 5 2 5" xfId="10318" xr:uid="{6EBE80CD-2F77-47F3-9B38-0CE798625CB0}"/>
    <cellStyle name="Normal 5 2 2 5 2 6" xfId="19617" xr:uid="{ECEF6FE5-EB09-4F04-8FC7-1A0D9886D71A}"/>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2FC08230-D6AF-4768-98C3-D3000C12DF0C}"/>
    <cellStyle name="Normal 5 2 2 5 3 2 2 3" xfId="26392" xr:uid="{D6E89B22-500E-4793-A642-82300D576863}"/>
    <cellStyle name="Normal 5 2 2 5 3 2 3" xfId="12876" xr:uid="{D48448C5-337C-467C-BCB5-32C9F7B6BBD0}"/>
    <cellStyle name="Normal 5 2 2 5 3 2 4" xfId="22175" xr:uid="{9348FFAC-1EDF-45D9-AB5B-6DCC9A496651}"/>
    <cellStyle name="Normal 5 2 2 5 3 3" xfId="5622" xr:uid="{00000000-0005-0000-0000-000016180000}"/>
    <cellStyle name="Normal 5 2 2 5 3 3 2" xfId="14948" xr:uid="{C5D9EC62-33A3-4AD9-A96D-971662C006A4}"/>
    <cellStyle name="Normal 5 2 2 5 3 3 3" xfId="24247" xr:uid="{5A037BBC-ECEB-4A41-A190-7FAE84D4E40F}"/>
    <cellStyle name="Normal 5 2 2 5 3 4" xfId="10731" xr:uid="{EDF37136-B3CD-4715-A5AD-1175C7380F41}"/>
    <cellStyle name="Normal 5 2 2 5 3 5" xfId="20030" xr:uid="{7C822CC5-1889-45AE-978F-F85E92898227}"/>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79E232B5-1EDA-4F30-B3E4-67AACF81F0A4}"/>
    <cellStyle name="Normal 5 2 2 5 4 2 2 3" xfId="26805" xr:uid="{E5DE354A-5C3C-4C00-8175-5B050AFF5C97}"/>
    <cellStyle name="Normal 5 2 2 5 4 2 3" xfId="13289" xr:uid="{18D5199F-FE7E-4BCD-BEEA-59DD8377059B}"/>
    <cellStyle name="Normal 5 2 2 5 4 2 4" xfId="22588" xr:uid="{101ACE86-FBCD-468F-9C2E-EE6A916F7199}"/>
    <cellStyle name="Normal 5 2 2 5 4 3" xfId="6035" xr:uid="{00000000-0005-0000-0000-00001A180000}"/>
    <cellStyle name="Normal 5 2 2 5 4 3 2" xfId="15361" xr:uid="{C4DEBDC9-535E-4F87-8C0E-BA2B88684F7E}"/>
    <cellStyle name="Normal 5 2 2 5 4 3 3" xfId="24660" xr:uid="{4D9E84C7-88C6-4FE4-9CFB-A155ABF22D2F}"/>
    <cellStyle name="Normal 5 2 2 5 4 4" xfId="11144" xr:uid="{637A53B1-3CC1-44B0-AD6D-E9B6FE2E4613}"/>
    <cellStyle name="Normal 5 2 2 5 4 5" xfId="20443" xr:uid="{7F81EE8D-653B-4D99-B0FE-7253F20AFFB1}"/>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F129BA97-D144-4924-B766-007EE3A734D4}"/>
    <cellStyle name="Normal 5 2 2 5 5 2 2 3" xfId="27218" xr:uid="{FEBFF3C1-EEB8-4B77-B056-53C34B43F176}"/>
    <cellStyle name="Normal 5 2 2 5 5 2 3" xfId="13702" xr:uid="{0C24F9AE-E064-40E1-8602-9323E33F9FDA}"/>
    <cellStyle name="Normal 5 2 2 5 5 2 4" xfId="23001" xr:uid="{5BB87996-C269-4159-9C9D-7E572CEE34AC}"/>
    <cellStyle name="Normal 5 2 2 5 5 3" xfId="6448" xr:uid="{00000000-0005-0000-0000-00001E180000}"/>
    <cellStyle name="Normal 5 2 2 5 5 3 2" xfId="15774" xr:uid="{F602D803-24B7-4E8D-A566-8BD798D3DE88}"/>
    <cellStyle name="Normal 5 2 2 5 5 3 3" xfId="25073" xr:uid="{986D3BA9-DE00-4909-A81B-6C561E7EE6C3}"/>
    <cellStyle name="Normal 5 2 2 5 5 4" xfId="11557" xr:uid="{67507C10-909F-4CC7-B6FD-B9C81E41EEC9}"/>
    <cellStyle name="Normal 5 2 2 5 5 5" xfId="20856" xr:uid="{06783F56-E758-469A-87CC-EC0E2CE8E3BB}"/>
    <cellStyle name="Normal 5 2 2 5 6" xfId="2578" xr:uid="{00000000-0005-0000-0000-00001F180000}"/>
    <cellStyle name="Normal 5 2 2 5 6 2" xfId="6861" xr:uid="{00000000-0005-0000-0000-000020180000}"/>
    <cellStyle name="Normal 5 2 2 5 6 2 2" xfId="16187" xr:uid="{D49387D4-648B-47B6-BEA8-308D56D1BC9F}"/>
    <cellStyle name="Normal 5 2 2 5 6 2 3" xfId="25486" xr:uid="{7A29C643-C88F-4FC6-A03F-BCA16DE623B1}"/>
    <cellStyle name="Normal 5 2 2 5 6 3" xfId="11970" xr:uid="{E3B3DAFA-DE7A-46C2-919E-8102480D489F}"/>
    <cellStyle name="Normal 5 2 2 5 6 4" xfId="21269" xr:uid="{A409412B-AB08-4618-879D-E1719D770849}"/>
    <cellStyle name="Normal 5 2 2 5 7" xfId="4796" xr:uid="{00000000-0005-0000-0000-000021180000}"/>
    <cellStyle name="Normal 5 2 2 5 7 2" xfId="14122" xr:uid="{2B179566-38AD-48A9-9D8C-FF4E121C4FFE}"/>
    <cellStyle name="Normal 5 2 2 5 7 3" xfId="23421" xr:uid="{96AA3216-89B0-482F-80E4-43360214D06A}"/>
    <cellStyle name="Normal 5 2 2 5 8" xfId="8972" xr:uid="{3CCC8856-6464-4309-A4F9-43F74A48C503}"/>
    <cellStyle name="Normal 5 2 2 5 8 2" xfId="18296" xr:uid="{83B4A1A4-AF16-4AF7-B9F7-E36C94E79163}"/>
    <cellStyle name="Normal 5 2 2 5 8 3" xfId="27594" xr:uid="{2E7E8BA6-77DC-49BF-BA81-5F9874B8F4B0}"/>
    <cellStyle name="Normal 5 2 2 5 9" xfId="9905" xr:uid="{8C787765-4CA3-4B15-8274-7497B93CFB71}"/>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A160A931-309F-44BB-A9B0-868E646292BF}"/>
    <cellStyle name="Normal 5 2 2 6 2 2 3" xfId="25964" xr:uid="{ED579BC3-0300-41AE-BC55-8FB6EC9876F0}"/>
    <cellStyle name="Normal 5 2 2 6 2 3" xfId="12448" xr:uid="{B3E40EE4-E947-4BEA-8CE9-339EA70831F6}"/>
    <cellStyle name="Normal 5 2 2 6 2 4" xfId="21747" xr:uid="{509F4577-D735-40F2-BB70-7885A5CA4BAB}"/>
    <cellStyle name="Normal 5 2 2 6 3" xfId="5194" xr:uid="{00000000-0005-0000-0000-000025180000}"/>
    <cellStyle name="Normal 5 2 2 6 3 2" xfId="14520" xr:uid="{52E88A2D-746E-404F-B14A-65F4966988C2}"/>
    <cellStyle name="Normal 5 2 2 6 3 3" xfId="23819" xr:uid="{AF4A0E77-C95E-45DF-B2A1-77713BBED740}"/>
    <cellStyle name="Normal 5 2 2 6 4" xfId="9175" xr:uid="{A0BC076A-DB75-4963-A17E-57836FA6391D}"/>
    <cellStyle name="Normal 5 2 2 6 4 2" xfId="18493" xr:uid="{47C58CB2-3807-4003-A9CA-BAAD258083FC}"/>
    <cellStyle name="Normal 5 2 2 6 4 3" xfId="27790" xr:uid="{B82BB78B-29A1-4597-8B98-80A3C2AE88E3}"/>
    <cellStyle name="Normal 5 2 2 6 5" xfId="10303" xr:uid="{252272CD-16DF-4EA4-AD3A-F7C3DEB2CB25}"/>
    <cellStyle name="Normal 5 2 2 6 6" xfId="19602" xr:uid="{B1180707-E008-496E-9D52-9AD95DB3CAB5}"/>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39A18722-23E8-4C5E-A116-A1EB5C9060DE}"/>
    <cellStyle name="Normal 5 2 2 7 2 2 3" xfId="26377" xr:uid="{91778148-5206-4FEA-AAEF-F9E226701F52}"/>
    <cellStyle name="Normal 5 2 2 7 2 3" xfId="12861" xr:uid="{8E088822-892E-46F0-BDD9-C2C872796C6A}"/>
    <cellStyle name="Normal 5 2 2 7 2 4" xfId="22160" xr:uid="{1B18080C-267A-44A2-8E58-A3BA93406FFF}"/>
    <cellStyle name="Normal 5 2 2 7 3" xfId="5607" xr:uid="{00000000-0005-0000-0000-000029180000}"/>
    <cellStyle name="Normal 5 2 2 7 3 2" xfId="14933" xr:uid="{EBE80474-96DF-43CB-BEC8-40D707B8F9CA}"/>
    <cellStyle name="Normal 5 2 2 7 3 3" xfId="24232" xr:uid="{06CFE2AD-FF29-4C4C-81F9-EE118AE4AEA6}"/>
    <cellStyle name="Normal 5 2 2 7 4" xfId="10716" xr:uid="{3F08C996-D874-49CD-A87F-5D7474AB9F20}"/>
    <cellStyle name="Normal 5 2 2 7 5" xfId="20015" xr:uid="{5FC44A89-0EBE-414C-A357-EB1FE93B0816}"/>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970605C4-890A-45AD-8882-DF8F4CEB743B}"/>
    <cellStyle name="Normal 5 2 2 8 2 2 3" xfId="26790" xr:uid="{C2BC751C-D755-491C-AFDC-F06FF9837421}"/>
    <cellStyle name="Normal 5 2 2 8 2 3" xfId="13274" xr:uid="{8C1D4835-85EF-4657-AEBB-BEBD7138C4C1}"/>
    <cellStyle name="Normal 5 2 2 8 2 4" xfId="22573" xr:uid="{A48CEEF1-6076-413B-9DB9-80C43B8A1CC8}"/>
    <cellStyle name="Normal 5 2 2 8 3" xfId="6020" xr:uid="{00000000-0005-0000-0000-00002D180000}"/>
    <cellStyle name="Normal 5 2 2 8 3 2" xfId="15346" xr:uid="{4E49327A-EECC-4EEF-9628-ED006FDFD71F}"/>
    <cellStyle name="Normal 5 2 2 8 3 3" xfId="24645" xr:uid="{DE998A24-C504-4AAF-AE8D-DB2D0E0E631B}"/>
    <cellStyle name="Normal 5 2 2 8 4" xfId="11129" xr:uid="{DF0C9C9E-F395-4D10-915E-4D1E606EA4D9}"/>
    <cellStyle name="Normal 5 2 2 8 5" xfId="20428" xr:uid="{603775E9-25D1-49A2-BC6C-5085E687B709}"/>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348B234B-2546-4385-903A-B83D2B6E7EC6}"/>
    <cellStyle name="Normal 5 2 2 9 2 2 3" xfId="27203" xr:uid="{1E381422-52D7-416D-9D35-40D7ABDC4D7A}"/>
    <cellStyle name="Normal 5 2 2 9 2 3" xfId="13687" xr:uid="{88FCC9D7-358F-488A-B805-A85A3DDBD31D}"/>
    <cellStyle name="Normal 5 2 2 9 2 4" xfId="22986" xr:uid="{C0DBB221-295D-4204-A28E-3DE132C6B48A}"/>
    <cellStyle name="Normal 5 2 2 9 3" xfId="6433" xr:uid="{00000000-0005-0000-0000-000031180000}"/>
    <cellStyle name="Normal 5 2 2 9 3 2" xfId="15759" xr:uid="{E7CE4655-98BC-4425-AF51-12219C6D5242}"/>
    <cellStyle name="Normal 5 2 2 9 3 3" xfId="25058" xr:uid="{402F781F-28CB-4844-B1E1-B1F65DD9897A}"/>
    <cellStyle name="Normal 5 2 2 9 4" xfId="11542" xr:uid="{0620BEA1-1781-4AE6-A8C6-DB04B04BAA40}"/>
    <cellStyle name="Normal 5 2 2 9 5" xfId="20841" xr:uid="{B679008F-677D-4AE9-B0AD-98AF9BFDC875}"/>
    <cellStyle name="Normal 5 2 3" xfId="424" xr:uid="{00000000-0005-0000-0000-000032180000}"/>
    <cellStyle name="Normal 5 2 3 10" xfId="4797" xr:uid="{00000000-0005-0000-0000-000033180000}"/>
    <cellStyle name="Normal 5 2 3 10 2" xfId="14123" xr:uid="{4A3201AC-F72B-4B44-BB41-E4900F431FB6}"/>
    <cellStyle name="Normal 5 2 3 10 3" xfId="23422" xr:uid="{B670B62A-2240-4EC5-B18D-7567D8E36D20}"/>
    <cellStyle name="Normal 5 2 3 11" xfId="8776" xr:uid="{883173D2-CE3E-48F3-8E13-32EAEF7B08C3}"/>
    <cellStyle name="Normal 5 2 3 11 2" xfId="18100" xr:uid="{43D3E290-2247-4808-B46C-5D7705A6CF2E}"/>
    <cellStyle name="Normal 5 2 3 11 3" xfId="27398" xr:uid="{D93D6397-947C-4DA8-8BDB-55503E33DC04}"/>
    <cellStyle name="Normal 5 2 3 12" xfId="9906" xr:uid="{F44BE24E-0B02-4E38-A14E-F88B1F1E9F77}"/>
    <cellStyle name="Normal 5 2 3 13" xfId="19205" xr:uid="{05B526A5-2AB7-4C78-9293-3F9842EA3D5A}"/>
    <cellStyle name="Normal 5 2 3 2" xfId="425" xr:uid="{00000000-0005-0000-0000-000034180000}"/>
    <cellStyle name="Normal 5 2 3 2 10" xfId="8830" xr:uid="{287E15F2-6F23-4B3E-B8AA-9DE92D950FBA}"/>
    <cellStyle name="Normal 5 2 3 2 10 2" xfId="18154" xr:uid="{698A3F3B-9068-490C-B9F3-DF1F669E882A}"/>
    <cellStyle name="Normal 5 2 3 2 10 3" xfId="27452" xr:uid="{06C1032A-30AA-471A-B36C-8FCBEB6EA1B7}"/>
    <cellStyle name="Normal 5 2 3 2 11" xfId="9907" xr:uid="{34C4293F-9CB6-4891-B72C-411D51C67311}"/>
    <cellStyle name="Normal 5 2 3 2 12" xfId="19206" xr:uid="{A779412D-AC2D-4D10-A165-43FCCAA841A1}"/>
    <cellStyle name="Normal 5 2 3 2 2" xfId="426" xr:uid="{00000000-0005-0000-0000-000035180000}"/>
    <cellStyle name="Normal 5 2 3 2 2 10" xfId="9908" xr:uid="{A47AA524-48FD-4B60-A3E2-19BF3C79D4B3}"/>
    <cellStyle name="Normal 5 2 3 2 2 11" xfId="19207" xr:uid="{DF1A00B7-5808-4A94-BB39-782C84E106E3}"/>
    <cellStyle name="Normal 5 2 3 2 2 2" xfId="427" xr:uid="{00000000-0005-0000-0000-000036180000}"/>
    <cellStyle name="Normal 5 2 3 2 2 2 10" xfId="19208" xr:uid="{A1B46026-A8E1-4779-9442-57942B554841}"/>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9476FBDF-F692-4991-9CF0-07F7D8D0F382}"/>
    <cellStyle name="Normal 5 2 3 2 2 2 2 2 2 3" xfId="25983" xr:uid="{2AF16BB2-DD70-4859-A21F-BBA081A4FD79}"/>
    <cellStyle name="Normal 5 2 3 2 2 2 2 2 3" xfId="12467" xr:uid="{CF046C93-B5DF-4B7D-81D9-39F39A151224}"/>
    <cellStyle name="Normal 5 2 3 2 2 2 2 2 4" xfId="21766" xr:uid="{7FD39CC9-D5F9-4B58-B531-5F6CB2D0F78B}"/>
    <cellStyle name="Normal 5 2 3 2 2 2 2 3" xfId="5213" xr:uid="{00000000-0005-0000-0000-00003A180000}"/>
    <cellStyle name="Normal 5 2 3 2 2 2 2 3 2" xfId="14539" xr:uid="{E55D92FC-3676-4143-A6E1-F75D3EE1127B}"/>
    <cellStyle name="Normal 5 2 3 2 2 2 2 3 3" xfId="23838" xr:uid="{907B9BAC-989C-4E1F-BD45-F9C0496B9D99}"/>
    <cellStyle name="Normal 5 2 3 2 2 2 2 4" xfId="9565" xr:uid="{B33C5ECB-02D9-4BAF-B467-F38E8EEB7F6E}"/>
    <cellStyle name="Normal 5 2 3 2 2 2 2 4 2" xfId="18880" xr:uid="{D04A4530-B704-4DD8-BEEA-6AF774609986}"/>
    <cellStyle name="Normal 5 2 3 2 2 2 2 4 3" xfId="28177" xr:uid="{87BCD91F-EAA7-4D7C-8EC4-476445E139D1}"/>
    <cellStyle name="Normal 5 2 3 2 2 2 2 5" xfId="10322" xr:uid="{412D58E5-DF59-4C74-A0FE-E4FA474299C4}"/>
    <cellStyle name="Normal 5 2 3 2 2 2 2 6" xfId="19621" xr:uid="{3328C333-8F24-4DBD-8705-F066FD7978EC}"/>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86345D97-55CD-47F9-BC6E-F8390506E98D}"/>
    <cellStyle name="Normal 5 2 3 2 2 2 3 2 2 3" xfId="26396" xr:uid="{E4833F69-8C09-4B5D-B796-2ECB5F78A9DA}"/>
    <cellStyle name="Normal 5 2 3 2 2 2 3 2 3" xfId="12880" xr:uid="{3AF4E827-9CA9-4B1F-8D38-DE6E705D142F}"/>
    <cellStyle name="Normal 5 2 3 2 2 2 3 2 4" xfId="22179" xr:uid="{F49DEACB-48D3-4A6D-9EF1-EF60D5E0E8A5}"/>
    <cellStyle name="Normal 5 2 3 2 2 2 3 3" xfId="5626" xr:uid="{00000000-0005-0000-0000-00003E180000}"/>
    <cellStyle name="Normal 5 2 3 2 2 2 3 3 2" xfId="14952" xr:uid="{5A8520BF-904B-4E8B-8C2F-9EFF03965B34}"/>
    <cellStyle name="Normal 5 2 3 2 2 2 3 3 3" xfId="24251" xr:uid="{461DC76D-A63C-4481-B797-95BBE6B0E300}"/>
    <cellStyle name="Normal 5 2 3 2 2 2 3 4" xfId="10735" xr:uid="{2E22D80B-0D23-49A2-AB0C-A01A5CC22D77}"/>
    <cellStyle name="Normal 5 2 3 2 2 2 3 5" xfId="20034" xr:uid="{8CA84344-6ACA-4F7F-A3FA-83F108CDA33D}"/>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2A8AF1DD-E1EB-49FD-AB35-9811813581BE}"/>
    <cellStyle name="Normal 5 2 3 2 2 2 4 2 2 3" xfId="26809" xr:uid="{0DF0CAEB-F0B3-48DD-91D6-220B7032171C}"/>
    <cellStyle name="Normal 5 2 3 2 2 2 4 2 3" xfId="13293" xr:uid="{1FAB7025-6DBB-434A-BA6D-7B19E1F5CF94}"/>
    <cellStyle name="Normal 5 2 3 2 2 2 4 2 4" xfId="22592" xr:uid="{AA448B79-262E-4FDD-86ED-3D6CE0D83BB8}"/>
    <cellStyle name="Normal 5 2 3 2 2 2 4 3" xfId="6039" xr:uid="{00000000-0005-0000-0000-000042180000}"/>
    <cellStyle name="Normal 5 2 3 2 2 2 4 3 2" xfId="15365" xr:uid="{48296036-55DF-45C4-B299-13DD65F3E9DE}"/>
    <cellStyle name="Normal 5 2 3 2 2 2 4 3 3" xfId="24664" xr:uid="{5E8A88A0-9DC9-40ED-8771-EE2DE64F73C2}"/>
    <cellStyle name="Normal 5 2 3 2 2 2 4 4" xfId="11148" xr:uid="{308CA3FA-BC6B-426E-A713-E345F0898FFC}"/>
    <cellStyle name="Normal 5 2 3 2 2 2 4 5" xfId="20447" xr:uid="{5FCCD115-380C-4C8D-9FC5-33A9EA65BB6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1E60AD1B-D81D-44D0-A3B4-36CDDC1DB760}"/>
    <cellStyle name="Normal 5 2 3 2 2 2 5 2 2 3" xfId="27222" xr:uid="{694BF396-6187-49FE-9A53-283DAD3B46F5}"/>
    <cellStyle name="Normal 5 2 3 2 2 2 5 2 3" xfId="13706" xr:uid="{6FCB71A2-1183-49F6-8DCF-80BBE471334B}"/>
    <cellStyle name="Normal 5 2 3 2 2 2 5 2 4" xfId="23005" xr:uid="{170BB95E-AB0B-48A1-B729-448474F8CD7E}"/>
    <cellStyle name="Normal 5 2 3 2 2 2 5 3" xfId="6452" xr:uid="{00000000-0005-0000-0000-000046180000}"/>
    <cellStyle name="Normal 5 2 3 2 2 2 5 3 2" xfId="15778" xr:uid="{D1CA7CAD-8D88-43DD-BC86-A959F4581DCA}"/>
    <cellStyle name="Normal 5 2 3 2 2 2 5 3 3" xfId="25077" xr:uid="{BB80C622-2813-46BD-8D4C-69B18BC625AC}"/>
    <cellStyle name="Normal 5 2 3 2 2 2 5 4" xfId="11561" xr:uid="{C4F6CA1A-8D9E-404D-AF40-181645FCB2C2}"/>
    <cellStyle name="Normal 5 2 3 2 2 2 5 5" xfId="20860" xr:uid="{F0CCA087-B551-436C-8314-D42E9F7B2A08}"/>
    <cellStyle name="Normal 5 2 3 2 2 2 6" xfId="2582" xr:uid="{00000000-0005-0000-0000-000047180000}"/>
    <cellStyle name="Normal 5 2 3 2 2 2 6 2" xfId="6865" xr:uid="{00000000-0005-0000-0000-000048180000}"/>
    <cellStyle name="Normal 5 2 3 2 2 2 6 2 2" xfId="16191" xr:uid="{04025FE0-5543-4655-8160-6100DCD473F5}"/>
    <cellStyle name="Normal 5 2 3 2 2 2 6 2 3" xfId="25490" xr:uid="{30A33865-4945-4F05-AC5B-FF4D09056D54}"/>
    <cellStyle name="Normal 5 2 3 2 2 2 6 3" xfId="11974" xr:uid="{F3214BAF-4A8E-4C44-A79A-F0E57D52F35A}"/>
    <cellStyle name="Normal 5 2 3 2 2 2 6 4" xfId="21273" xr:uid="{C54147C1-2189-4B53-A618-F3CFA0E5964F}"/>
    <cellStyle name="Normal 5 2 3 2 2 2 7" xfId="4800" xr:uid="{00000000-0005-0000-0000-000049180000}"/>
    <cellStyle name="Normal 5 2 3 2 2 2 7 2" xfId="14126" xr:uid="{87B00B4C-56BD-4169-B21C-7B2DEFF983CA}"/>
    <cellStyle name="Normal 5 2 3 2 2 2 7 3" xfId="23425" xr:uid="{3F070502-2AEC-4EBD-8F79-79B29725C4A7}"/>
    <cellStyle name="Normal 5 2 3 2 2 2 8" xfId="9140" xr:uid="{175A16DB-BA54-4083-AB68-1FA46DB27A86}"/>
    <cellStyle name="Normal 5 2 3 2 2 2 8 2" xfId="18464" xr:uid="{9F3C5B90-1A46-44C1-9DF0-84B94B76F8E9}"/>
    <cellStyle name="Normal 5 2 3 2 2 2 8 3" xfId="27762" xr:uid="{F2A4ED1B-0317-4873-B62A-EDF32C1631A8}"/>
    <cellStyle name="Normal 5 2 3 2 2 2 9" xfId="9909" xr:uid="{7843F1C3-5C5D-4198-8B22-2C46164CEF0B}"/>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9CAC3047-38A1-4385-AB81-DB721FB214A7}"/>
    <cellStyle name="Normal 5 2 3 2 2 3 2 2 3" xfId="25982" xr:uid="{30F33515-E002-43CA-9532-AFA8295ED22C}"/>
    <cellStyle name="Normal 5 2 3 2 2 3 2 3" xfId="12466" xr:uid="{BFA2D92B-A73C-4DA3-908D-88C18BF151F7}"/>
    <cellStyle name="Normal 5 2 3 2 2 3 2 4" xfId="21765" xr:uid="{C2FC27A1-AB4C-498C-9575-DAD8943B6A38}"/>
    <cellStyle name="Normal 5 2 3 2 2 3 3" xfId="5212" xr:uid="{00000000-0005-0000-0000-00004D180000}"/>
    <cellStyle name="Normal 5 2 3 2 2 3 3 2" xfId="14538" xr:uid="{231F6BFB-E690-43FB-A4AA-614CA011C84B}"/>
    <cellStyle name="Normal 5 2 3 2 2 3 3 3" xfId="23837" xr:uid="{BBD6C608-DBB4-4B34-BE88-E05A08ACF8A9}"/>
    <cellStyle name="Normal 5 2 3 2 2 3 4" xfId="9358" xr:uid="{5B196E7D-8DD9-4C59-A83C-7626B0E60040}"/>
    <cellStyle name="Normal 5 2 3 2 2 3 4 2" xfId="18673" xr:uid="{255A61CE-104E-479B-AD96-771B6E147F6E}"/>
    <cellStyle name="Normal 5 2 3 2 2 3 4 3" xfId="27970" xr:uid="{A751F88F-3F38-4F6A-9CAE-181BDC2799E1}"/>
    <cellStyle name="Normal 5 2 3 2 2 3 5" xfId="10321" xr:uid="{BCE99C6C-D698-484F-AE78-F9E83ED8BE96}"/>
    <cellStyle name="Normal 5 2 3 2 2 3 6" xfId="19620" xr:uid="{4880D064-E017-444D-8F42-588C5EBECB65}"/>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54E57623-9CE8-45C3-848D-63F5826BBD79}"/>
    <cellStyle name="Normal 5 2 3 2 2 4 2 2 3" xfId="26395" xr:uid="{C7E921F5-5662-4FF4-A468-F3615EDB4611}"/>
    <cellStyle name="Normal 5 2 3 2 2 4 2 3" xfId="12879" xr:uid="{1291C6C8-37EE-4F2C-B059-25FFBE8FF2A2}"/>
    <cellStyle name="Normal 5 2 3 2 2 4 2 4" xfId="22178" xr:uid="{62652DA3-E438-4077-88EB-772E48823D30}"/>
    <cellStyle name="Normal 5 2 3 2 2 4 3" xfId="5625" xr:uid="{00000000-0005-0000-0000-000051180000}"/>
    <cellStyle name="Normal 5 2 3 2 2 4 3 2" xfId="14951" xr:uid="{32DAFAB4-D15A-4EDA-BF47-82A023B35591}"/>
    <cellStyle name="Normal 5 2 3 2 2 4 3 3" xfId="24250" xr:uid="{1CFBC7A4-FC15-45F1-A99A-81C16E384C92}"/>
    <cellStyle name="Normal 5 2 3 2 2 4 4" xfId="10734" xr:uid="{C0A6BA27-0E7B-4084-8992-576F5365BD49}"/>
    <cellStyle name="Normal 5 2 3 2 2 4 5" xfId="20033" xr:uid="{13FAD9AF-B1CD-4B63-81FF-F2E1FFE97113}"/>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58CF4BBD-4900-46CB-9BE8-27CCC85CB60A}"/>
    <cellStyle name="Normal 5 2 3 2 2 5 2 2 3" xfId="26808" xr:uid="{5F01B54E-FCD5-4391-86C1-3D306192C93F}"/>
    <cellStyle name="Normal 5 2 3 2 2 5 2 3" xfId="13292" xr:uid="{A1B55B86-ECD9-4DE5-96BE-ED78DCE62028}"/>
    <cellStyle name="Normal 5 2 3 2 2 5 2 4" xfId="22591" xr:uid="{1CDA8273-1FB7-4639-96BB-7D9B53521B75}"/>
    <cellStyle name="Normal 5 2 3 2 2 5 3" xfId="6038" xr:uid="{00000000-0005-0000-0000-000055180000}"/>
    <cellStyle name="Normal 5 2 3 2 2 5 3 2" xfId="15364" xr:uid="{079FD175-CD83-4351-8ACA-62AB1DCC2161}"/>
    <cellStyle name="Normal 5 2 3 2 2 5 3 3" xfId="24663" xr:uid="{2C780BE8-3D0A-471F-99B6-0E743C0B50A5}"/>
    <cellStyle name="Normal 5 2 3 2 2 5 4" xfId="11147" xr:uid="{50301223-65CE-4BCB-B123-00636725EABA}"/>
    <cellStyle name="Normal 5 2 3 2 2 5 5" xfId="20446" xr:uid="{C964CD85-C1F0-4F18-93EF-F96FF64E3FD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26440883-80D7-4BC2-ADF1-5D035CE3E15A}"/>
    <cellStyle name="Normal 5 2 3 2 2 6 2 2 3" xfId="27221" xr:uid="{1867AAD7-CA86-4186-9F5F-40FD6E2D3D22}"/>
    <cellStyle name="Normal 5 2 3 2 2 6 2 3" xfId="13705" xr:uid="{9A22B9C3-5F77-4FC5-B5B3-7E72D870FA18}"/>
    <cellStyle name="Normal 5 2 3 2 2 6 2 4" xfId="23004" xr:uid="{82E85E62-6571-4FD2-B8C3-933B452A7DDD}"/>
    <cellStyle name="Normal 5 2 3 2 2 6 3" xfId="6451" xr:uid="{00000000-0005-0000-0000-000059180000}"/>
    <cellStyle name="Normal 5 2 3 2 2 6 3 2" xfId="15777" xr:uid="{5E21379E-66B6-4BB7-8755-7A9AB7757D98}"/>
    <cellStyle name="Normal 5 2 3 2 2 6 3 3" xfId="25076" xr:uid="{79AD4768-F536-4E8C-90B5-3AED264CB369}"/>
    <cellStyle name="Normal 5 2 3 2 2 6 4" xfId="11560" xr:uid="{6B6E6D1C-1174-436F-81F3-1B22DF4D36C4}"/>
    <cellStyle name="Normal 5 2 3 2 2 6 5" xfId="20859" xr:uid="{E1CACF21-9242-494B-8E2F-1E0ACF5646A1}"/>
    <cellStyle name="Normal 5 2 3 2 2 7" xfId="2581" xr:uid="{00000000-0005-0000-0000-00005A180000}"/>
    <cellStyle name="Normal 5 2 3 2 2 7 2" xfId="6864" xr:uid="{00000000-0005-0000-0000-00005B180000}"/>
    <cellStyle name="Normal 5 2 3 2 2 7 2 2" xfId="16190" xr:uid="{98624D92-8B82-41FF-80A0-8CD1F19EBC51}"/>
    <cellStyle name="Normal 5 2 3 2 2 7 2 3" xfId="25489" xr:uid="{A986531D-D36D-4685-9F26-C877728A53C3}"/>
    <cellStyle name="Normal 5 2 3 2 2 7 3" xfId="11973" xr:uid="{F735EC6E-4F06-4EA3-BC70-254C3EFD7AB6}"/>
    <cellStyle name="Normal 5 2 3 2 2 7 4" xfId="21272" xr:uid="{3121D1E2-9FFE-443A-B1F3-1FCBD072D198}"/>
    <cellStyle name="Normal 5 2 3 2 2 8" xfId="4799" xr:uid="{00000000-0005-0000-0000-00005C180000}"/>
    <cellStyle name="Normal 5 2 3 2 2 8 2" xfId="14125" xr:uid="{6F608C50-1F01-450C-B139-2034B028A35C}"/>
    <cellStyle name="Normal 5 2 3 2 2 8 3" xfId="23424" xr:uid="{EBCD7193-F327-4956-AD41-2BDAB69B116A}"/>
    <cellStyle name="Normal 5 2 3 2 2 9" xfId="8933" xr:uid="{2228AC18-CB51-4AF4-A227-403A8409C6C2}"/>
    <cellStyle name="Normal 5 2 3 2 2 9 2" xfId="18257" xr:uid="{5D92FD46-4BAA-4E08-8C88-977DA23FB69C}"/>
    <cellStyle name="Normal 5 2 3 2 2 9 3" xfId="27555" xr:uid="{DD1545BF-EA21-499A-9FC3-68EFD08313A1}"/>
    <cellStyle name="Normal 5 2 3 2 3" xfId="428" xr:uid="{00000000-0005-0000-0000-00005D180000}"/>
    <cellStyle name="Normal 5 2 3 2 3 10" xfId="19209" xr:uid="{026ADAFA-EF45-450F-8548-3BC7A7D4F3FE}"/>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E595F940-802F-4C01-AD06-AEBD89A9CFA5}"/>
    <cellStyle name="Normal 5 2 3 2 3 2 2 2 3" xfId="25984" xr:uid="{B9ADCF29-C6E3-4F69-B32E-0295E07E7523}"/>
    <cellStyle name="Normal 5 2 3 2 3 2 2 3" xfId="12468" xr:uid="{C3108BB0-D451-4E80-A7DA-3DB0C919FA1F}"/>
    <cellStyle name="Normal 5 2 3 2 3 2 2 4" xfId="21767" xr:uid="{63C7A362-7741-49CB-B87B-EC492F7EDC63}"/>
    <cellStyle name="Normal 5 2 3 2 3 2 3" xfId="5214" xr:uid="{00000000-0005-0000-0000-000061180000}"/>
    <cellStyle name="Normal 5 2 3 2 3 2 3 2" xfId="14540" xr:uid="{CA7A1C76-9517-4448-AD2E-2501C83CA3B0}"/>
    <cellStyle name="Normal 5 2 3 2 3 2 3 3" xfId="23839" xr:uid="{5835DC44-E479-41EE-B4D3-06C0250395C9}"/>
    <cellStyle name="Normal 5 2 3 2 3 2 4" xfId="9462" xr:uid="{B4C14F1A-A88A-428F-A7F8-BAFD7E5CD045}"/>
    <cellStyle name="Normal 5 2 3 2 3 2 4 2" xfId="18777" xr:uid="{408BBE4D-AFB5-4273-8DB6-8AAFAAE39FEA}"/>
    <cellStyle name="Normal 5 2 3 2 3 2 4 3" xfId="28074" xr:uid="{2B27DF07-9973-4876-AEC9-883D501D5CE5}"/>
    <cellStyle name="Normal 5 2 3 2 3 2 5" xfId="10323" xr:uid="{1F4E9FDD-6459-4313-B2D2-7DB159BC34A9}"/>
    <cellStyle name="Normal 5 2 3 2 3 2 6" xfId="19622" xr:uid="{E82D8118-6447-4AF7-8644-2CD00ECA52CA}"/>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0134EA86-D857-481C-B1C1-3D049CE64975}"/>
    <cellStyle name="Normal 5 2 3 2 3 3 2 2 3" xfId="26397" xr:uid="{72F8EDF8-9FCA-482A-B6EB-102E2A5AA3D1}"/>
    <cellStyle name="Normal 5 2 3 2 3 3 2 3" xfId="12881" xr:uid="{BEDB50FD-C32E-45AF-88B8-998A24CFA960}"/>
    <cellStyle name="Normal 5 2 3 2 3 3 2 4" xfId="22180" xr:uid="{B3F803C7-3C7F-4C28-8F54-1696920EE52E}"/>
    <cellStyle name="Normal 5 2 3 2 3 3 3" xfId="5627" xr:uid="{00000000-0005-0000-0000-000065180000}"/>
    <cellStyle name="Normal 5 2 3 2 3 3 3 2" xfId="14953" xr:uid="{8C57D0A0-4838-4656-8E52-D6B1D5981F18}"/>
    <cellStyle name="Normal 5 2 3 2 3 3 3 3" xfId="24252" xr:uid="{15A12177-3241-4519-AF91-15755A0A79B3}"/>
    <cellStyle name="Normal 5 2 3 2 3 3 4" xfId="10736" xr:uid="{D218804C-EDF5-4EB3-A285-6E3CB36B1319}"/>
    <cellStyle name="Normal 5 2 3 2 3 3 5" xfId="20035" xr:uid="{8E205711-E4A9-4ECE-8B7D-28AF46AA0635}"/>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99946EF3-AA04-4F9A-B93A-740139EBEDA0}"/>
    <cellStyle name="Normal 5 2 3 2 3 4 2 2 3" xfId="26810" xr:uid="{0C4A37F7-14E2-4CC9-9532-D0294C416266}"/>
    <cellStyle name="Normal 5 2 3 2 3 4 2 3" xfId="13294" xr:uid="{43561755-9CF1-4AB8-BB75-FFDFE24C04A2}"/>
    <cellStyle name="Normal 5 2 3 2 3 4 2 4" xfId="22593" xr:uid="{03FD288F-DDAF-4A89-92E2-55EB4E4B65B5}"/>
    <cellStyle name="Normal 5 2 3 2 3 4 3" xfId="6040" xr:uid="{00000000-0005-0000-0000-000069180000}"/>
    <cellStyle name="Normal 5 2 3 2 3 4 3 2" xfId="15366" xr:uid="{60884E3D-FB90-44A9-9CC5-22C5DB3F8AE6}"/>
    <cellStyle name="Normal 5 2 3 2 3 4 3 3" xfId="24665" xr:uid="{7C3EAE7E-D072-4FBF-9B18-82FA7A555E26}"/>
    <cellStyle name="Normal 5 2 3 2 3 4 4" xfId="11149" xr:uid="{1B19C6AC-B1F6-4097-85C0-6AA6FCE2FFB6}"/>
    <cellStyle name="Normal 5 2 3 2 3 4 5" xfId="20448" xr:uid="{478B3FAD-8847-420B-A4BF-3C318B73D8F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4E5A45BC-5695-4F40-A4A4-69B330D3C4FD}"/>
    <cellStyle name="Normal 5 2 3 2 3 5 2 2 3" xfId="27223" xr:uid="{4BF9E81B-DCA3-4EA8-8EFD-4F59B05B6D8C}"/>
    <cellStyle name="Normal 5 2 3 2 3 5 2 3" xfId="13707" xr:uid="{787BCA5D-44E4-4B8E-AD56-F65A95EBC490}"/>
    <cellStyle name="Normal 5 2 3 2 3 5 2 4" xfId="23006" xr:uid="{0E51BE85-717A-4A5E-B365-3059F7D177CF}"/>
    <cellStyle name="Normal 5 2 3 2 3 5 3" xfId="6453" xr:uid="{00000000-0005-0000-0000-00006D180000}"/>
    <cellStyle name="Normal 5 2 3 2 3 5 3 2" xfId="15779" xr:uid="{4DFD9D8C-B1EE-491C-826D-88D3B042F0E4}"/>
    <cellStyle name="Normal 5 2 3 2 3 5 3 3" xfId="25078" xr:uid="{F50EAE7D-B59D-44F9-93EC-17923F4722AE}"/>
    <cellStyle name="Normal 5 2 3 2 3 5 4" xfId="11562" xr:uid="{5645759C-E5B8-477A-98C1-D0FA8D7B9ABD}"/>
    <cellStyle name="Normal 5 2 3 2 3 5 5" xfId="20861" xr:uid="{8FC52C25-1CE4-4D09-80F9-16F2B5C9ACA4}"/>
    <cellStyle name="Normal 5 2 3 2 3 6" xfId="2583" xr:uid="{00000000-0005-0000-0000-00006E180000}"/>
    <cellStyle name="Normal 5 2 3 2 3 6 2" xfId="6866" xr:uid="{00000000-0005-0000-0000-00006F180000}"/>
    <cellStyle name="Normal 5 2 3 2 3 6 2 2" xfId="16192" xr:uid="{E4D3717C-596B-4D5E-8875-7EE03DFFB461}"/>
    <cellStyle name="Normal 5 2 3 2 3 6 2 3" xfId="25491" xr:uid="{9AE1D1ED-232B-4D57-90E1-9AD57BC72E3B}"/>
    <cellStyle name="Normal 5 2 3 2 3 6 3" xfId="11975" xr:uid="{76F1A428-2785-42CE-9A38-631C1192323E}"/>
    <cellStyle name="Normal 5 2 3 2 3 6 4" xfId="21274" xr:uid="{3D3D7FC1-0CF5-47D4-BF89-20649D222DA8}"/>
    <cellStyle name="Normal 5 2 3 2 3 7" xfId="4801" xr:uid="{00000000-0005-0000-0000-000070180000}"/>
    <cellStyle name="Normal 5 2 3 2 3 7 2" xfId="14127" xr:uid="{B3EDEB49-74BB-478B-B2D6-A85CDC0233CF}"/>
    <cellStyle name="Normal 5 2 3 2 3 7 3" xfId="23426" xr:uid="{7502BE58-6868-412F-894B-F779E41A93A4}"/>
    <cellStyle name="Normal 5 2 3 2 3 8" xfId="9037" xr:uid="{EED46D7F-EFCD-4AC1-931D-AB06B694E7BE}"/>
    <cellStyle name="Normal 5 2 3 2 3 8 2" xfId="18361" xr:uid="{4D5B75B7-491A-4D22-8C62-A6ABC1B40503}"/>
    <cellStyle name="Normal 5 2 3 2 3 8 3" xfId="27659" xr:uid="{A065FE3B-7922-49C3-BD65-A4E1E9177A3A}"/>
    <cellStyle name="Normal 5 2 3 2 3 9" xfId="9910" xr:uid="{ED7FE8FC-EC2F-445A-B3A7-F023C67C14FA}"/>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1988FFE2-CCCD-4D04-8648-CE710CB71AC2}"/>
    <cellStyle name="Normal 5 2 3 2 4 2 2 3" xfId="25981" xr:uid="{8F299FAA-5E78-4E6A-9B8D-0C8B366EFF34}"/>
    <cellStyle name="Normal 5 2 3 2 4 2 3" xfId="12465" xr:uid="{7C37012E-6EB5-415D-AFE3-B9901C680403}"/>
    <cellStyle name="Normal 5 2 3 2 4 2 4" xfId="21764" xr:uid="{0A98E24B-30A8-4037-AE14-48EA6848F5A0}"/>
    <cellStyle name="Normal 5 2 3 2 4 3" xfId="5211" xr:uid="{00000000-0005-0000-0000-000074180000}"/>
    <cellStyle name="Normal 5 2 3 2 4 3 2" xfId="14537" xr:uid="{A039B57C-5077-4F81-BBA1-85686D5D2748}"/>
    <cellStyle name="Normal 5 2 3 2 4 3 3" xfId="23836" xr:uid="{C3723D7E-FDB2-4703-98FF-B12B8821C4DC}"/>
    <cellStyle name="Normal 5 2 3 2 4 4" xfId="9255" xr:uid="{C5A161BB-6C4F-4A9D-BBA7-7500B0B26A70}"/>
    <cellStyle name="Normal 5 2 3 2 4 4 2" xfId="18570" xr:uid="{33486122-91E5-4958-948D-911B0C412B7B}"/>
    <cellStyle name="Normal 5 2 3 2 4 4 3" xfId="27867" xr:uid="{167BBD3B-6E27-4001-BC1E-4A9803E374A6}"/>
    <cellStyle name="Normal 5 2 3 2 4 5" xfId="10320" xr:uid="{B7090D4C-3DA4-42CF-BB46-72EC0B3786B1}"/>
    <cellStyle name="Normal 5 2 3 2 4 6" xfId="19619" xr:uid="{E0D6C259-F8B2-410E-970F-92510FE91EA6}"/>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35F45B66-2FC8-4C88-8C86-D06F4464FB5F}"/>
    <cellStyle name="Normal 5 2 3 2 5 2 2 3" xfId="26394" xr:uid="{761D8E58-D624-4B23-A581-5D3AB7352E46}"/>
    <cellStyle name="Normal 5 2 3 2 5 2 3" xfId="12878" xr:uid="{D862EC76-85B4-4653-93CD-14DFED561BFD}"/>
    <cellStyle name="Normal 5 2 3 2 5 2 4" xfId="22177" xr:uid="{2ACFE249-A7CE-480E-A14A-655BBA145213}"/>
    <cellStyle name="Normal 5 2 3 2 5 3" xfId="5624" xr:uid="{00000000-0005-0000-0000-000078180000}"/>
    <cellStyle name="Normal 5 2 3 2 5 3 2" xfId="14950" xr:uid="{747CAE30-CB9D-4F96-8C38-37E7ED2DC3B2}"/>
    <cellStyle name="Normal 5 2 3 2 5 3 3" xfId="24249" xr:uid="{73CCEBCD-97E9-41E3-ACB2-27ED462B50B6}"/>
    <cellStyle name="Normal 5 2 3 2 5 4" xfId="10733" xr:uid="{72E499D1-F0AF-425B-8BB9-C298FA719D4A}"/>
    <cellStyle name="Normal 5 2 3 2 5 5" xfId="20032" xr:uid="{90E040A3-13DC-42CA-8FB2-FFCD51D75043}"/>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C910D14D-313F-452C-89EF-E085B21E8DFC}"/>
    <cellStyle name="Normal 5 2 3 2 6 2 2 3" xfId="26807" xr:uid="{BB0C8CE8-1824-4AEB-96FA-3D91FD1E8D05}"/>
    <cellStyle name="Normal 5 2 3 2 6 2 3" xfId="13291" xr:uid="{3E2143D6-13EC-4E15-8796-77DFA8D23199}"/>
    <cellStyle name="Normal 5 2 3 2 6 2 4" xfId="22590" xr:uid="{1B689EF2-BE32-4D4F-B32F-0741AA484C3F}"/>
    <cellStyle name="Normal 5 2 3 2 6 3" xfId="6037" xr:uid="{00000000-0005-0000-0000-00007C180000}"/>
    <cellStyle name="Normal 5 2 3 2 6 3 2" xfId="15363" xr:uid="{E6E1E849-4573-4E73-88AB-5E48C1E487D1}"/>
    <cellStyle name="Normal 5 2 3 2 6 3 3" xfId="24662" xr:uid="{C0D2F538-6715-4C6C-8756-CBB5DD2B0A78}"/>
    <cellStyle name="Normal 5 2 3 2 6 4" xfId="11146" xr:uid="{F2C12549-40C5-4898-9E78-39F0CFEC318A}"/>
    <cellStyle name="Normal 5 2 3 2 6 5" xfId="20445" xr:uid="{FBFD4AFF-5ABE-4B41-8BAB-31F591763043}"/>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566DAC7C-ACED-4EC5-8B8E-05CF744E27B5}"/>
    <cellStyle name="Normal 5 2 3 2 7 2 2 3" xfId="27220" xr:uid="{2FB70074-C930-4158-8148-7D21B1FDAB67}"/>
    <cellStyle name="Normal 5 2 3 2 7 2 3" xfId="13704" xr:uid="{D67E850C-75C7-4562-B9A5-D365A90CF3AB}"/>
    <cellStyle name="Normal 5 2 3 2 7 2 4" xfId="23003" xr:uid="{9CBC8E58-7636-4601-8CEB-7EBA09B69B60}"/>
    <cellStyle name="Normal 5 2 3 2 7 3" xfId="6450" xr:uid="{00000000-0005-0000-0000-000080180000}"/>
    <cellStyle name="Normal 5 2 3 2 7 3 2" xfId="15776" xr:uid="{E014BFF2-F001-4BFB-9269-8D763BE64AA5}"/>
    <cellStyle name="Normal 5 2 3 2 7 3 3" xfId="25075" xr:uid="{F6570864-2C35-40FC-8ECC-BB4E4EE6A14D}"/>
    <cellStyle name="Normal 5 2 3 2 7 4" xfId="11559" xr:uid="{3F7588CB-7202-4926-ACCD-E474B80E13C8}"/>
    <cellStyle name="Normal 5 2 3 2 7 5" xfId="20858" xr:uid="{1E84DAFA-3A59-4334-9E18-961FFD516F16}"/>
    <cellStyle name="Normal 5 2 3 2 8" xfId="2580" xr:uid="{00000000-0005-0000-0000-000081180000}"/>
    <cellStyle name="Normal 5 2 3 2 8 2" xfId="6863" xr:uid="{00000000-0005-0000-0000-000082180000}"/>
    <cellStyle name="Normal 5 2 3 2 8 2 2" xfId="16189" xr:uid="{A6F83B0B-17EA-4A1E-BFD6-39F8C4D83E89}"/>
    <cellStyle name="Normal 5 2 3 2 8 2 3" xfId="25488" xr:uid="{6D7B051F-6288-4F0E-A20D-A10662391DE4}"/>
    <cellStyle name="Normal 5 2 3 2 8 3" xfId="11972" xr:uid="{BDC0E7B4-F25E-4008-A315-F68F870B23E8}"/>
    <cellStyle name="Normal 5 2 3 2 8 4" xfId="21271" xr:uid="{B621E1F0-6A2D-440A-9A74-A47B62D1EA37}"/>
    <cellStyle name="Normal 5 2 3 2 9" xfId="4798" xr:uid="{00000000-0005-0000-0000-000083180000}"/>
    <cellStyle name="Normal 5 2 3 2 9 2" xfId="14124" xr:uid="{15D5A9A0-1DF0-4902-AC36-414863D3087C}"/>
    <cellStyle name="Normal 5 2 3 2 9 3" xfId="23423" xr:uid="{3A9C5A81-7FB3-4BBF-9C15-F512E7EA6350}"/>
    <cellStyle name="Normal 5 2 3 3" xfId="429" xr:uid="{00000000-0005-0000-0000-000084180000}"/>
    <cellStyle name="Normal 5 2 3 3 10" xfId="9911" xr:uid="{4D19CE20-E48A-4ABB-BC0C-3B83AA4397B0}"/>
    <cellStyle name="Normal 5 2 3 3 11" xfId="19210" xr:uid="{36E2F5DC-1222-49D1-A555-1D69622B6A65}"/>
    <cellStyle name="Normal 5 2 3 3 2" xfId="430" xr:uid="{00000000-0005-0000-0000-000085180000}"/>
    <cellStyle name="Normal 5 2 3 3 2 10" xfId="19211" xr:uid="{AB8941CF-DB7B-449C-A6A5-E5FADBC6819C}"/>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4734B12B-15C0-44F9-BF22-9A09862A939B}"/>
    <cellStyle name="Normal 5 2 3 3 2 2 2 2 3" xfId="25986" xr:uid="{D778FB47-BCC5-4EDF-92D6-3B5EC7E9ABF3}"/>
    <cellStyle name="Normal 5 2 3 3 2 2 2 3" xfId="12470" xr:uid="{2E828BEF-73FC-40F2-8EA2-4E7577C7C0E2}"/>
    <cellStyle name="Normal 5 2 3 3 2 2 2 4" xfId="21769" xr:uid="{E05282E0-3684-4641-BEDE-DE0888BF54CF}"/>
    <cellStyle name="Normal 5 2 3 3 2 2 3" xfId="5216" xr:uid="{00000000-0005-0000-0000-000089180000}"/>
    <cellStyle name="Normal 5 2 3 3 2 2 3 2" xfId="14542" xr:uid="{C6C50EA6-E527-4451-966E-796F6FB2B0AA}"/>
    <cellStyle name="Normal 5 2 3 3 2 2 3 3" xfId="23841" xr:uid="{34EE6BF3-5449-4E09-8414-F62E87746D0F}"/>
    <cellStyle name="Normal 5 2 3 3 2 2 4" xfId="9511" xr:uid="{75EF02F8-0397-4B30-A858-343ADCA7C08D}"/>
    <cellStyle name="Normal 5 2 3 3 2 2 4 2" xfId="18826" xr:uid="{37ECC08E-5554-4C65-8CF6-51C24B2885E8}"/>
    <cellStyle name="Normal 5 2 3 3 2 2 4 3" xfId="28123" xr:uid="{6C72BCF1-1F20-4D95-B72E-13828EEA77FA}"/>
    <cellStyle name="Normal 5 2 3 3 2 2 5" xfId="10325" xr:uid="{BECBB42B-2FED-425E-998C-312B8605FA1B}"/>
    <cellStyle name="Normal 5 2 3 3 2 2 6" xfId="19624" xr:uid="{66DA7D6B-DA2D-40C7-A9D0-BEAEF88925D9}"/>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868A0C62-2B54-407E-9DEA-3A5AD84570C4}"/>
    <cellStyle name="Normal 5 2 3 3 2 3 2 2 3" xfId="26399" xr:uid="{FB8F103E-A943-4724-A632-E975059DCE81}"/>
    <cellStyle name="Normal 5 2 3 3 2 3 2 3" xfId="12883" xr:uid="{B81F2039-6C29-49FF-8A0F-128F1608FE76}"/>
    <cellStyle name="Normal 5 2 3 3 2 3 2 4" xfId="22182" xr:uid="{9EE0650A-F059-4024-A937-3285B7DBFBC3}"/>
    <cellStyle name="Normal 5 2 3 3 2 3 3" xfId="5629" xr:uid="{00000000-0005-0000-0000-00008D180000}"/>
    <cellStyle name="Normal 5 2 3 3 2 3 3 2" xfId="14955" xr:uid="{265E3D6E-D57E-44F5-AF41-FC20BE97DFC6}"/>
    <cellStyle name="Normal 5 2 3 3 2 3 3 3" xfId="24254" xr:uid="{8C45DF7B-F434-4BB4-83FA-F115E7D014B2}"/>
    <cellStyle name="Normal 5 2 3 3 2 3 4" xfId="10738" xr:uid="{5133C60D-4AE6-49AD-BB91-61D7B32AE49B}"/>
    <cellStyle name="Normal 5 2 3 3 2 3 5" xfId="20037" xr:uid="{F8778B7C-F616-40BF-A13E-FA9565226E4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39D8CE88-A812-4C37-9EB0-7DF12DEB54A1}"/>
    <cellStyle name="Normal 5 2 3 3 2 4 2 2 3" xfId="26812" xr:uid="{43C1F9BD-C6FB-4BFD-8916-BEC25A95F73C}"/>
    <cellStyle name="Normal 5 2 3 3 2 4 2 3" xfId="13296" xr:uid="{B2450858-7281-4B45-86B7-4E3586AC3DEF}"/>
    <cellStyle name="Normal 5 2 3 3 2 4 2 4" xfId="22595" xr:uid="{B1F0C846-1053-4EE4-950E-6B0D127CFA77}"/>
    <cellStyle name="Normal 5 2 3 3 2 4 3" xfId="6042" xr:uid="{00000000-0005-0000-0000-000091180000}"/>
    <cellStyle name="Normal 5 2 3 3 2 4 3 2" xfId="15368" xr:uid="{BD4C6D3D-B436-451D-BD76-09FE5D2935BF}"/>
    <cellStyle name="Normal 5 2 3 3 2 4 3 3" xfId="24667" xr:uid="{1D6B4B5E-CEFA-4C8B-B083-611895731296}"/>
    <cellStyle name="Normal 5 2 3 3 2 4 4" xfId="11151" xr:uid="{8D26BD01-92AE-4C16-ACA8-EE322444BB17}"/>
    <cellStyle name="Normal 5 2 3 3 2 4 5" xfId="20450" xr:uid="{1A399E31-2AC7-4865-A3C7-E6115B8D18C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60860F95-034E-437F-845A-313B42036FD5}"/>
    <cellStyle name="Normal 5 2 3 3 2 5 2 2 3" xfId="27225" xr:uid="{4BE81C21-0D33-46C1-9731-3C3715C98E84}"/>
    <cellStyle name="Normal 5 2 3 3 2 5 2 3" xfId="13709" xr:uid="{58227D4A-B8F7-4697-8A63-EF898923B25C}"/>
    <cellStyle name="Normal 5 2 3 3 2 5 2 4" xfId="23008" xr:uid="{7975421B-BFBC-4C0F-BE5E-C354D228EFF5}"/>
    <cellStyle name="Normal 5 2 3 3 2 5 3" xfId="6455" xr:uid="{00000000-0005-0000-0000-000095180000}"/>
    <cellStyle name="Normal 5 2 3 3 2 5 3 2" xfId="15781" xr:uid="{450566C5-286C-409B-999F-F3E87274A198}"/>
    <cellStyle name="Normal 5 2 3 3 2 5 3 3" xfId="25080" xr:uid="{846A6EA6-1AA2-4D2F-B986-B834F8DBDDEA}"/>
    <cellStyle name="Normal 5 2 3 3 2 5 4" xfId="11564" xr:uid="{F629BC6F-4F97-4AF8-BCD4-DB112FF05A29}"/>
    <cellStyle name="Normal 5 2 3 3 2 5 5" xfId="20863" xr:uid="{ACD2F5F5-2F45-427E-BAD7-83DCB8D10D89}"/>
    <cellStyle name="Normal 5 2 3 3 2 6" xfId="2585" xr:uid="{00000000-0005-0000-0000-000096180000}"/>
    <cellStyle name="Normal 5 2 3 3 2 6 2" xfId="6868" xr:uid="{00000000-0005-0000-0000-000097180000}"/>
    <cellStyle name="Normal 5 2 3 3 2 6 2 2" xfId="16194" xr:uid="{D0F6D74D-7658-4A32-9338-F27DD151E082}"/>
    <cellStyle name="Normal 5 2 3 3 2 6 2 3" xfId="25493" xr:uid="{678AFB4C-3E5D-4F28-AA93-AC7CC6D0A498}"/>
    <cellStyle name="Normal 5 2 3 3 2 6 3" xfId="11977" xr:uid="{30927B6E-5D2E-4AC9-B853-8A4D9BEEAF30}"/>
    <cellStyle name="Normal 5 2 3 3 2 6 4" xfId="21276" xr:uid="{C6F14D98-D72B-4EE8-985C-35A143A450EC}"/>
    <cellStyle name="Normal 5 2 3 3 2 7" xfId="4803" xr:uid="{00000000-0005-0000-0000-000098180000}"/>
    <cellStyle name="Normal 5 2 3 3 2 7 2" xfId="14129" xr:uid="{C36209F3-34A0-4910-8BAA-D50C405A759C}"/>
    <cellStyle name="Normal 5 2 3 3 2 7 3" xfId="23428" xr:uid="{30990969-2DEA-4152-AD7F-C781ECF4DD0A}"/>
    <cellStyle name="Normal 5 2 3 3 2 8" xfId="9086" xr:uid="{442E5F61-F00C-4774-822F-4985AB3E1CB7}"/>
    <cellStyle name="Normal 5 2 3 3 2 8 2" xfId="18410" xr:uid="{664C3CF3-3293-4C10-A439-EA4A0859FA0B}"/>
    <cellStyle name="Normal 5 2 3 3 2 8 3" xfId="27708" xr:uid="{DBEF5F77-2862-404D-B7F5-04F3AB4964E3}"/>
    <cellStyle name="Normal 5 2 3 3 2 9" xfId="9912" xr:uid="{CA5ACBB8-098F-4C67-8D9F-27F6085CCC4A}"/>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09ADA272-0758-4B90-A8F8-6FA85B54E6EC}"/>
    <cellStyle name="Normal 5 2 3 3 3 2 2 3" xfId="25985" xr:uid="{AA504A0A-2BF7-4CFB-BD3C-1D4A95F48E58}"/>
    <cellStyle name="Normal 5 2 3 3 3 2 3" xfId="12469" xr:uid="{AD41BFBF-5A13-4E04-BFE0-1BFE79244132}"/>
    <cellStyle name="Normal 5 2 3 3 3 2 4" xfId="21768" xr:uid="{0112F97A-01B5-47D6-B6CB-EE932ABF3C52}"/>
    <cellStyle name="Normal 5 2 3 3 3 3" xfId="5215" xr:uid="{00000000-0005-0000-0000-00009C180000}"/>
    <cellStyle name="Normal 5 2 3 3 3 3 2" xfId="14541" xr:uid="{B45514C1-BFAF-4BCB-B8E3-18002ACF06B1}"/>
    <cellStyle name="Normal 5 2 3 3 3 3 3" xfId="23840" xr:uid="{D6DF9B74-5325-46EF-B4D4-66B2E02E078F}"/>
    <cellStyle name="Normal 5 2 3 3 3 4" xfId="9304" xr:uid="{2C783A77-F32A-4E64-807E-062B95DB0310}"/>
    <cellStyle name="Normal 5 2 3 3 3 4 2" xfId="18619" xr:uid="{1BF405E2-2B66-46BC-8495-EE753844DD71}"/>
    <cellStyle name="Normal 5 2 3 3 3 4 3" xfId="27916" xr:uid="{6C51EB2E-1216-4554-91F0-DECABAA427BE}"/>
    <cellStyle name="Normal 5 2 3 3 3 5" xfId="10324" xr:uid="{B410355B-C7AA-43AB-A721-0CB7E47FCFB9}"/>
    <cellStyle name="Normal 5 2 3 3 3 6" xfId="19623" xr:uid="{E86F4D99-74A2-4426-8C38-7E667E492EB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7E39DC8E-49FF-4B0F-B2E2-B18920B771F3}"/>
    <cellStyle name="Normal 5 2 3 3 4 2 2 3" xfId="26398" xr:uid="{BDB5DA5C-5210-4FB6-9D28-4A10218FCB11}"/>
    <cellStyle name="Normal 5 2 3 3 4 2 3" xfId="12882" xr:uid="{27261308-182C-4BE8-B1EF-7700CA15E2CB}"/>
    <cellStyle name="Normal 5 2 3 3 4 2 4" xfId="22181" xr:uid="{7A8196AD-34C9-45CC-B6DB-06C9F73A8927}"/>
    <cellStyle name="Normal 5 2 3 3 4 3" xfId="5628" xr:uid="{00000000-0005-0000-0000-0000A0180000}"/>
    <cellStyle name="Normal 5 2 3 3 4 3 2" xfId="14954" xr:uid="{8E86AEB2-1B9A-48C7-A10F-AC3E34D70CFA}"/>
    <cellStyle name="Normal 5 2 3 3 4 3 3" xfId="24253" xr:uid="{28CEE89B-D3FF-46CC-BCB8-F28DDB18E0A5}"/>
    <cellStyle name="Normal 5 2 3 3 4 4" xfId="10737" xr:uid="{DBD40A1F-C940-46C7-B187-CF84448BFCC5}"/>
    <cellStyle name="Normal 5 2 3 3 4 5" xfId="20036" xr:uid="{F1E368D4-B4C6-4F1A-9325-D93A8E4F7C0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384BB729-3070-45B5-938E-DAE4F9177FBD}"/>
    <cellStyle name="Normal 5 2 3 3 5 2 2 3" xfId="26811" xr:uid="{DAE5AF7C-D349-47B2-AFEF-57C849998A0E}"/>
    <cellStyle name="Normal 5 2 3 3 5 2 3" xfId="13295" xr:uid="{16151E60-02FA-45A0-B7C3-BEBC5DEE407A}"/>
    <cellStyle name="Normal 5 2 3 3 5 2 4" xfId="22594" xr:uid="{B49BDF95-792C-47B7-B4ED-EBC5BF1DA098}"/>
    <cellStyle name="Normal 5 2 3 3 5 3" xfId="6041" xr:uid="{00000000-0005-0000-0000-0000A4180000}"/>
    <cellStyle name="Normal 5 2 3 3 5 3 2" xfId="15367" xr:uid="{E15D9EBD-BCFB-4EC3-B8BF-6BF2C6E26C5B}"/>
    <cellStyle name="Normal 5 2 3 3 5 3 3" xfId="24666" xr:uid="{D0AA3253-309B-4E86-BE7E-5E0A6F5686D1}"/>
    <cellStyle name="Normal 5 2 3 3 5 4" xfId="11150" xr:uid="{890A2FC1-89C3-4F59-9630-FC746EF9E70A}"/>
    <cellStyle name="Normal 5 2 3 3 5 5" xfId="20449" xr:uid="{3D7B7D8B-C3F1-4ADE-AAC9-F4788B66DD99}"/>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EDDAAB22-1F5B-43E4-A2E5-3F0A682430B4}"/>
    <cellStyle name="Normal 5 2 3 3 6 2 2 3" xfId="27224" xr:uid="{EFEE5C21-0430-4A70-975E-F7C496919552}"/>
    <cellStyle name="Normal 5 2 3 3 6 2 3" xfId="13708" xr:uid="{7C0EC70F-3205-48D9-87DE-312CBF5D9282}"/>
    <cellStyle name="Normal 5 2 3 3 6 2 4" xfId="23007" xr:uid="{72BC101B-81ED-4192-8FD4-B843FA1614E4}"/>
    <cellStyle name="Normal 5 2 3 3 6 3" xfId="6454" xr:uid="{00000000-0005-0000-0000-0000A8180000}"/>
    <cellStyle name="Normal 5 2 3 3 6 3 2" xfId="15780" xr:uid="{9CD1CA9E-6B7E-4481-A1BE-DFF4C876C909}"/>
    <cellStyle name="Normal 5 2 3 3 6 3 3" xfId="25079" xr:uid="{3110D76F-0705-4CEC-9472-37750E74F484}"/>
    <cellStyle name="Normal 5 2 3 3 6 4" xfId="11563" xr:uid="{16CB38BD-42B1-466D-B7EB-621FF57BED14}"/>
    <cellStyle name="Normal 5 2 3 3 6 5" xfId="20862" xr:uid="{9CBAAB0C-AD04-4A52-8FEA-EA918B786A6A}"/>
    <cellStyle name="Normal 5 2 3 3 7" xfId="2584" xr:uid="{00000000-0005-0000-0000-0000A9180000}"/>
    <cellStyle name="Normal 5 2 3 3 7 2" xfId="6867" xr:uid="{00000000-0005-0000-0000-0000AA180000}"/>
    <cellStyle name="Normal 5 2 3 3 7 2 2" xfId="16193" xr:uid="{52300EC8-AFD1-4BD6-9A97-B4AE2D5F757C}"/>
    <cellStyle name="Normal 5 2 3 3 7 2 3" xfId="25492" xr:uid="{2417C1CB-C6AB-42AE-99AA-C6C6FC08FDF3}"/>
    <cellStyle name="Normal 5 2 3 3 7 3" xfId="11976" xr:uid="{052C2EAC-CE08-4833-B6BC-11B14D9C7B71}"/>
    <cellStyle name="Normal 5 2 3 3 7 4" xfId="21275" xr:uid="{1CDED64E-55F5-4083-8DA3-0F779E31909F}"/>
    <cellStyle name="Normal 5 2 3 3 8" xfId="4802" xr:uid="{00000000-0005-0000-0000-0000AB180000}"/>
    <cellStyle name="Normal 5 2 3 3 8 2" xfId="14128" xr:uid="{56441B01-7BDE-47D7-BA98-FF64CDE89913}"/>
    <cellStyle name="Normal 5 2 3 3 8 3" xfId="23427" xr:uid="{F0B79735-7E67-43C0-9D90-DEF41DF1BD02}"/>
    <cellStyle name="Normal 5 2 3 3 9" xfId="8879" xr:uid="{F521005C-E3E0-4B64-9C0A-0C510FB9AAB2}"/>
    <cellStyle name="Normal 5 2 3 3 9 2" xfId="18203" xr:uid="{CF4294DC-CD06-4C5D-810F-80CACCB6F34C}"/>
    <cellStyle name="Normal 5 2 3 3 9 3" xfId="27501" xr:uid="{01E46E57-59DA-4C6D-A1E6-9125F2535A95}"/>
    <cellStyle name="Normal 5 2 3 4" xfId="431" xr:uid="{00000000-0005-0000-0000-0000AC180000}"/>
    <cellStyle name="Normal 5 2 3 4 10" xfId="19212" xr:uid="{A32870BF-D73A-41FF-AF2B-2DC88D1959F1}"/>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A9F0F376-A87B-41A0-8A7F-5CECE2DF8459}"/>
    <cellStyle name="Normal 5 2 3 4 2 2 2 3" xfId="25987" xr:uid="{4FAEEC6F-AD29-462A-A54C-330B184B87A8}"/>
    <cellStyle name="Normal 5 2 3 4 2 2 3" xfId="12471" xr:uid="{ED8234BB-5DB0-4E86-AE84-87FB6D3ACE58}"/>
    <cellStyle name="Normal 5 2 3 4 2 2 4" xfId="21770" xr:uid="{B8DD92E3-FAD0-4BED-A3E5-B565FD860310}"/>
    <cellStyle name="Normal 5 2 3 4 2 3" xfId="5217" xr:uid="{00000000-0005-0000-0000-0000B0180000}"/>
    <cellStyle name="Normal 5 2 3 4 2 3 2" xfId="14543" xr:uid="{D85AD268-A63E-42CC-BBFA-6FAF7D483E72}"/>
    <cellStyle name="Normal 5 2 3 4 2 3 3" xfId="23842" xr:uid="{4C1176C2-AC36-4CDD-9EA6-FEFEF47EBCBC}"/>
    <cellStyle name="Normal 5 2 3 4 2 4" xfId="9408" xr:uid="{3B6F9C6F-3D7C-45F8-99FE-451C0F8CED36}"/>
    <cellStyle name="Normal 5 2 3 4 2 4 2" xfId="18723" xr:uid="{13A7D679-D8A9-41EE-8E16-936775F49EC6}"/>
    <cellStyle name="Normal 5 2 3 4 2 4 3" xfId="28020" xr:uid="{63EE2405-B325-4D87-BCFD-8F638D96063F}"/>
    <cellStyle name="Normal 5 2 3 4 2 5" xfId="10326" xr:uid="{B02121E2-2BB2-4E89-AE02-65B72945D06E}"/>
    <cellStyle name="Normal 5 2 3 4 2 6" xfId="19625" xr:uid="{9D9E002C-177F-40CF-AB6D-399581B5CE5A}"/>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CAB2DA7E-2815-49FA-8E93-F90655C1DD6B}"/>
    <cellStyle name="Normal 5 2 3 4 3 2 2 3" xfId="26400" xr:uid="{B6440761-A39D-46DE-B351-CE0CD8FF6D3D}"/>
    <cellStyle name="Normal 5 2 3 4 3 2 3" xfId="12884" xr:uid="{259F93CE-333C-4D09-B6DE-973511C1A8BD}"/>
    <cellStyle name="Normal 5 2 3 4 3 2 4" xfId="22183" xr:uid="{5648EF7C-67F0-4C7B-BCDA-1479EEBAD6EB}"/>
    <cellStyle name="Normal 5 2 3 4 3 3" xfId="5630" xr:uid="{00000000-0005-0000-0000-0000B4180000}"/>
    <cellStyle name="Normal 5 2 3 4 3 3 2" xfId="14956" xr:uid="{9074AC0D-2C5F-4CEC-9DC8-10201BF02D1E}"/>
    <cellStyle name="Normal 5 2 3 4 3 3 3" xfId="24255" xr:uid="{34C5C896-56EA-4466-AABC-4107F7F1FC37}"/>
    <cellStyle name="Normal 5 2 3 4 3 4" xfId="10739" xr:uid="{A9AFB236-7782-4F2E-B728-8ABF42B12398}"/>
    <cellStyle name="Normal 5 2 3 4 3 5" xfId="20038" xr:uid="{E3B28FF4-CE74-4A8C-AC52-0CA493EF685A}"/>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F8AF622D-CB3F-4EC4-83D4-F0ACCF6F6FFD}"/>
    <cellStyle name="Normal 5 2 3 4 4 2 2 3" xfId="26813" xr:uid="{3FD38314-A267-49DB-8A50-F2F50C6AAF52}"/>
    <cellStyle name="Normal 5 2 3 4 4 2 3" xfId="13297" xr:uid="{47144718-6C72-4160-96E7-7A674A6D5D7A}"/>
    <cellStyle name="Normal 5 2 3 4 4 2 4" xfId="22596" xr:uid="{1B823E13-175E-4BDE-90D9-552274F8B17F}"/>
    <cellStyle name="Normal 5 2 3 4 4 3" xfId="6043" xr:uid="{00000000-0005-0000-0000-0000B8180000}"/>
    <cellStyle name="Normal 5 2 3 4 4 3 2" xfId="15369" xr:uid="{28DE533E-9BFC-4721-8D94-1AFFB972108A}"/>
    <cellStyle name="Normal 5 2 3 4 4 3 3" xfId="24668" xr:uid="{86B4F374-0A21-4991-A89C-63B9D7A8DD22}"/>
    <cellStyle name="Normal 5 2 3 4 4 4" xfId="11152" xr:uid="{EDA431FF-F1D7-4D12-ACB3-31BE31B35841}"/>
    <cellStyle name="Normal 5 2 3 4 4 5" xfId="20451" xr:uid="{EC7BCA5B-8774-469D-866C-795F65880B3B}"/>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B5C96E27-4D8B-429F-AB2C-9A8808BBEF6F}"/>
    <cellStyle name="Normal 5 2 3 4 5 2 2 3" xfId="27226" xr:uid="{A94AEBEE-0929-453A-8152-6CD901FD8B4B}"/>
    <cellStyle name="Normal 5 2 3 4 5 2 3" xfId="13710" xr:uid="{C90DB794-71AC-44F5-A091-8E2FD3B0443F}"/>
    <cellStyle name="Normal 5 2 3 4 5 2 4" xfId="23009" xr:uid="{802E9E8A-4534-4EC9-8779-37E2214DF4FA}"/>
    <cellStyle name="Normal 5 2 3 4 5 3" xfId="6456" xr:uid="{00000000-0005-0000-0000-0000BC180000}"/>
    <cellStyle name="Normal 5 2 3 4 5 3 2" xfId="15782" xr:uid="{AA1BEA73-D09C-49EE-8C58-731C7197E49B}"/>
    <cellStyle name="Normal 5 2 3 4 5 3 3" xfId="25081" xr:uid="{547CA4F3-6617-4BD9-B528-DAEF5972768C}"/>
    <cellStyle name="Normal 5 2 3 4 5 4" xfId="11565" xr:uid="{4F0AFC70-335D-4500-93B3-325A670E8C9B}"/>
    <cellStyle name="Normal 5 2 3 4 5 5" xfId="20864" xr:uid="{993F00D7-9804-4878-8826-078B1D2694EE}"/>
    <cellStyle name="Normal 5 2 3 4 6" xfId="2586" xr:uid="{00000000-0005-0000-0000-0000BD180000}"/>
    <cellStyle name="Normal 5 2 3 4 6 2" xfId="6869" xr:uid="{00000000-0005-0000-0000-0000BE180000}"/>
    <cellStyle name="Normal 5 2 3 4 6 2 2" xfId="16195" xr:uid="{3C7EAE00-8193-49D4-9FA6-D1D2CA51AA24}"/>
    <cellStyle name="Normal 5 2 3 4 6 2 3" xfId="25494" xr:uid="{4351039E-9D98-41E5-8D62-074A64C484EB}"/>
    <cellStyle name="Normal 5 2 3 4 6 3" xfId="11978" xr:uid="{F94B963D-A9B9-491D-9742-6547CF49E6D7}"/>
    <cellStyle name="Normal 5 2 3 4 6 4" xfId="21277" xr:uid="{F2454D76-873A-4520-9F6F-59FE19B619C2}"/>
    <cellStyle name="Normal 5 2 3 4 7" xfId="4804" xr:uid="{00000000-0005-0000-0000-0000BF180000}"/>
    <cellStyle name="Normal 5 2 3 4 7 2" xfId="14130" xr:uid="{B6F4EEAF-F6AC-49CC-ADE6-6D57A6DB9265}"/>
    <cellStyle name="Normal 5 2 3 4 7 3" xfId="23429" xr:uid="{E86AB5CF-1E58-4D55-A3C8-7063270EB93A}"/>
    <cellStyle name="Normal 5 2 3 4 8" xfId="8983" xr:uid="{07388FCC-03DE-4CE8-89CB-9C92F8174E24}"/>
    <cellStyle name="Normal 5 2 3 4 8 2" xfId="18307" xr:uid="{AACFAFDB-F79C-48DD-A675-2605593F8BAD}"/>
    <cellStyle name="Normal 5 2 3 4 8 3" xfId="27605" xr:uid="{CA05FB90-13F4-4312-96A0-749B804F7726}"/>
    <cellStyle name="Normal 5 2 3 4 9" xfId="9913" xr:uid="{F40E2164-5AEB-4673-8274-112B16A5A81B}"/>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4F287E61-676D-472E-A028-B67EC0B674A7}"/>
    <cellStyle name="Normal 5 2 3 5 2 2 3" xfId="25980" xr:uid="{449072AD-57F7-4E23-9346-FABA43C29CA1}"/>
    <cellStyle name="Normal 5 2 3 5 2 3" xfId="12464" xr:uid="{20068F96-6043-4F27-86CD-93AF9B01AB13}"/>
    <cellStyle name="Normal 5 2 3 5 2 4" xfId="21763" xr:uid="{5F90F569-B10B-4AC7-A25A-DE58C293EEF9}"/>
    <cellStyle name="Normal 5 2 3 5 3" xfId="5210" xr:uid="{00000000-0005-0000-0000-0000C3180000}"/>
    <cellStyle name="Normal 5 2 3 5 3 2" xfId="14536" xr:uid="{82F2A39A-9E53-472D-B898-5B9C664E58DF}"/>
    <cellStyle name="Normal 5 2 3 5 3 3" xfId="23835" xr:uid="{86D90597-79B0-44A2-8759-BE70BFC045E4}"/>
    <cellStyle name="Normal 5 2 3 5 4" xfId="9200" xr:uid="{13DE827A-4007-427A-9869-ADBBE6B70993}"/>
    <cellStyle name="Normal 5 2 3 5 4 2" xfId="18516" xr:uid="{91B10491-7D1F-4776-B3C3-693B8EDE2920}"/>
    <cellStyle name="Normal 5 2 3 5 4 3" xfId="27813" xr:uid="{8DB8EA40-44BB-4201-92EB-E38AF1C0ADD9}"/>
    <cellStyle name="Normal 5 2 3 5 5" xfId="10319" xr:uid="{29950616-BB3B-4AE2-84F2-9FA36A912ECB}"/>
    <cellStyle name="Normal 5 2 3 5 6" xfId="19618" xr:uid="{621F1CDA-6C83-41FE-9F22-B9CD4E9D73BD}"/>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9FA64E20-1655-4961-B93F-176AFDFF20B1}"/>
    <cellStyle name="Normal 5 2 3 6 2 2 3" xfId="26393" xr:uid="{68729E75-9E7A-4647-B3CA-7E5424E460EF}"/>
    <cellStyle name="Normal 5 2 3 6 2 3" xfId="12877" xr:uid="{13881B7C-AA34-49DD-B102-08562199ACB9}"/>
    <cellStyle name="Normal 5 2 3 6 2 4" xfId="22176" xr:uid="{7185C071-4A42-43F3-9336-EF31F5440FCB}"/>
    <cellStyle name="Normal 5 2 3 6 3" xfId="5623" xr:uid="{00000000-0005-0000-0000-0000C7180000}"/>
    <cellStyle name="Normal 5 2 3 6 3 2" xfId="14949" xr:uid="{BC955B72-2994-4D6E-96E4-3A2E1C321587}"/>
    <cellStyle name="Normal 5 2 3 6 3 3" xfId="24248" xr:uid="{3231C708-A647-471D-A0D2-7968F4B8B308}"/>
    <cellStyle name="Normal 5 2 3 6 4" xfId="10732" xr:uid="{7F8ADC7E-3A2A-4BC8-9C55-5A802A0B7E49}"/>
    <cellStyle name="Normal 5 2 3 6 5" xfId="20031" xr:uid="{D0405232-3DB0-40B6-99AF-9A25B7B44320}"/>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A8B97D8D-AB38-469C-BB89-4438CFB3A023}"/>
    <cellStyle name="Normal 5 2 3 7 2 2 3" xfId="26806" xr:uid="{4942C529-01D7-4DEA-9E31-30D070E20090}"/>
    <cellStyle name="Normal 5 2 3 7 2 3" xfId="13290" xr:uid="{D89CFB67-F865-465D-8A77-8DA294DEB2F4}"/>
    <cellStyle name="Normal 5 2 3 7 2 4" xfId="22589" xr:uid="{FEFDEAF7-77A1-4288-9AA2-3F423B00146D}"/>
    <cellStyle name="Normal 5 2 3 7 3" xfId="6036" xr:uid="{00000000-0005-0000-0000-0000CB180000}"/>
    <cellStyle name="Normal 5 2 3 7 3 2" xfId="15362" xr:uid="{BEE19999-D0DA-449E-B4BC-2730ACC08034}"/>
    <cellStyle name="Normal 5 2 3 7 3 3" xfId="24661" xr:uid="{491E01D5-9A3D-4FEC-8AE9-4B8615A4A531}"/>
    <cellStyle name="Normal 5 2 3 7 4" xfId="11145" xr:uid="{052DF4EE-EE11-408A-AD78-09700AC16600}"/>
    <cellStyle name="Normal 5 2 3 7 5" xfId="20444" xr:uid="{25A05D48-5C4C-4831-A5E3-AC17BD2C83E0}"/>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8518C754-B9E0-4B4C-A966-BC187C1EE1EC}"/>
    <cellStyle name="Normal 5 2 3 8 2 2 3" xfId="27219" xr:uid="{84DF27E8-3181-4E45-855F-FFD034687962}"/>
    <cellStyle name="Normal 5 2 3 8 2 3" xfId="13703" xr:uid="{5437FE86-9949-4ED7-BF23-ADE88222BFEA}"/>
    <cellStyle name="Normal 5 2 3 8 2 4" xfId="23002" xr:uid="{FA7C6FC8-838F-49CD-9CDF-21ADAEB155D0}"/>
    <cellStyle name="Normal 5 2 3 8 3" xfId="6449" xr:uid="{00000000-0005-0000-0000-0000CF180000}"/>
    <cellStyle name="Normal 5 2 3 8 3 2" xfId="15775" xr:uid="{D0142244-7C11-4CCB-B3A4-384009662240}"/>
    <cellStyle name="Normal 5 2 3 8 3 3" xfId="25074" xr:uid="{AB887EB4-8FE7-4007-B3AF-25C9A34AD8A1}"/>
    <cellStyle name="Normal 5 2 3 8 4" xfId="11558" xr:uid="{CB3D0F09-CA95-488D-BAAF-BF2628BBACD1}"/>
    <cellStyle name="Normal 5 2 3 8 5" xfId="20857" xr:uid="{1B802128-34A6-4DA5-A1BC-3EC0DA25D14B}"/>
    <cellStyle name="Normal 5 2 3 9" xfId="2579" xr:uid="{00000000-0005-0000-0000-0000D0180000}"/>
    <cellStyle name="Normal 5 2 3 9 2" xfId="6862" xr:uid="{00000000-0005-0000-0000-0000D1180000}"/>
    <cellStyle name="Normal 5 2 3 9 2 2" xfId="16188" xr:uid="{0863BA00-0DEE-4370-BDC8-B728326AF909}"/>
    <cellStyle name="Normal 5 2 3 9 2 3" xfId="25487" xr:uid="{D97C5B64-4A82-402A-A633-1906ED0EEB63}"/>
    <cellStyle name="Normal 5 2 3 9 3" xfId="11971" xr:uid="{CC7D2330-2274-4C36-BDC9-E1B0FCAD88CF}"/>
    <cellStyle name="Normal 5 2 3 9 4" xfId="21270" xr:uid="{3F3F9128-A413-4DBD-9E87-6637DE22BFBF}"/>
    <cellStyle name="Normal 5 2 4" xfId="432" xr:uid="{00000000-0005-0000-0000-0000D2180000}"/>
    <cellStyle name="Normal 5 2 4 10" xfId="8827" xr:uid="{1EC4F605-F0BA-487E-A3C0-2CBAE7C22D8A}"/>
    <cellStyle name="Normal 5 2 4 10 2" xfId="18151" xr:uid="{C9EFD075-CD3E-4B83-828A-A3BD6D7D66CD}"/>
    <cellStyle name="Normal 5 2 4 10 3" xfId="27449" xr:uid="{9A67A012-9BD3-420E-8AAE-37CAA96B23E9}"/>
    <cellStyle name="Normal 5 2 4 11" xfId="9914" xr:uid="{96954960-66FA-4945-8242-44A4C0367B14}"/>
    <cellStyle name="Normal 5 2 4 12" xfId="19213" xr:uid="{FD47CC84-C21F-4B2D-8540-6C18A177CF2A}"/>
    <cellStyle name="Normal 5 2 4 2" xfId="433" xr:uid="{00000000-0005-0000-0000-0000D3180000}"/>
    <cellStyle name="Normal 5 2 4 2 10" xfId="9915" xr:uid="{36167C96-79D9-4B08-B2CF-D456BE6D45F1}"/>
    <cellStyle name="Normal 5 2 4 2 11" xfId="19214" xr:uid="{72E0E276-4852-4E14-9A02-76664DA5F590}"/>
    <cellStyle name="Normal 5 2 4 2 2" xfId="434" xr:uid="{00000000-0005-0000-0000-0000D4180000}"/>
    <cellStyle name="Normal 5 2 4 2 2 10" xfId="19215" xr:uid="{68F06E94-3147-43B6-BF05-74A950650258}"/>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E18996C4-EE68-4755-8BAD-2448E7B2887C}"/>
    <cellStyle name="Normal 5 2 4 2 2 2 2 2 3" xfId="25990" xr:uid="{561424A8-4451-42DC-B5DF-3E14B5AE7AF3}"/>
    <cellStyle name="Normal 5 2 4 2 2 2 2 3" xfId="12474" xr:uid="{F32BC031-ECA9-4A5B-9A9C-62ABBF031133}"/>
    <cellStyle name="Normal 5 2 4 2 2 2 2 4" xfId="21773" xr:uid="{5FC16B9B-BCDF-44D8-AD0A-9E57841C22CB}"/>
    <cellStyle name="Normal 5 2 4 2 2 2 3" xfId="5220" xr:uid="{00000000-0005-0000-0000-0000D8180000}"/>
    <cellStyle name="Normal 5 2 4 2 2 2 3 2" xfId="14546" xr:uid="{ECA0128C-4345-4540-BCE6-E292428A2856}"/>
    <cellStyle name="Normal 5 2 4 2 2 2 3 3" xfId="23845" xr:uid="{C8DA483C-ECB0-4522-99B7-6A9020506276}"/>
    <cellStyle name="Normal 5 2 4 2 2 2 4" xfId="9562" xr:uid="{5E243FB4-F3B1-4B34-B377-1444454AD19E}"/>
    <cellStyle name="Normal 5 2 4 2 2 2 4 2" xfId="18877" xr:uid="{6FBEFCB4-E3D4-491C-ADF9-EDD624811AF5}"/>
    <cellStyle name="Normal 5 2 4 2 2 2 4 3" xfId="28174" xr:uid="{2896CDAE-CA87-498E-959C-92CE37DE2E37}"/>
    <cellStyle name="Normal 5 2 4 2 2 2 5" xfId="10329" xr:uid="{83493B79-B92F-450E-833D-DDB7B2920E1D}"/>
    <cellStyle name="Normal 5 2 4 2 2 2 6" xfId="19628" xr:uid="{43040131-A8B0-4EDD-9D6C-FAFE8B0F2B97}"/>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C60377AF-0684-4D41-9495-1BAC4A8FE407}"/>
    <cellStyle name="Normal 5 2 4 2 2 3 2 2 3" xfId="26403" xr:uid="{0D014C0D-C5DF-450A-986C-ED21E66F6745}"/>
    <cellStyle name="Normal 5 2 4 2 2 3 2 3" xfId="12887" xr:uid="{2F098EF8-71D2-4812-BA89-952E6DB5EE7F}"/>
    <cellStyle name="Normal 5 2 4 2 2 3 2 4" xfId="22186" xr:uid="{6F2DC3AE-1FBE-493D-8933-C2D0E5A3D329}"/>
    <cellStyle name="Normal 5 2 4 2 2 3 3" xfId="5633" xr:uid="{00000000-0005-0000-0000-0000DC180000}"/>
    <cellStyle name="Normal 5 2 4 2 2 3 3 2" xfId="14959" xr:uid="{59F00165-652E-4F53-8F1C-CD28CFA7BC6B}"/>
    <cellStyle name="Normal 5 2 4 2 2 3 3 3" xfId="24258" xr:uid="{2FDBEA40-4A18-4A20-A41A-A34A45AD25FE}"/>
    <cellStyle name="Normal 5 2 4 2 2 3 4" xfId="10742" xr:uid="{1731CB9D-08B8-42B2-AD38-57772A1477BB}"/>
    <cellStyle name="Normal 5 2 4 2 2 3 5" xfId="20041" xr:uid="{200E31AB-327B-44C8-9D67-0A7092784EA8}"/>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A70F6C08-2613-4836-A2E2-9E1FB014407D}"/>
    <cellStyle name="Normal 5 2 4 2 2 4 2 2 3" xfId="26816" xr:uid="{384F718B-EB58-40A2-9AF1-1D42D025983D}"/>
    <cellStyle name="Normal 5 2 4 2 2 4 2 3" xfId="13300" xr:uid="{0230BB9B-EDA0-4721-9E11-0D6050FE918F}"/>
    <cellStyle name="Normal 5 2 4 2 2 4 2 4" xfId="22599" xr:uid="{C4CE3663-37D7-4BB0-9DFD-9C656BFEE2D1}"/>
    <cellStyle name="Normal 5 2 4 2 2 4 3" xfId="6046" xr:uid="{00000000-0005-0000-0000-0000E0180000}"/>
    <cellStyle name="Normal 5 2 4 2 2 4 3 2" xfId="15372" xr:uid="{BC553DF5-1C1E-47C0-82BD-9F7737E5BE21}"/>
    <cellStyle name="Normal 5 2 4 2 2 4 3 3" xfId="24671" xr:uid="{706B2059-A0AD-41BD-8D7A-4960CEEA2913}"/>
    <cellStyle name="Normal 5 2 4 2 2 4 4" xfId="11155" xr:uid="{F8B7C2A3-99BE-45BB-BACC-D8A06D799EAF}"/>
    <cellStyle name="Normal 5 2 4 2 2 4 5" xfId="20454" xr:uid="{AE8EDCDD-F093-4664-9A2E-6EDC0E47BBA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66C11585-AD38-429B-823D-C50845642702}"/>
    <cellStyle name="Normal 5 2 4 2 2 5 2 2 3" xfId="27229" xr:uid="{E9413CCA-3EF8-4675-9157-63A36AFEB482}"/>
    <cellStyle name="Normal 5 2 4 2 2 5 2 3" xfId="13713" xr:uid="{EDAC86AE-8433-4F04-8278-26D3A13BE61B}"/>
    <cellStyle name="Normal 5 2 4 2 2 5 2 4" xfId="23012" xr:uid="{1197BCDC-9947-4791-A93A-5D09D3189145}"/>
    <cellStyle name="Normal 5 2 4 2 2 5 3" xfId="6459" xr:uid="{00000000-0005-0000-0000-0000E4180000}"/>
    <cellStyle name="Normal 5 2 4 2 2 5 3 2" xfId="15785" xr:uid="{9F83B604-7780-4BB0-827F-B096FE1EEAB1}"/>
    <cellStyle name="Normal 5 2 4 2 2 5 3 3" xfId="25084" xr:uid="{FE2D5791-5133-411B-8C61-72AD71F23B37}"/>
    <cellStyle name="Normal 5 2 4 2 2 5 4" xfId="11568" xr:uid="{04513CC3-1A2F-49FA-A5EE-153F6C8B4EE0}"/>
    <cellStyle name="Normal 5 2 4 2 2 5 5" xfId="20867" xr:uid="{06191722-C4D6-4720-BAE8-FDB5D321B212}"/>
    <cellStyle name="Normal 5 2 4 2 2 6" xfId="2589" xr:uid="{00000000-0005-0000-0000-0000E5180000}"/>
    <cellStyle name="Normal 5 2 4 2 2 6 2" xfId="6872" xr:uid="{00000000-0005-0000-0000-0000E6180000}"/>
    <cellStyle name="Normal 5 2 4 2 2 6 2 2" xfId="16198" xr:uid="{F730D098-1018-4AB6-9F0F-2962EA7620A3}"/>
    <cellStyle name="Normal 5 2 4 2 2 6 2 3" xfId="25497" xr:uid="{2D0BC6A2-8E7B-42DD-BBE6-E7B3644E4E88}"/>
    <cellStyle name="Normal 5 2 4 2 2 6 3" xfId="11981" xr:uid="{8B945D30-0D88-4B6D-AF24-FE10685882FB}"/>
    <cellStyle name="Normal 5 2 4 2 2 6 4" xfId="21280" xr:uid="{A051481D-7A8C-485A-982B-2AFCFF1BD171}"/>
    <cellStyle name="Normal 5 2 4 2 2 7" xfId="4807" xr:uid="{00000000-0005-0000-0000-0000E7180000}"/>
    <cellStyle name="Normal 5 2 4 2 2 7 2" xfId="14133" xr:uid="{6E323B31-48F9-47A1-BD05-F6AF09CB1A62}"/>
    <cellStyle name="Normal 5 2 4 2 2 7 3" xfId="23432" xr:uid="{74F5FB42-5A65-4C88-98CE-6163A98270EE}"/>
    <cellStyle name="Normal 5 2 4 2 2 8" xfId="9137" xr:uid="{C80E4B27-40CA-4953-ABB8-99E2C575F775}"/>
    <cellStyle name="Normal 5 2 4 2 2 8 2" xfId="18461" xr:uid="{39EEFAA2-E349-40C4-9FBB-4D63E6CE6CB9}"/>
    <cellStyle name="Normal 5 2 4 2 2 8 3" xfId="27759" xr:uid="{EB491FE0-AC2A-440D-8064-E6C8638C20E4}"/>
    <cellStyle name="Normal 5 2 4 2 2 9" xfId="9916" xr:uid="{3FDAC67B-1AB3-47DE-8999-2A3CFB932C40}"/>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45923071-F194-4D86-9DAF-E865BB27CF9C}"/>
    <cellStyle name="Normal 5 2 4 2 3 2 2 3" xfId="25989" xr:uid="{C50B9034-4E05-41C7-8E9F-4E7D426CE934}"/>
    <cellStyle name="Normal 5 2 4 2 3 2 3" xfId="12473" xr:uid="{7CADF357-AEAE-42B0-B039-20E5A99BE9C9}"/>
    <cellStyle name="Normal 5 2 4 2 3 2 4" xfId="21772" xr:uid="{25A9E31B-CE36-42A6-AE30-690543427F12}"/>
    <cellStyle name="Normal 5 2 4 2 3 3" xfId="5219" xr:uid="{00000000-0005-0000-0000-0000EB180000}"/>
    <cellStyle name="Normal 5 2 4 2 3 3 2" xfId="14545" xr:uid="{4ED07E17-0AAB-4D23-8323-E015A73A6EF2}"/>
    <cellStyle name="Normal 5 2 4 2 3 3 3" xfId="23844" xr:uid="{67C94F25-85DD-4A1C-8170-A9A35BD9C81F}"/>
    <cellStyle name="Normal 5 2 4 2 3 4" xfId="9355" xr:uid="{9D38A6AA-2F63-4275-9FB8-F86A15F6A4D3}"/>
    <cellStyle name="Normal 5 2 4 2 3 4 2" xfId="18670" xr:uid="{A0216A80-981B-431C-A9FD-3BB0CECC93F6}"/>
    <cellStyle name="Normal 5 2 4 2 3 4 3" xfId="27967" xr:uid="{487C4D18-79F6-4640-B18B-829F1442F619}"/>
    <cellStyle name="Normal 5 2 4 2 3 5" xfId="10328" xr:uid="{3FDD4E3F-9F6B-40F6-A55D-45DDEC14C75D}"/>
    <cellStyle name="Normal 5 2 4 2 3 6" xfId="19627" xr:uid="{6DE8453C-DA8A-4186-AECA-307DD3ED2A3E}"/>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7130E229-FD71-4DC4-8C37-4053B16B0EC7}"/>
    <cellStyle name="Normal 5 2 4 2 4 2 2 3" xfId="26402" xr:uid="{AF2F9873-48D4-443E-BD80-DFB1B55EBE48}"/>
    <cellStyle name="Normal 5 2 4 2 4 2 3" xfId="12886" xr:uid="{0F1429F2-0669-4925-B72D-A07B7514A92E}"/>
    <cellStyle name="Normal 5 2 4 2 4 2 4" xfId="22185" xr:uid="{BA8D8765-0955-4798-9FE7-288D40BF2011}"/>
    <cellStyle name="Normal 5 2 4 2 4 3" xfId="5632" xr:uid="{00000000-0005-0000-0000-0000EF180000}"/>
    <cellStyle name="Normal 5 2 4 2 4 3 2" xfId="14958" xr:uid="{E58F6477-0ABC-42D4-AF77-03AAFEBC9160}"/>
    <cellStyle name="Normal 5 2 4 2 4 3 3" xfId="24257" xr:uid="{FB9885C4-15D8-47A2-A190-63476753A90C}"/>
    <cellStyle name="Normal 5 2 4 2 4 4" xfId="10741" xr:uid="{FAEED340-232E-4246-A9E6-CF69E395B0C9}"/>
    <cellStyle name="Normal 5 2 4 2 4 5" xfId="20040" xr:uid="{1A00E6E9-DA6A-4913-B9FA-1F6B83A80894}"/>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FA4717F7-2295-4B29-A55F-2F93AB30A13D}"/>
    <cellStyle name="Normal 5 2 4 2 5 2 2 3" xfId="26815" xr:uid="{4AA25410-E680-4F2E-AFFB-6F7B2F8D0A2D}"/>
    <cellStyle name="Normal 5 2 4 2 5 2 3" xfId="13299" xr:uid="{A082B8C4-E965-499E-A36B-290C8A03B0E7}"/>
    <cellStyle name="Normal 5 2 4 2 5 2 4" xfId="22598" xr:uid="{F57F0DD4-F437-42F8-B5CD-5C6C045EB7B3}"/>
    <cellStyle name="Normal 5 2 4 2 5 3" xfId="6045" xr:uid="{00000000-0005-0000-0000-0000F3180000}"/>
    <cellStyle name="Normal 5 2 4 2 5 3 2" xfId="15371" xr:uid="{15572A13-87B2-4701-BAF9-4A80C8CCFE87}"/>
    <cellStyle name="Normal 5 2 4 2 5 3 3" xfId="24670" xr:uid="{3C9B3AE0-FBA8-4C82-9535-1A20A436FA3F}"/>
    <cellStyle name="Normal 5 2 4 2 5 4" xfId="11154" xr:uid="{027F8842-75BA-4B89-9B24-C7C62B2C1B76}"/>
    <cellStyle name="Normal 5 2 4 2 5 5" xfId="20453" xr:uid="{B8029782-5314-4EA5-BBDE-105D52FFC579}"/>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458F01B8-BC62-4F2E-B5BD-BD48307FBAF2}"/>
    <cellStyle name="Normal 5 2 4 2 6 2 2 3" xfId="27228" xr:uid="{9F83F09C-4AE5-4301-8328-245B9DB81131}"/>
    <cellStyle name="Normal 5 2 4 2 6 2 3" xfId="13712" xr:uid="{BB7B17D3-833F-4510-95F8-AEB54EA47E12}"/>
    <cellStyle name="Normal 5 2 4 2 6 2 4" xfId="23011" xr:uid="{D2D07C9E-9C56-4796-B33E-474C0D2B9F3E}"/>
    <cellStyle name="Normal 5 2 4 2 6 3" xfId="6458" xr:uid="{00000000-0005-0000-0000-0000F7180000}"/>
    <cellStyle name="Normal 5 2 4 2 6 3 2" xfId="15784" xr:uid="{351DBBD8-8382-4A5E-8358-D30681641575}"/>
    <cellStyle name="Normal 5 2 4 2 6 3 3" xfId="25083" xr:uid="{F1FC56D8-6FBC-455E-8A30-3CC95A419640}"/>
    <cellStyle name="Normal 5 2 4 2 6 4" xfId="11567" xr:uid="{227D8A87-E870-4D63-9C4D-2419FBF1E256}"/>
    <cellStyle name="Normal 5 2 4 2 6 5" xfId="20866" xr:uid="{8F763A89-85DF-48F8-9DD6-C1391902C054}"/>
    <cellStyle name="Normal 5 2 4 2 7" xfId="2588" xr:uid="{00000000-0005-0000-0000-0000F8180000}"/>
    <cellStyle name="Normal 5 2 4 2 7 2" xfId="6871" xr:uid="{00000000-0005-0000-0000-0000F9180000}"/>
    <cellStyle name="Normal 5 2 4 2 7 2 2" xfId="16197" xr:uid="{AE8EBE56-1939-4256-9CEF-BF03DDAABCEE}"/>
    <cellStyle name="Normal 5 2 4 2 7 2 3" xfId="25496" xr:uid="{046D1DC4-4B4A-4261-82CF-A19C231F878C}"/>
    <cellStyle name="Normal 5 2 4 2 7 3" xfId="11980" xr:uid="{C1E0EDB8-9B14-4FE1-A0C9-A8630F7D9494}"/>
    <cellStyle name="Normal 5 2 4 2 7 4" xfId="21279" xr:uid="{0189194E-A34A-432B-9A61-3143026F1C67}"/>
    <cellStyle name="Normal 5 2 4 2 8" xfId="4806" xr:uid="{00000000-0005-0000-0000-0000FA180000}"/>
    <cellStyle name="Normal 5 2 4 2 8 2" xfId="14132" xr:uid="{50A26AA6-43B1-4860-9D4B-008ACE5A4F45}"/>
    <cellStyle name="Normal 5 2 4 2 8 3" xfId="23431" xr:uid="{FAEE4F8F-A0AE-4B63-A9B8-78D9A9652A32}"/>
    <cellStyle name="Normal 5 2 4 2 9" xfId="8930" xr:uid="{66B84ABA-CAF3-4BBE-9026-E7A47CB6006F}"/>
    <cellStyle name="Normal 5 2 4 2 9 2" xfId="18254" xr:uid="{1F910638-D9DC-4441-9B82-1B376986A583}"/>
    <cellStyle name="Normal 5 2 4 2 9 3" xfId="27552" xr:uid="{4D4AC10D-3136-4DE4-B5B1-D6C7148F8AC9}"/>
    <cellStyle name="Normal 5 2 4 3" xfId="435" xr:uid="{00000000-0005-0000-0000-0000FB180000}"/>
    <cellStyle name="Normal 5 2 4 3 10" xfId="19216" xr:uid="{812709E4-CF67-441B-9EC3-D2E3A13D259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9E0E6EEF-19D7-4E97-8C50-61F9430B6390}"/>
    <cellStyle name="Normal 5 2 4 3 2 2 2 3" xfId="25991" xr:uid="{0BD5A58D-B67F-4E32-A379-9FC3A8E57C09}"/>
    <cellStyle name="Normal 5 2 4 3 2 2 3" xfId="12475" xr:uid="{4FF5D78A-2D7A-4FAE-9FC4-73E955F39815}"/>
    <cellStyle name="Normal 5 2 4 3 2 2 4" xfId="21774" xr:uid="{5A700D69-F684-40E1-8B98-7823BB95524C}"/>
    <cellStyle name="Normal 5 2 4 3 2 3" xfId="5221" xr:uid="{00000000-0005-0000-0000-0000FF180000}"/>
    <cellStyle name="Normal 5 2 4 3 2 3 2" xfId="14547" xr:uid="{09AA13CA-53C7-4EF6-8539-5BAB313A9B6C}"/>
    <cellStyle name="Normal 5 2 4 3 2 3 3" xfId="23846" xr:uid="{84FE8631-4242-49A0-8CAD-25E9982C6A05}"/>
    <cellStyle name="Normal 5 2 4 3 2 4" xfId="9459" xr:uid="{ED2A936E-5624-4B26-A175-3FCE68E1BF5A}"/>
    <cellStyle name="Normal 5 2 4 3 2 4 2" xfId="18774" xr:uid="{EAEA9BBF-2C0A-4F98-BBB4-39FCA94F015B}"/>
    <cellStyle name="Normal 5 2 4 3 2 4 3" xfId="28071" xr:uid="{2A1AEBA5-BCFA-4CF3-9AC4-784CCAED2F0D}"/>
    <cellStyle name="Normal 5 2 4 3 2 5" xfId="10330" xr:uid="{15FB0267-34D0-420E-B985-4F8630B46A6F}"/>
    <cellStyle name="Normal 5 2 4 3 2 6" xfId="19629" xr:uid="{FBA35F17-611A-4EE3-91BA-B64F38861272}"/>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02BD4F51-AECC-44B0-BE3D-A7AB1B5A21FD}"/>
    <cellStyle name="Normal 5 2 4 3 3 2 2 3" xfId="26404" xr:uid="{562FE3FC-7BB0-4F95-A23C-DD6FA2FEBB45}"/>
    <cellStyle name="Normal 5 2 4 3 3 2 3" xfId="12888" xr:uid="{555EE467-4E64-47B2-AA6C-513F25CC8742}"/>
    <cellStyle name="Normal 5 2 4 3 3 2 4" xfId="22187" xr:uid="{C0346441-B691-424C-A51A-FE6B5B6CF304}"/>
    <cellStyle name="Normal 5 2 4 3 3 3" xfId="5634" xr:uid="{00000000-0005-0000-0000-000003190000}"/>
    <cellStyle name="Normal 5 2 4 3 3 3 2" xfId="14960" xr:uid="{154F6697-9801-4ACD-97B2-430B58A94379}"/>
    <cellStyle name="Normal 5 2 4 3 3 3 3" xfId="24259" xr:uid="{87390D0A-0DB7-4D6A-AE7A-28B73ED800B1}"/>
    <cellStyle name="Normal 5 2 4 3 3 4" xfId="10743" xr:uid="{90D8286F-84F2-49EA-B881-C4D2D5AB6B4E}"/>
    <cellStyle name="Normal 5 2 4 3 3 5" xfId="20042" xr:uid="{D0EC7F64-5C6E-4162-9935-7546AAA4FD76}"/>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C35BC9CF-3079-4C0F-AD07-89EEDF8870DF}"/>
    <cellStyle name="Normal 5 2 4 3 4 2 2 3" xfId="26817" xr:uid="{BEF4529A-22CE-4771-B5DB-EBD4D8EB0EE8}"/>
    <cellStyle name="Normal 5 2 4 3 4 2 3" xfId="13301" xr:uid="{46E225EA-C437-41F3-81C9-6F832F874C55}"/>
    <cellStyle name="Normal 5 2 4 3 4 2 4" xfId="22600" xr:uid="{58E2DD02-16E0-45D3-B0AB-7835E9CB25D0}"/>
    <cellStyle name="Normal 5 2 4 3 4 3" xfId="6047" xr:uid="{00000000-0005-0000-0000-000007190000}"/>
    <cellStyle name="Normal 5 2 4 3 4 3 2" xfId="15373" xr:uid="{A5D5E9E5-46AD-4667-BF88-B727266FEA05}"/>
    <cellStyle name="Normal 5 2 4 3 4 3 3" xfId="24672" xr:uid="{258F73D6-CC5F-455E-8325-C4D7BB127819}"/>
    <cellStyle name="Normal 5 2 4 3 4 4" xfId="11156" xr:uid="{4D8AAF7B-2AC4-4D76-A5FC-A847E44B0B32}"/>
    <cellStyle name="Normal 5 2 4 3 4 5" xfId="20455" xr:uid="{71BF547B-74C7-4025-8060-EEAE298288DA}"/>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98223283-E461-4C83-9A1C-4F0C089274FE}"/>
    <cellStyle name="Normal 5 2 4 3 5 2 2 3" xfId="27230" xr:uid="{FAFEDC15-B0BE-4397-AA78-3F1FEFF59AA4}"/>
    <cellStyle name="Normal 5 2 4 3 5 2 3" xfId="13714" xr:uid="{5C224342-186F-41A7-A125-9822468F512A}"/>
    <cellStyle name="Normal 5 2 4 3 5 2 4" xfId="23013" xr:uid="{C7C21602-0177-4688-8CA8-35A0DD60F859}"/>
    <cellStyle name="Normal 5 2 4 3 5 3" xfId="6460" xr:uid="{00000000-0005-0000-0000-00000B190000}"/>
    <cellStyle name="Normal 5 2 4 3 5 3 2" xfId="15786" xr:uid="{3720CDC1-0ED0-49DC-ACE6-D8392A951464}"/>
    <cellStyle name="Normal 5 2 4 3 5 3 3" xfId="25085" xr:uid="{2609A18C-79D2-42C8-8392-C47641C5E77B}"/>
    <cellStyle name="Normal 5 2 4 3 5 4" xfId="11569" xr:uid="{5BFA365D-E364-46D4-86B2-C32DF401FE23}"/>
    <cellStyle name="Normal 5 2 4 3 5 5" xfId="20868" xr:uid="{FAEF174E-700B-4900-BA46-8A8432A0DF04}"/>
    <cellStyle name="Normal 5 2 4 3 6" xfId="2590" xr:uid="{00000000-0005-0000-0000-00000C190000}"/>
    <cellStyle name="Normal 5 2 4 3 6 2" xfId="6873" xr:uid="{00000000-0005-0000-0000-00000D190000}"/>
    <cellStyle name="Normal 5 2 4 3 6 2 2" xfId="16199" xr:uid="{63272AD9-C158-4957-9B82-C47D72AEDA47}"/>
    <cellStyle name="Normal 5 2 4 3 6 2 3" xfId="25498" xr:uid="{475F2C6A-2163-41E7-B751-61FC64F3A06C}"/>
    <cellStyle name="Normal 5 2 4 3 6 3" xfId="11982" xr:uid="{93AB385D-9181-4BDC-ACB3-2C671FD3EF50}"/>
    <cellStyle name="Normal 5 2 4 3 6 4" xfId="21281" xr:uid="{A9858EB1-D75B-4A89-BF34-4D28DEABE6E9}"/>
    <cellStyle name="Normal 5 2 4 3 7" xfId="4808" xr:uid="{00000000-0005-0000-0000-00000E190000}"/>
    <cellStyle name="Normal 5 2 4 3 7 2" xfId="14134" xr:uid="{1720642C-FE77-4C33-A683-F5B62DA06AE7}"/>
    <cellStyle name="Normal 5 2 4 3 7 3" xfId="23433" xr:uid="{6B94CCBC-CC9D-48A4-B58E-DFC650CF969E}"/>
    <cellStyle name="Normal 5 2 4 3 8" xfId="9034" xr:uid="{82D3DE5B-E868-4CF9-BA07-6E197DA4FAA5}"/>
    <cellStyle name="Normal 5 2 4 3 8 2" xfId="18358" xr:uid="{5B4A802A-CBE2-445A-AD77-1B01694B06EA}"/>
    <cellStyle name="Normal 5 2 4 3 8 3" xfId="27656" xr:uid="{72F51645-FD12-471B-87C9-95BBA73BA967}"/>
    <cellStyle name="Normal 5 2 4 3 9" xfId="9917" xr:uid="{1F5045F6-BF52-4F81-AF87-C616B9364139}"/>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A243C9E2-1752-4446-A80C-632BE825C7CA}"/>
    <cellStyle name="Normal 5 2 4 4 2 2 3" xfId="25988" xr:uid="{DD8DE81D-51DC-4BA4-81DB-A19C16E7AFC6}"/>
    <cellStyle name="Normal 5 2 4 4 2 3" xfId="12472" xr:uid="{EC7A017D-5C87-4F98-9BE4-8B85EF73F47D}"/>
    <cellStyle name="Normal 5 2 4 4 2 4" xfId="21771" xr:uid="{CE9BACD3-142E-4545-9298-40358F7D97F7}"/>
    <cellStyle name="Normal 5 2 4 4 3" xfId="5218" xr:uid="{00000000-0005-0000-0000-000012190000}"/>
    <cellStyle name="Normal 5 2 4 4 3 2" xfId="14544" xr:uid="{A70942AB-1CE8-4AE9-8012-18F3F8E5D744}"/>
    <cellStyle name="Normal 5 2 4 4 3 3" xfId="23843" xr:uid="{2E42CE60-09C3-4B83-B2A8-D00AB8646F21}"/>
    <cellStyle name="Normal 5 2 4 4 4" xfId="9252" xr:uid="{1D1A8EC4-7286-46A1-B40C-E987F273E760}"/>
    <cellStyle name="Normal 5 2 4 4 4 2" xfId="18567" xr:uid="{724AC7CF-60B9-47C0-9AFA-CD5AB9A31ACD}"/>
    <cellStyle name="Normal 5 2 4 4 4 3" xfId="27864" xr:uid="{9146E0CF-3E1D-46D6-8113-AE3E440F8FEA}"/>
    <cellStyle name="Normal 5 2 4 4 5" xfId="10327" xr:uid="{9C4CC924-1CB4-4063-9687-D08CEFC429A4}"/>
    <cellStyle name="Normal 5 2 4 4 6" xfId="19626" xr:uid="{282E18DA-F28E-44C5-9849-14B285870F84}"/>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FF11890B-7F1E-40C2-A33B-B2484C8A0788}"/>
    <cellStyle name="Normal 5 2 4 5 2 2 3" xfId="26401" xr:uid="{90A73545-E051-4093-B5A4-C6B9FBCAED10}"/>
    <cellStyle name="Normal 5 2 4 5 2 3" xfId="12885" xr:uid="{E9099A01-478C-465B-A304-6895F320B6C9}"/>
    <cellStyle name="Normal 5 2 4 5 2 4" xfId="22184" xr:uid="{5CEFB8A7-CC4D-4205-8890-958E01B3E16E}"/>
    <cellStyle name="Normal 5 2 4 5 3" xfId="5631" xr:uid="{00000000-0005-0000-0000-000016190000}"/>
    <cellStyle name="Normal 5 2 4 5 3 2" xfId="14957" xr:uid="{418C4832-97B4-495E-B852-95F7A70D8A87}"/>
    <cellStyle name="Normal 5 2 4 5 3 3" xfId="24256" xr:uid="{9C10C0BC-145D-4AFA-9699-F5267A08CB50}"/>
    <cellStyle name="Normal 5 2 4 5 4" xfId="10740" xr:uid="{C269DDDC-2AE1-455D-915E-D5F012646A52}"/>
    <cellStyle name="Normal 5 2 4 5 5" xfId="20039" xr:uid="{B9611E7C-F291-4B78-899E-589279BE4E46}"/>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209A5226-7C4C-4A0B-9909-9E23B067C0A4}"/>
    <cellStyle name="Normal 5 2 4 6 2 2 3" xfId="26814" xr:uid="{B98983AC-8CA5-48A1-A56D-FA899624508A}"/>
    <cellStyle name="Normal 5 2 4 6 2 3" xfId="13298" xr:uid="{17591537-D15F-4CE0-8975-2197F48CB93A}"/>
    <cellStyle name="Normal 5 2 4 6 2 4" xfId="22597" xr:uid="{2AC84E9F-B8F0-4812-8A45-786E51D61180}"/>
    <cellStyle name="Normal 5 2 4 6 3" xfId="6044" xr:uid="{00000000-0005-0000-0000-00001A190000}"/>
    <cellStyle name="Normal 5 2 4 6 3 2" xfId="15370" xr:uid="{91E2B249-B38D-4A36-A995-B59621075E65}"/>
    <cellStyle name="Normal 5 2 4 6 3 3" xfId="24669" xr:uid="{E0916E88-9711-4029-A642-B7239C72C162}"/>
    <cellStyle name="Normal 5 2 4 6 4" xfId="11153" xr:uid="{631688A7-FB79-43DC-8D33-4A0C9BB154C9}"/>
    <cellStyle name="Normal 5 2 4 6 5" xfId="20452" xr:uid="{25FBEBBB-385C-466F-8614-E4354A720232}"/>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9534AA42-D23C-405B-8D18-64EE26515F2E}"/>
    <cellStyle name="Normal 5 2 4 7 2 2 3" xfId="27227" xr:uid="{D54D6C88-025E-4A3D-93F4-5F3D12ABBF87}"/>
    <cellStyle name="Normal 5 2 4 7 2 3" xfId="13711" xr:uid="{AEF521DF-2CE3-4311-9793-47DCAA7A2BC3}"/>
    <cellStyle name="Normal 5 2 4 7 2 4" xfId="23010" xr:uid="{6C73B238-CFA3-444C-A942-F4E1EEFF6E19}"/>
    <cellStyle name="Normal 5 2 4 7 3" xfId="6457" xr:uid="{00000000-0005-0000-0000-00001E190000}"/>
    <cellStyle name="Normal 5 2 4 7 3 2" xfId="15783" xr:uid="{040DF093-3062-45ED-9534-A80706BA7AE3}"/>
    <cellStyle name="Normal 5 2 4 7 3 3" xfId="25082" xr:uid="{845CBDF5-29EC-471C-ADED-0BBF3C05ED13}"/>
    <cellStyle name="Normal 5 2 4 7 4" xfId="11566" xr:uid="{114FBE73-8CD2-44BD-A776-8C8267C9485B}"/>
    <cellStyle name="Normal 5 2 4 7 5" xfId="20865" xr:uid="{F61C063E-4B39-4FA9-8BE9-85A4DF11FDC6}"/>
    <cellStyle name="Normal 5 2 4 8" xfId="2587" xr:uid="{00000000-0005-0000-0000-00001F190000}"/>
    <cellStyle name="Normal 5 2 4 8 2" xfId="6870" xr:uid="{00000000-0005-0000-0000-000020190000}"/>
    <cellStyle name="Normal 5 2 4 8 2 2" xfId="16196" xr:uid="{9ADE6017-C223-484F-900D-EDC01FF6CACF}"/>
    <cellStyle name="Normal 5 2 4 8 2 3" xfId="25495" xr:uid="{2D333B8C-F16E-4F68-BB18-F67B95BD6FC1}"/>
    <cellStyle name="Normal 5 2 4 8 3" xfId="11979" xr:uid="{767194D0-0D72-42B4-AE87-D1FA35B26944}"/>
    <cellStyle name="Normal 5 2 4 8 4" xfId="21278" xr:uid="{AD0970AF-112D-4AE2-8444-3DA6E7CF40AF}"/>
    <cellStyle name="Normal 5 2 4 9" xfId="4805" xr:uid="{00000000-0005-0000-0000-000021190000}"/>
    <cellStyle name="Normal 5 2 4 9 2" xfId="14131" xr:uid="{2926AF16-167D-47C1-8D61-9B5248CEED0C}"/>
    <cellStyle name="Normal 5 2 4 9 3" xfId="23430" xr:uid="{F212B8E3-DE45-4875-A04A-3935A2F13C1A}"/>
    <cellStyle name="Normal 5 2 5" xfId="436" xr:uid="{00000000-0005-0000-0000-000022190000}"/>
    <cellStyle name="Normal 5 2 5 10" xfId="9918" xr:uid="{CF23EC80-FDC8-4394-99EA-0D416DAF4730}"/>
    <cellStyle name="Normal 5 2 5 11" xfId="19217" xr:uid="{4BC5716F-A01D-47AA-AF3F-E934EF5A2838}"/>
    <cellStyle name="Normal 5 2 5 2" xfId="437" xr:uid="{00000000-0005-0000-0000-000023190000}"/>
    <cellStyle name="Normal 5 2 5 2 10" xfId="19218" xr:uid="{724C2C69-5E3D-4A10-855E-DFDF39F4AF1C}"/>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D7A14F85-C45F-4A1C-B019-3BF999616E28}"/>
    <cellStyle name="Normal 5 2 5 2 2 2 2 3" xfId="25993" xr:uid="{67723A59-0578-4DB7-8C06-303C507CC1E6}"/>
    <cellStyle name="Normal 5 2 5 2 2 2 3" xfId="12477" xr:uid="{D0CE2B35-1CE9-4BB7-BF87-B0423356C699}"/>
    <cellStyle name="Normal 5 2 5 2 2 2 4" xfId="21776" xr:uid="{487C4686-4F72-4C25-8C54-D1C05A116B11}"/>
    <cellStyle name="Normal 5 2 5 2 2 3" xfId="5223" xr:uid="{00000000-0005-0000-0000-000027190000}"/>
    <cellStyle name="Normal 5 2 5 2 2 3 2" xfId="14549" xr:uid="{46EB3C6B-9DA7-4404-96F2-9FB43AD5D09F}"/>
    <cellStyle name="Normal 5 2 5 2 2 3 3" xfId="23848" xr:uid="{EE3FFB23-D9C3-4A69-9362-CD70A99D76A9}"/>
    <cellStyle name="Normal 5 2 5 2 2 4" xfId="9479" xr:uid="{0DDFFFD4-5D62-4038-B6D4-9E9BD7CBA380}"/>
    <cellStyle name="Normal 5 2 5 2 2 4 2" xfId="18794" xr:uid="{E18DB280-161A-4F66-9418-48405E863B37}"/>
    <cellStyle name="Normal 5 2 5 2 2 4 3" xfId="28091" xr:uid="{9B3EEF70-B3BE-4D00-B6AA-B220AB4449DE}"/>
    <cellStyle name="Normal 5 2 5 2 2 5" xfId="10332" xr:uid="{F1C4B580-9EFC-48E0-9632-8C7BAB8DBA39}"/>
    <cellStyle name="Normal 5 2 5 2 2 6" xfId="19631" xr:uid="{2FDD8B42-616E-4F77-B804-5E6FCA24C174}"/>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B8580C28-496F-4571-8EB5-D067DFE23DFA}"/>
    <cellStyle name="Normal 5 2 5 2 3 2 2 3" xfId="26406" xr:uid="{F7746AF7-9B3B-43D6-9C9E-8886421E8FCD}"/>
    <cellStyle name="Normal 5 2 5 2 3 2 3" xfId="12890" xr:uid="{F800D057-CDA9-4954-8304-B653B3F44F46}"/>
    <cellStyle name="Normal 5 2 5 2 3 2 4" xfId="22189" xr:uid="{01C8F7E8-F357-44D0-91B4-40F1D08B236B}"/>
    <cellStyle name="Normal 5 2 5 2 3 3" xfId="5636" xr:uid="{00000000-0005-0000-0000-00002B190000}"/>
    <cellStyle name="Normal 5 2 5 2 3 3 2" xfId="14962" xr:uid="{993F394A-7038-4BC4-9A7F-3CFBFB22E7CA}"/>
    <cellStyle name="Normal 5 2 5 2 3 3 3" xfId="24261" xr:uid="{9072E583-42DD-4057-BA55-AC82AC3BF278}"/>
    <cellStyle name="Normal 5 2 5 2 3 4" xfId="10745" xr:uid="{E704AEF6-53B8-4DC5-B735-76DF45621627}"/>
    <cellStyle name="Normal 5 2 5 2 3 5" xfId="20044" xr:uid="{F10E94BA-3B99-40E0-B703-8F7276FABF5E}"/>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BD43CC0C-48FA-473F-AAF0-6AFB009EC782}"/>
    <cellStyle name="Normal 5 2 5 2 4 2 2 3" xfId="26819" xr:uid="{59524C17-EC9C-4409-97CB-ED13D3311341}"/>
    <cellStyle name="Normal 5 2 5 2 4 2 3" xfId="13303" xr:uid="{C636DE7D-557B-4F0C-884D-DB7FF7C9FBD4}"/>
    <cellStyle name="Normal 5 2 5 2 4 2 4" xfId="22602" xr:uid="{5E083308-CA40-4454-B1FA-2132B2757C8A}"/>
    <cellStyle name="Normal 5 2 5 2 4 3" xfId="6049" xr:uid="{00000000-0005-0000-0000-00002F190000}"/>
    <cellStyle name="Normal 5 2 5 2 4 3 2" xfId="15375" xr:uid="{DD8D4980-61F3-4573-BC0D-E2BA68E14ED4}"/>
    <cellStyle name="Normal 5 2 5 2 4 3 3" xfId="24674" xr:uid="{0A4E6163-E770-43E9-9587-8D9413F368EA}"/>
    <cellStyle name="Normal 5 2 5 2 4 4" xfId="11158" xr:uid="{0DA11F4E-0D75-4EDD-AF85-A2C993EA50B9}"/>
    <cellStyle name="Normal 5 2 5 2 4 5" xfId="20457" xr:uid="{32A0A297-CF3A-4B04-BD72-1757EB91FD70}"/>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D10F713D-2401-4A35-8187-B420AEA724D8}"/>
    <cellStyle name="Normal 5 2 5 2 5 2 2 3" xfId="27232" xr:uid="{BE7B6939-D0DE-4561-84EE-C5F4915A6DF1}"/>
    <cellStyle name="Normal 5 2 5 2 5 2 3" xfId="13716" xr:uid="{B5E3CC33-B0A0-4FFC-9C79-892431F21A21}"/>
    <cellStyle name="Normal 5 2 5 2 5 2 4" xfId="23015" xr:uid="{CD1FAA9A-A1F5-495E-AC92-8118D28DF0CF}"/>
    <cellStyle name="Normal 5 2 5 2 5 3" xfId="6462" xr:uid="{00000000-0005-0000-0000-000033190000}"/>
    <cellStyle name="Normal 5 2 5 2 5 3 2" xfId="15788" xr:uid="{F1B1F273-ACFE-4429-96C7-26AAA4A4C278}"/>
    <cellStyle name="Normal 5 2 5 2 5 3 3" xfId="25087" xr:uid="{ACE2E87C-6857-4A04-870D-6EBB704D02D9}"/>
    <cellStyle name="Normal 5 2 5 2 5 4" xfId="11571" xr:uid="{051B5D0B-50B5-46AB-AF63-43DD20469215}"/>
    <cellStyle name="Normal 5 2 5 2 5 5" xfId="20870" xr:uid="{2145CCEB-663D-4BB4-B8C2-269AB6457090}"/>
    <cellStyle name="Normal 5 2 5 2 6" xfId="2592" xr:uid="{00000000-0005-0000-0000-000034190000}"/>
    <cellStyle name="Normal 5 2 5 2 6 2" xfId="6875" xr:uid="{00000000-0005-0000-0000-000035190000}"/>
    <cellStyle name="Normal 5 2 5 2 6 2 2" xfId="16201" xr:uid="{FD91AB46-2C04-4D89-B757-0015860187C2}"/>
    <cellStyle name="Normal 5 2 5 2 6 2 3" xfId="25500" xr:uid="{F2385621-E586-436A-BC06-BDE9CE25859C}"/>
    <cellStyle name="Normal 5 2 5 2 6 3" xfId="11984" xr:uid="{A2E2A9A2-B2A2-47A9-89B8-29B3F5B260C9}"/>
    <cellStyle name="Normal 5 2 5 2 6 4" xfId="21283" xr:uid="{3C93E20F-E3BD-4446-9BC2-A61FD1A7D66B}"/>
    <cellStyle name="Normal 5 2 5 2 7" xfId="4810" xr:uid="{00000000-0005-0000-0000-000036190000}"/>
    <cellStyle name="Normal 5 2 5 2 7 2" xfId="14136" xr:uid="{05D4E25E-E488-4C86-A398-F4CDEE16041A}"/>
    <cellStyle name="Normal 5 2 5 2 7 3" xfId="23435" xr:uid="{34344F00-5C20-41D0-8F41-F326C768933B}"/>
    <cellStyle name="Normal 5 2 5 2 8" xfId="9054" xr:uid="{844F6476-DDB9-4C38-A2B2-83AB0DCF1773}"/>
    <cellStyle name="Normal 5 2 5 2 8 2" xfId="18378" xr:uid="{34327EE6-286C-47C7-ADA8-D4FE2B9E6BEC}"/>
    <cellStyle name="Normal 5 2 5 2 8 3" xfId="27676" xr:uid="{E19C23E6-4D42-429A-BB86-E7940DC04456}"/>
    <cellStyle name="Normal 5 2 5 2 9" xfId="9919" xr:uid="{6C944327-E0B1-40E1-AA63-77B9D8C09456}"/>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23F78C1B-C7C1-4012-8F82-131BD959128A}"/>
    <cellStyle name="Normal 5 2 5 3 2 2 3" xfId="25992" xr:uid="{E9257C87-0AE1-42A6-9BBF-3BBDAE597584}"/>
    <cellStyle name="Normal 5 2 5 3 2 3" xfId="12476" xr:uid="{1436C96C-14E5-4A87-A60F-566D66FF75EB}"/>
    <cellStyle name="Normal 5 2 5 3 2 4" xfId="21775" xr:uid="{69D0C707-F31C-4E03-BBAB-4289D69655EC}"/>
    <cellStyle name="Normal 5 2 5 3 3" xfId="5222" xr:uid="{00000000-0005-0000-0000-00003A190000}"/>
    <cellStyle name="Normal 5 2 5 3 3 2" xfId="14548" xr:uid="{4A8D28EB-E13F-4796-B65B-9E4594F5354C}"/>
    <cellStyle name="Normal 5 2 5 3 3 3" xfId="23847" xr:uid="{8A41CC79-61DA-447C-AE0F-187B2385F80E}"/>
    <cellStyle name="Normal 5 2 5 3 4" xfId="9272" xr:uid="{8865498C-CC61-4C5F-A1F4-57A1D301E1CE}"/>
    <cellStyle name="Normal 5 2 5 3 4 2" xfId="18587" xr:uid="{A0A3D256-508D-4031-8692-89D6D6D65021}"/>
    <cellStyle name="Normal 5 2 5 3 4 3" xfId="27884" xr:uid="{20FC4759-25CD-4E6A-A864-ED9FEDD3FF57}"/>
    <cellStyle name="Normal 5 2 5 3 5" xfId="10331" xr:uid="{A6F69B3E-6274-4058-910A-2D30F79E5FC1}"/>
    <cellStyle name="Normal 5 2 5 3 6" xfId="19630" xr:uid="{8A3165EA-1230-4411-987F-D63D2079337C}"/>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5EA49B9C-C1C0-4504-AA12-206E68D22571}"/>
    <cellStyle name="Normal 5 2 5 4 2 2 3" xfId="26405" xr:uid="{C757CEB1-E0B2-424E-AC2A-B0274A740B94}"/>
    <cellStyle name="Normal 5 2 5 4 2 3" xfId="12889" xr:uid="{B28D6593-6968-4D52-878B-CB4431A1FB6A}"/>
    <cellStyle name="Normal 5 2 5 4 2 4" xfId="22188" xr:uid="{DFEF2E1E-5EBF-4AA6-8E3D-B8D7C363E07F}"/>
    <cellStyle name="Normal 5 2 5 4 3" xfId="5635" xr:uid="{00000000-0005-0000-0000-00003E190000}"/>
    <cellStyle name="Normal 5 2 5 4 3 2" xfId="14961" xr:uid="{BA4E1180-BC59-45DF-99D6-86FCACAD38A0}"/>
    <cellStyle name="Normal 5 2 5 4 3 3" xfId="24260" xr:uid="{4202F593-5D53-4987-80CD-457959E1E200}"/>
    <cellStyle name="Normal 5 2 5 4 4" xfId="10744" xr:uid="{1407CE7B-306F-407B-A780-BCD4BD286675}"/>
    <cellStyle name="Normal 5 2 5 4 5" xfId="20043" xr:uid="{5F9A6B46-21A4-4CA0-B24D-DE19A247B567}"/>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9B582842-CE53-4DF5-8ACB-338C08E075A7}"/>
    <cellStyle name="Normal 5 2 5 5 2 2 3" xfId="26818" xr:uid="{B2F672E6-3483-413C-85B0-62D0A1A63DA2}"/>
    <cellStyle name="Normal 5 2 5 5 2 3" xfId="13302" xr:uid="{5BCBD51C-AA7A-4766-B4C1-8F8F2B4848CB}"/>
    <cellStyle name="Normal 5 2 5 5 2 4" xfId="22601" xr:uid="{B196D226-A2E8-43D2-A3C9-F45A60496F79}"/>
    <cellStyle name="Normal 5 2 5 5 3" xfId="6048" xr:uid="{00000000-0005-0000-0000-000042190000}"/>
    <cellStyle name="Normal 5 2 5 5 3 2" xfId="15374" xr:uid="{E7FBB314-2934-403D-B4D4-D001E50F314B}"/>
    <cellStyle name="Normal 5 2 5 5 3 3" xfId="24673" xr:uid="{93A88FAF-650B-4B40-9C6B-617CAF0FA27C}"/>
    <cellStyle name="Normal 5 2 5 5 4" xfId="11157" xr:uid="{08B0B283-3058-4856-A82A-8949A5331930}"/>
    <cellStyle name="Normal 5 2 5 5 5" xfId="20456" xr:uid="{05E2DF5D-7234-4026-BAAF-EDDBDBA128FA}"/>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5123FCAC-75A7-4279-9659-86E2B8F44C79}"/>
    <cellStyle name="Normal 5 2 5 6 2 2 3" xfId="27231" xr:uid="{8B6F91EA-0A43-4480-9656-97AF1B274E64}"/>
    <cellStyle name="Normal 5 2 5 6 2 3" xfId="13715" xr:uid="{351BDFEF-B677-4AFE-BE0E-E3BC139904AB}"/>
    <cellStyle name="Normal 5 2 5 6 2 4" xfId="23014" xr:uid="{50965F8E-5529-48B8-BB8B-A65A2FB1FE3C}"/>
    <cellStyle name="Normal 5 2 5 6 3" xfId="6461" xr:uid="{00000000-0005-0000-0000-000046190000}"/>
    <cellStyle name="Normal 5 2 5 6 3 2" xfId="15787" xr:uid="{A633E064-2792-402F-8BC1-5AE785D79C9B}"/>
    <cellStyle name="Normal 5 2 5 6 3 3" xfId="25086" xr:uid="{51E909DE-3DE5-4D15-A42D-167769143A7E}"/>
    <cellStyle name="Normal 5 2 5 6 4" xfId="11570" xr:uid="{3F7111C4-87E0-46B9-B48E-3BA3BADC7F9D}"/>
    <cellStyle name="Normal 5 2 5 6 5" xfId="20869" xr:uid="{0C3BF057-1E7A-4C9B-9105-CB63C3437F0A}"/>
    <cellStyle name="Normal 5 2 5 7" xfId="2591" xr:uid="{00000000-0005-0000-0000-000047190000}"/>
    <cellStyle name="Normal 5 2 5 7 2" xfId="6874" xr:uid="{00000000-0005-0000-0000-000048190000}"/>
    <cellStyle name="Normal 5 2 5 7 2 2" xfId="16200" xr:uid="{3BDD1F6E-EFA7-407A-90CE-DA818A99203C}"/>
    <cellStyle name="Normal 5 2 5 7 2 3" xfId="25499" xr:uid="{9B7259B9-0692-493B-944B-3A3A7977C360}"/>
    <cellStyle name="Normal 5 2 5 7 3" xfId="11983" xr:uid="{FFE636F6-7DCE-4394-9BC3-7C0B3FFF760F}"/>
    <cellStyle name="Normal 5 2 5 7 4" xfId="21282" xr:uid="{DD7DF01E-759E-4DB7-B733-891A247E7427}"/>
    <cellStyle name="Normal 5 2 5 8" xfId="4809" xr:uid="{00000000-0005-0000-0000-000049190000}"/>
    <cellStyle name="Normal 5 2 5 8 2" xfId="14135" xr:uid="{A2C88E29-41D1-4003-8168-C0E26D3F6C6E}"/>
    <cellStyle name="Normal 5 2 5 8 3" xfId="23434" xr:uid="{9082644C-C8A1-4349-B82C-17EC91FA3AF0}"/>
    <cellStyle name="Normal 5 2 5 9" xfId="8847" xr:uid="{504334B5-BB84-4906-81A5-68746D711AC3}"/>
    <cellStyle name="Normal 5 2 5 9 2" xfId="18171" xr:uid="{5E2C4F4D-2620-4E78-BB79-FDF563CB7F8B}"/>
    <cellStyle name="Normal 5 2 5 9 3" xfId="27469" xr:uid="{69E09B04-3C5C-4CDB-9174-377F9AE8F3CA}"/>
    <cellStyle name="Normal 5 2 6" xfId="438" xr:uid="{00000000-0005-0000-0000-00004A190000}"/>
    <cellStyle name="Normal 5 2 6 10" xfId="19219" xr:uid="{28CC8FAD-2302-49CC-BFB5-4295043CC0E3}"/>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5C373224-F752-49B0-AE06-7A405D2BB648}"/>
    <cellStyle name="Normal 5 2 6 2 2 2 3" xfId="25994" xr:uid="{AD72CFB7-BD43-4BF1-A9B7-D0E65731E6BC}"/>
    <cellStyle name="Normal 5 2 6 2 2 3" xfId="12478" xr:uid="{54E4A3DB-8E30-435A-B2B1-EF82D6F73DB8}"/>
    <cellStyle name="Normal 5 2 6 2 2 4" xfId="21777" xr:uid="{42E941C0-F0AA-4277-8D25-61392A0903AF}"/>
    <cellStyle name="Normal 5 2 6 2 3" xfId="5224" xr:uid="{00000000-0005-0000-0000-00004E190000}"/>
    <cellStyle name="Normal 5 2 6 2 3 2" xfId="14550" xr:uid="{279491DC-01F7-4416-9302-31708886F051}"/>
    <cellStyle name="Normal 5 2 6 2 3 3" xfId="23849" xr:uid="{051A7461-0CE3-4873-842E-76D08AF8C6F1}"/>
    <cellStyle name="Normal 5 2 6 2 4" xfId="9388" xr:uid="{38BE55A5-085B-499D-8766-DF826B77D03C}"/>
    <cellStyle name="Normal 5 2 6 2 4 2" xfId="18703" xr:uid="{F99DCAA7-9AFF-40D6-9FFB-6F2249E8D76B}"/>
    <cellStyle name="Normal 5 2 6 2 4 3" xfId="28000" xr:uid="{9166FE28-146E-48EB-BA17-1DFF687A35AE}"/>
    <cellStyle name="Normal 5 2 6 2 5" xfId="10333" xr:uid="{1691AEBA-15DB-4CE6-9815-A25403B28A50}"/>
    <cellStyle name="Normal 5 2 6 2 6" xfId="19632" xr:uid="{D781C29A-417F-45FC-B48F-C658FF71E19E}"/>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91220C28-0C90-4FAF-9A9B-E5CA5F8FECA7}"/>
    <cellStyle name="Normal 5 2 6 3 2 2 3" xfId="26407" xr:uid="{8FE44346-FCE6-47B3-A0E4-0C269DBE9BDF}"/>
    <cellStyle name="Normal 5 2 6 3 2 3" xfId="12891" xr:uid="{4976918A-5A2C-4B36-BFCA-4A841670C739}"/>
    <cellStyle name="Normal 5 2 6 3 2 4" xfId="22190" xr:uid="{C0F6934F-FEC6-4211-88A8-D8B0BC5D33F5}"/>
    <cellStyle name="Normal 5 2 6 3 3" xfId="5637" xr:uid="{00000000-0005-0000-0000-000052190000}"/>
    <cellStyle name="Normal 5 2 6 3 3 2" xfId="14963" xr:uid="{02DFD07B-F47D-45F7-8D0D-B77764F1B51F}"/>
    <cellStyle name="Normal 5 2 6 3 3 3" xfId="24262" xr:uid="{931F04D9-211D-4CFF-8EA5-EA8CD0E1EE6A}"/>
    <cellStyle name="Normal 5 2 6 3 4" xfId="10746" xr:uid="{7937C043-5562-4F5D-9308-2C8D3A940073}"/>
    <cellStyle name="Normal 5 2 6 3 5" xfId="20045" xr:uid="{9192D785-A121-4715-89C6-5918B684CBED}"/>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EB05F93E-96EE-4C63-975D-D0206282A545}"/>
    <cellStyle name="Normal 5 2 6 4 2 2 3" xfId="26820" xr:uid="{14666677-D8DF-4334-9753-D99980F4C15B}"/>
    <cellStyle name="Normal 5 2 6 4 2 3" xfId="13304" xr:uid="{B30FBF85-0206-479A-8546-28B2731CCEB1}"/>
    <cellStyle name="Normal 5 2 6 4 2 4" xfId="22603" xr:uid="{3F6549C0-8FF6-4892-A3DE-EDF0AED2EC43}"/>
    <cellStyle name="Normal 5 2 6 4 3" xfId="6050" xr:uid="{00000000-0005-0000-0000-000056190000}"/>
    <cellStyle name="Normal 5 2 6 4 3 2" xfId="15376" xr:uid="{0915BFBE-F000-4E08-A321-05E881021D03}"/>
    <cellStyle name="Normal 5 2 6 4 3 3" xfId="24675" xr:uid="{FC84DB4C-D15C-4F19-B987-B228A7BE60C7}"/>
    <cellStyle name="Normal 5 2 6 4 4" xfId="11159" xr:uid="{4B52437A-926C-43EA-BBFF-71F7F0333790}"/>
    <cellStyle name="Normal 5 2 6 4 5" xfId="20458" xr:uid="{C7555FA3-1870-40D9-B801-146C4AA98B67}"/>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4169274C-D442-402A-988A-D36948A841BB}"/>
    <cellStyle name="Normal 5 2 6 5 2 2 3" xfId="27233" xr:uid="{50803ADB-863A-4F0D-BDCF-15DD977840BC}"/>
    <cellStyle name="Normal 5 2 6 5 2 3" xfId="13717" xr:uid="{5705F66B-D698-4B70-945D-EDED8E5BB936}"/>
    <cellStyle name="Normal 5 2 6 5 2 4" xfId="23016" xr:uid="{DFE69292-5F1B-4434-BE2F-4CDFA69E87C6}"/>
    <cellStyle name="Normal 5 2 6 5 3" xfId="6463" xr:uid="{00000000-0005-0000-0000-00005A190000}"/>
    <cellStyle name="Normal 5 2 6 5 3 2" xfId="15789" xr:uid="{D1C5E249-C5BD-442B-828B-F86F53B9FBB1}"/>
    <cellStyle name="Normal 5 2 6 5 3 3" xfId="25088" xr:uid="{DC0DBCEA-1B73-4BC9-9790-02C67689255D}"/>
    <cellStyle name="Normal 5 2 6 5 4" xfId="11572" xr:uid="{62B79574-FDE4-4499-8738-AC2852AE5EE7}"/>
    <cellStyle name="Normal 5 2 6 5 5" xfId="20871" xr:uid="{A5887441-25C9-4C9F-8B4A-32E0B71AFCE9}"/>
    <cellStyle name="Normal 5 2 6 6" xfId="2593" xr:uid="{00000000-0005-0000-0000-00005B190000}"/>
    <cellStyle name="Normal 5 2 6 6 2" xfId="6876" xr:uid="{00000000-0005-0000-0000-00005C190000}"/>
    <cellStyle name="Normal 5 2 6 6 2 2" xfId="16202" xr:uid="{35455FD7-1F17-43F1-8519-6CCAA6427C3A}"/>
    <cellStyle name="Normal 5 2 6 6 2 3" xfId="25501" xr:uid="{2EE8B8C5-51EE-4264-BFCF-F67F89F82F4E}"/>
    <cellStyle name="Normal 5 2 6 6 3" xfId="11985" xr:uid="{393CC649-55A5-4AF4-A135-6550CBD0A8D1}"/>
    <cellStyle name="Normal 5 2 6 6 4" xfId="21284" xr:uid="{0850C4FC-5C37-4B65-8B2C-353C8304DDAC}"/>
    <cellStyle name="Normal 5 2 6 7" xfId="4811" xr:uid="{00000000-0005-0000-0000-00005D190000}"/>
    <cellStyle name="Normal 5 2 6 7 2" xfId="14137" xr:uid="{6ADB1CB0-525E-4383-B609-B4D582D617EB}"/>
    <cellStyle name="Normal 5 2 6 7 3" xfId="23436" xr:uid="{9ED74329-3C30-416D-B94A-CEAA2FD374AF}"/>
    <cellStyle name="Normal 5 2 6 8" xfId="8963" xr:uid="{01BDB756-0B70-4C0D-AC32-9959EE0C8F11}"/>
    <cellStyle name="Normal 5 2 6 8 2" xfId="18287" xr:uid="{0B17C15D-21F2-45D9-8DFF-345D53381C93}"/>
    <cellStyle name="Normal 5 2 6 8 3" xfId="27585" xr:uid="{DE20731C-CC19-4690-ADC3-994593EC531A}"/>
    <cellStyle name="Normal 5 2 6 9" xfId="9920" xr:uid="{C12E2CEA-3210-4F4E-A9C5-9741A348FFF4}"/>
    <cellStyle name="Normal 5 2 7" xfId="881" xr:uid="{00000000-0005-0000-0000-00005E190000}"/>
    <cellStyle name="Normal 5 2 7 2" xfId="3116" xr:uid="{00000000-0005-0000-0000-00005F190000}"/>
    <cellStyle name="Normal 5 2 7 2 2" xfId="7338" xr:uid="{00000000-0005-0000-0000-000060190000}"/>
    <cellStyle name="Normal 5 2 7 2 2 2" xfId="16664" xr:uid="{37EABC37-312A-4AA6-93D9-CB3D64286C86}"/>
    <cellStyle name="Normal 5 2 7 2 2 3" xfId="25963" xr:uid="{96765502-B636-43EF-9735-670D212C36AD}"/>
    <cellStyle name="Normal 5 2 7 2 3" xfId="12447" xr:uid="{0127214C-73BE-485F-8719-F1A8176D443D}"/>
    <cellStyle name="Normal 5 2 7 2 4" xfId="21746" xr:uid="{8DEC3FCB-63BE-4D2C-8A14-B2A423AE5519}"/>
    <cellStyle name="Normal 5 2 7 3" xfId="5193" xr:uid="{00000000-0005-0000-0000-000061190000}"/>
    <cellStyle name="Normal 5 2 7 3 2" xfId="14519" xr:uid="{F2AAD311-4168-4D65-B830-5789754750FC}"/>
    <cellStyle name="Normal 5 2 7 3 3" xfId="23818" xr:uid="{F1E189F0-DE10-4EC0-B45A-00B36C681CBE}"/>
    <cellStyle name="Normal 5 2 7 4" xfId="9166" xr:uid="{903BB692-5043-4803-B109-F7C532EB2A09}"/>
    <cellStyle name="Normal 5 2 7 4 2" xfId="18484" xr:uid="{E8A4232B-BEF8-4A6D-BF66-0460839C79BA}"/>
    <cellStyle name="Normal 5 2 7 4 3" xfId="27781" xr:uid="{0E31098C-7678-4287-9F85-1C90790F8593}"/>
    <cellStyle name="Normal 5 2 7 5" xfId="10302" xr:uid="{2F63F3F9-E336-4413-8BCA-1BA91F4CDAE7}"/>
    <cellStyle name="Normal 5 2 7 6" xfId="19601" xr:uid="{F23A2E72-235E-4285-A8E1-843B72246F77}"/>
    <cellStyle name="Normal 5 2 8" xfId="1299" xr:uid="{00000000-0005-0000-0000-000062190000}"/>
    <cellStyle name="Normal 5 2 8 2" xfId="3529" xr:uid="{00000000-0005-0000-0000-000063190000}"/>
    <cellStyle name="Normal 5 2 8 2 2" xfId="7751" xr:uid="{00000000-0005-0000-0000-000064190000}"/>
    <cellStyle name="Normal 5 2 8 2 2 2" xfId="17077" xr:uid="{E380BDCA-3E58-4771-9385-D9ABBFD031C3}"/>
    <cellStyle name="Normal 5 2 8 2 2 3" xfId="26376" xr:uid="{E9E5EF5C-D001-4E41-B45B-292407C0305A}"/>
    <cellStyle name="Normal 5 2 8 2 3" xfId="12860" xr:uid="{EC37B8C4-72E8-4395-968E-2A07873EEACF}"/>
    <cellStyle name="Normal 5 2 8 2 4" xfId="22159" xr:uid="{48DE1AF8-7BE2-40DD-8CFC-C2C8E2D15BFE}"/>
    <cellStyle name="Normal 5 2 8 3" xfId="5606" xr:uid="{00000000-0005-0000-0000-000065190000}"/>
    <cellStyle name="Normal 5 2 8 3 2" xfId="14932" xr:uid="{1F191232-CDC6-4A2F-B92A-7AC7E0586127}"/>
    <cellStyle name="Normal 5 2 8 3 3" xfId="24231" xr:uid="{BCB57FE9-251E-447C-8455-2C0CF69F20A8}"/>
    <cellStyle name="Normal 5 2 8 4" xfId="10715" xr:uid="{4E605467-A4C6-429E-A7DE-950332C916C2}"/>
    <cellStyle name="Normal 5 2 8 5" xfId="20014" xr:uid="{32371E42-B110-4CAB-B5F2-38FA1AFB14D3}"/>
    <cellStyle name="Normal 5 2 9" xfId="1712" xr:uid="{00000000-0005-0000-0000-000066190000}"/>
    <cellStyle name="Normal 5 2 9 2" xfId="3942" xr:uid="{00000000-0005-0000-0000-000067190000}"/>
    <cellStyle name="Normal 5 2 9 2 2" xfId="8164" xr:uid="{00000000-0005-0000-0000-000068190000}"/>
    <cellStyle name="Normal 5 2 9 2 2 2" xfId="17490" xr:uid="{E95E1460-1001-42AD-A3AE-3C6A021F1CBF}"/>
    <cellStyle name="Normal 5 2 9 2 2 3" xfId="26789" xr:uid="{76D9EE78-CAA0-4B14-86C9-B07A1FA02F63}"/>
    <cellStyle name="Normal 5 2 9 2 3" xfId="13273" xr:uid="{22829C30-1667-47B1-8947-54BD19B64D2A}"/>
    <cellStyle name="Normal 5 2 9 2 4" xfId="22572" xr:uid="{03736F1B-DBDF-45C9-9341-2C6591AC7579}"/>
    <cellStyle name="Normal 5 2 9 3" xfId="6019" xr:uid="{00000000-0005-0000-0000-000069190000}"/>
    <cellStyle name="Normal 5 2 9 3 2" xfId="15345" xr:uid="{B83FE9AE-78B7-4F60-82C5-2892548BCF8C}"/>
    <cellStyle name="Normal 5 2 9 3 3" xfId="24644" xr:uid="{C7E073C0-2B8F-4FBC-97D3-F48651C0757E}"/>
    <cellStyle name="Normal 5 2 9 4" xfId="11128" xr:uid="{AAC799F9-9620-4918-B4A3-0497AD2DC134}"/>
    <cellStyle name="Normal 5 2 9 5" xfId="20427" xr:uid="{3656D832-8C6D-4AA9-8869-82150C0E222B}"/>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7310CBE0-D775-490C-93E5-30D38AD50B32}"/>
    <cellStyle name="Normal 5 3 10 2 2 3" xfId="27234" xr:uid="{6E8615CA-3EBF-4791-B69D-A51BC18AA199}"/>
    <cellStyle name="Normal 5 3 10 2 3" xfId="13718" xr:uid="{F59649B4-A613-4B7B-90C0-ED15934F7BA3}"/>
    <cellStyle name="Normal 5 3 10 2 4" xfId="23017" xr:uid="{D822D919-B7D1-4048-BE41-DA42FF088274}"/>
    <cellStyle name="Normal 5 3 10 3" xfId="6464" xr:uid="{00000000-0005-0000-0000-00006E190000}"/>
    <cellStyle name="Normal 5 3 10 3 2" xfId="15790" xr:uid="{0D877845-0C67-408F-9294-82B625797A6F}"/>
    <cellStyle name="Normal 5 3 10 3 3" xfId="25089" xr:uid="{69BC4FBA-A5A9-43F0-B96C-3CF5166BD213}"/>
    <cellStyle name="Normal 5 3 10 4" xfId="11573" xr:uid="{C24D436C-590D-45AE-BC8C-1168B225C569}"/>
    <cellStyle name="Normal 5 3 10 5" xfId="20872" xr:uid="{F49C5A54-75D4-4721-A477-9F06BBF5F881}"/>
    <cellStyle name="Normal 5 3 11" xfId="2594" xr:uid="{00000000-0005-0000-0000-00006F190000}"/>
    <cellStyle name="Normal 5 3 11 2" xfId="6877" xr:uid="{00000000-0005-0000-0000-000070190000}"/>
    <cellStyle name="Normal 5 3 11 2 2" xfId="16203" xr:uid="{99032405-03E5-46C2-8EE6-02BD373C58F7}"/>
    <cellStyle name="Normal 5 3 11 2 3" xfId="25502" xr:uid="{4EC4D833-4971-4904-A520-875355336D49}"/>
    <cellStyle name="Normal 5 3 11 3" xfId="11986" xr:uid="{3A2CFAF5-9875-4244-B35F-1468646BD651}"/>
    <cellStyle name="Normal 5 3 11 4" xfId="21285" xr:uid="{DCA69F27-B9C4-4E6A-90A8-005C6C7C9542}"/>
    <cellStyle name="Normal 5 3 12" xfId="4812" xr:uid="{00000000-0005-0000-0000-000071190000}"/>
    <cellStyle name="Normal 5 3 12 2" xfId="14138" xr:uid="{E04E50A9-90B8-4208-A82E-EEAA6698E860}"/>
    <cellStyle name="Normal 5 3 12 3" xfId="23437" xr:uid="{85444179-DF8F-4798-9615-C5493A26D5B1}"/>
    <cellStyle name="Normal 5 3 13" xfId="8750" xr:uid="{36957AEF-D081-4A23-AEE3-073A5901863C}"/>
    <cellStyle name="Normal 5 3 13 2" xfId="18074" xr:uid="{352A041A-1337-4614-8470-13B2C09E0528}"/>
    <cellStyle name="Normal 5 3 13 3" xfId="27372" xr:uid="{C7D3DBA3-8AE6-4EB6-A3AE-A04EF570D15F}"/>
    <cellStyle name="Normal 5 3 14" xfId="9921" xr:uid="{1057C404-8135-41FC-9327-18B53BD68DD2}"/>
    <cellStyle name="Normal 5 3 15" xfId="19220" xr:uid="{414EC2CE-C072-4965-88EE-895760952B12}"/>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F3AC4628-0289-45EF-9A99-EA227244F689}"/>
    <cellStyle name="Normal 5 3 3 10 3" xfId="23438" xr:uid="{A11F7E2F-49D9-4AC8-ABFC-05D6225A9357}"/>
    <cellStyle name="Normal 5 3 3 11" xfId="8782" xr:uid="{4219AD28-469A-4693-BD0B-B0536AC433E5}"/>
    <cellStyle name="Normal 5 3 3 11 2" xfId="18106" xr:uid="{44A078BA-994A-409A-8057-D354AD87FA60}"/>
    <cellStyle name="Normal 5 3 3 11 3" xfId="27404" xr:uid="{5FA6E901-E830-4071-AE59-3DF089C8D14E}"/>
    <cellStyle name="Normal 5 3 3 12" xfId="9922" xr:uid="{D52E04C3-17E2-42A7-8B2E-772097327614}"/>
    <cellStyle name="Normal 5 3 3 13" xfId="19221" xr:uid="{C822352C-1DBE-4EDA-95D2-7F666A4A17D6}"/>
    <cellStyle name="Normal 5 3 3 2" xfId="442" xr:uid="{00000000-0005-0000-0000-000076190000}"/>
    <cellStyle name="Normal 5 3 3 2 10" xfId="8832" xr:uid="{03323DDB-E4E1-4078-8BBE-EA3DD4471E1B}"/>
    <cellStyle name="Normal 5 3 3 2 10 2" xfId="18156" xr:uid="{F8B240C1-7829-44BD-88A2-78FC2C0DFCB3}"/>
    <cellStyle name="Normal 5 3 3 2 10 3" xfId="27454" xr:uid="{A022E1F0-FA9B-4A44-8D2B-F101C2116ED2}"/>
    <cellStyle name="Normal 5 3 3 2 11" xfId="9923" xr:uid="{0747DF58-975E-4137-B5EE-A0332A066B88}"/>
    <cellStyle name="Normal 5 3 3 2 12" xfId="19222" xr:uid="{F407919E-2255-453F-939C-ACD0E8064423}"/>
    <cellStyle name="Normal 5 3 3 2 2" xfId="443" xr:uid="{00000000-0005-0000-0000-000077190000}"/>
    <cellStyle name="Normal 5 3 3 2 2 10" xfId="9924" xr:uid="{775ECFE3-B0E9-47F6-AF2A-AFA713145B1D}"/>
    <cellStyle name="Normal 5 3 3 2 2 11" xfId="19223" xr:uid="{802EFB90-692D-498A-9194-FCD60E0CF74D}"/>
    <cellStyle name="Normal 5 3 3 2 2 2" xfId="444" xr:uid="{00000000-0005-0000-0000-000078190000}"/>
    <cellStyle name="Normal 5 3 3 2 2 2 10" xfId="19224" xr:uid="{1AB6CE0D-E56E-4B52-A3EB-51A76DD1F42B}"/>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6B2797A2-B62B-4194-A600-BC4D60C26458}"/>
    <cellStyle name="Normal 5 3 3 2 2 2 2 2 2 3" xfId="25999" xr:uid="{19B96A3D-881E-4F09-9625-61C5B2C4B0E0}"/>
    <cellStyle name="Normal 5 3 3 2 2 2 2 2 3" xfId="12483" xr:uid="{769BDE69-EA9D-46B8-ACDD-BFBD1519E89A}"/>
    <cellStyle name="Normal 5 3 3 2 2 2 2 2 4" xfId="21782" xr:uid="{F3BBF4A6-8440-462F-918B-B5AAEDD40F41}"/>
    <cellStyle name="Normal 5 3 3 2 2 2 2 3" xfId="5229" xr:uid="{00000000-0005-0000-0000-00007C190000}"/>
    <cellStyle name="Normal 5 3 3 2 2 2 2 3 2" xfId="14555" xr:uid="{E038AE0B-2854-464E-8C5E-7CD3468BF252}"/>
    <cellStyle name="Normal 5 3 3 2 2 2 2 3 3" xfId="23854" xr:uid="{B6EEDE90-F478-49A1-8C37-34216945F0B1}"/>
    <cellStyle name="Normal 5 3 3 2 2 2 2 4" xfId="9567" xr:uid="{C2519486-6BC5-47D1-879F-EC6040BC9E9D}"/>
    <cellStyle name="Normal 5 3 3 2 2 2 2 4 2" xfId="18882" xr:uid="{F35492D2-5B55-47C7-92E9-9717FF48DC65}"/>
    <cellStyle name="Normal 5 3 3 2 2 2 2 4 3" xfId="28179" xr:uid="{E59DE47F-19E1-4C98-90A5-84E7D14C6BA3}"/>
    <cellStyle name="Normal 5 3 3 2 2 2 2 5" xfId="10338" xr:uid="{75E2FAD4-EFED-4A27-83ED-EF0796E7A806}"/>
    <cellStyle name="Normal 5 3 3 2 2 2 2 6" xfId="19637" xr:uid="{F6604C40-6A60-4E5D-B352-76196337F2EB}"/>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6F59F8BD-4DB3-4745-BA61-FED47AC0C036}"/>
    <cellStyle name="Normal 5 3 3 2 2 2 3 2 2 3" xfId="26412" xr:uid="{7F7643C6-112A-4386-BB89-6675E8716E2F}"/>
    <cellStyle name="Normal 5 3 3 2 2 2 3 2 3" xfId="12896" xr:uid="{F62355F0-0F5F-4AAC-B514-C23A953C66F0}"/>
    <cellStyle name="Normal 5 3 3 2 2 2 3 2 4" xfId="22195" xr:uid="{53A5149E-ED1B-4446-AB05-2BB76D234D39}"/>
    <cellStyle name="Normal 5 3 3 2 2 2 3 3" xfId="5642" xr:uid="{00000000-0005-0000-0000-000080190000}"/>
    <cellStyle name="Normal 5 3 3 2 2 2 3 3 2" xfId="14968" xr:uid="{F37AE9C5-52BC-426B-949B-D516D147FD33}"/>
    <cellStyle name="Normal 5 3 3 2 2 2 3 3 3" xfId="24267" xr:uid="{D20A07BD-A42A-4C4E-9557-B67B0317B300}"/>
    <cellStyle name="Normal 5 3 3 2 2 2 3 4" xfId="10751" xr:uid="{2E47FF1F-9E6F-4FBC-842C-0B4858D50D65}"/>
    <cellStyle name="Normal 5 3 3 2 2 2 3 5" xfId="20050" xr:uid="{67DDD6AA-741E-4AB2-9F6C-3B23B056F93E}"/>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F24C76B8-81D3-4218-A8A0-9F68EB278CBC}"/>
    <cellStyle name="Normal 5 3 3 2 2 2 4 2 2 3" xfId="26825" xr:uid="{94761182-529A-46E4-BD09-CEC2E1DEC0E8}"/>
    <cellStyle name="Normal 5 3 3 2 2 2 4 2 3" xfId="13309" xr:uid="{AD33CEAB-9B22-421F-9C6A-DD9B64A81AEA}"/>
    <cellStyle name="Normal 5 3 3 2 2 2 4 2 4" xfId="22608" xr:uid="{8B33D172-008E-4E8A-B5BF-99486C91DA9C}"/>
    <cellStyle name="Normal 5 3 3 2 2 2 4 3" xfId="6055" xr:uid="{00000000-0005-0000-0000-000084190000}"/>
    <cellStyle name="Normal 5 3 3 2 2 2 4 3 2" xfId="15381" xr:uid="{C508FD62-A12A-4270-806E-F50951E870AE}"/>
    <cellStyle name="Normal 5 3 3 2 2 2 4 3 3" xfId="24680" xr:uid="{C72C52CF-D332-47A5-89DA-FF70F48EAB7F}"/>
    <cellStyle name="Normal 5 3 3 2 2 2 4 4" xfId="11164" xr:uid="{ACE2274A-DD25-49EB-994C-16CAB162D85D}"/>
    <cellStyle name="Normal 5 3 3 2 2 2 4 5" xfId="20463" xr:uid="{89525BFD-453F-4419-9DEA-B6B9A927345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CCCBA7EB-CADA-4145-913C-9B340C7CC6B4}"/>
    <cellStyle name="Normal 5 3 3 2 2 2 5 2 2 3" xfId="27238" xr:uid="{1E3C4BFA-69A3-4EDD-891F-55D1E44A7AEC}"/>
    <cellStyle name="Normal 5 3 3 2 2 2 5 2 3" xfId="13722" xr:uid="{F1EFC14C-12E2-48F5-96B2-DC17C877911F}"/>
    <cellStyle name="Normal 5 3 3 2 2 2 5 2 4" xfId="23021" xr:uid="{B3633F45-4F87-4193-812C-09ADCC583A79}"/>
    <cellStyle name="Normal 5 3 3 2 2 2 5 3" xfId="6468" xr:uid="{00000000-0005-0000-0000-000088190000}"/>
    <cellStyle name="Normal 5 3 3 2 2 2 5 3 2" xfId="15794" xr:uid="{BF890AAF-D9D6-4543-9ED4-CBA735B95B51}"/>
    <cellStyle name="Normal 5 3 3 2 2 2 5 3 3" xfId="25093" xr:uid="{8620D09A-5A1F-447F-9319-8AC3B19BF9B8}"/>
    <cellStyle name="Normal 5 3 3 2 2 2 5 4" xfId="11577" xr:uid="{DB8341DE-3886-4C4F-AAEB-8C18A7915A22}"/>
    <cellStyle name="Normal 5 3 3 2 2 2 5 5" xfId="20876" xr:uid="{DF0A2C64-3075-45FB-82BE-FA0A96CC09AD}"/>
    <cellStyle name="Normal 5 3 3 2 2 2 6" xfId="2598" xr:uid="{00000000-0005-0000-0000-000089190000}"/>
    <cellStyle name="Normal 5 3 3 2 2 2 6 2" xfId="6881" xr:uid="{00000000-0005-0000-0000-00008A190000}"/>
    <cellStyle name="Normal 5 3 3 2 2 2 6 2 2" xfId="16207" xr:uid="{F43B886B-516C-491A-9915-F6930CB497BF}"/>
    <cellStyle name="Normal 5 3 3 2 2 2 6 2 3" xfId="25506" xr:uid="{889048CC-471E-450B-AD92-ECDC8F3D304A}"/>
    <cellStyle name="Normal 5 3 3 2 2 2 6 3" xfId="11990" xr:uid="{9994D001-05F8-4AA2-A3D4-378853E9163A}"/>
    <cellStyle name="Normal 5 3 3 2 2 2 6 4" xfId="21289" xr:uid="{DDC3D954-BAE4-4202-BA13-E6188DC1C34C}"/>
    <cellStyle name="Normal 5 3 3 2 2 2 7" xfId="4816" xr:uid="{00000000-0005-0000-0000-00008B190000}"/>
    <cellStyle name="Normal 5 3 3 2 2 2 7 2" xfId="14142" xr:uid="{9B02B206-D415-4C45-99DD-3CD6843498F6}"/>
    <cellStyle name="Normal 5 3 3 2 2 2 7 3" xfId="23441" xr:uid="{23647E78-4B8E-46BA-9449-C21BD9856ECA}"/>
    <cellStyle name="Normal 5 3 3 2 2 2 8" xfId="9142" xr:uid="{81CF9711-3A0B-4712-8E8F-033C974AA9E3}"/>
    <cellStyle name="Normal 5 3 3 2 2 2 8 2" xfId="18466" xr:uid="{0A2EE3CF-2815-4B5D-9AAA-67A696326ACE}"/>
    <cellStyle name="Normal 5 3 3 2 2 2 8 3" xfId="27764" xr:uid="{C3FA7892-6462-4FFC-9ED0-238E035E47EC}"/>
    <cellStyle name="Normal 5 3 3 2 2 2 9" xfId="9925" xr:uid="{DB5BAE4D-AA36-499E-A1F3-78C3EE2AAF08}"/>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040FF714-59F3-4666-A17A-E97D2F05E608}"/>
    <cellStyle name="Normal 5 3 3 2 2 3 2 2 3" xfId="25998" xr:uid="{4440388D-EF09-4969-BCCA-888E70545F44}"/>
    <cellStyle name="Normal 5 3 3 2 2 3 2 3" xfId="12482" xr:uid="{0DDF0B68-63BE-413B-9F05-2ED1F9CE681A}"/>
    <cellStyle name="Normal 5 3 3 2 2 3 2 4" xfId="21781" xr:uid="{75E8610B-A6A7-46AF-B878-1684C9A716BE}"/>
    <cellStyle name="Normal 5 3 3 2 2 3 3" xfId="5228" xr:uid="{00000000-0005-0000-0000-00008F190000}"/>
    <cellStyle name="Normal 5 3 3 2 2 3 3 2" xfId="14554" xr:uid="{721669D8-6C50-4AB9-93EA-9546A41208DC}"/>
    <cellStyle name="Normal 5 3 3 2 2 3 3 3" xfId="23853" xr:uid="{2AF3A5C2-FC83-4170-92E9-1987E3138841}"/>
    <cellStyle name="Normal 5 3 3 2 2 3 4" xfId="9360" xr:uid="{07447062-3C9B-4A41-BE9D-50DE495FF588}"/>
    <cellStyle name="Normal 5 3 3 2 2 3 4 2" xfId="18675" xr:uid="{BF0A7398-61D7-4D3C-9FE0-29C68A86D70A}"/>
    <cellStyle name="Normal 5 3 3 2 2 3 4 3" xfId="27972" xr:uid="{ED756527-7615-4EEF-A1FB-1F327E1126A6}"/>
    <cellStyle name="Normal 5 3 3 2 2 3 5" xfId="10337" xr:uid="{B7027483-52CF-49AF-9C81-EABFA3A3C170}"/>
    <cellStyle name="Normal 5 3 3 2 2 3 6" xfId="19636" xr:uid="{E5A44A3B-8F0A-44D6-9393-B78602F09024}"/>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4A9606B0-7579-4232-95C7-B632E41CC0D7}"/>
    <cellStyle name="Normal 5 3 3 2 2 4 2 2 3" xfId="26411" xr:uid="{C6147A4B-11E0-4D3C-960B-CC48D5318E0D}"/>
    <cellStyle name="Normal 5 3 3 2 2 4 2 3" xfId="12895" xr:uid="{553B7DD6-F72B-4A54-815E-3C0E3105BBEF}"/>
    <cellStyle name="Normal 5 3 3 2 2 4 2 4" xfId="22194" xr:uid="{2206ED2A-57E6-416D-8541-913F2991E24A}"/>
    <cellStyle name="Normal 5 3 3 2 2 4 3" xfId="5641" xr:uid="{00000000-0005-0000-0000-000093190000}"/>
    <cellStyle name="Normal 5 3 3 2 2 4 3 2" xfId="14967" xr:uid="{ED14C92D-FFE1-4477-91E6-F55740742775}"/>
    <cellStyle name="Normal 5 3 3 2 2 4 3 3" xfId="24266" xr:uid="{E7DCEC54-DC28-482A-9AB8-29816CAA90F9}"/>
    <cellStyle name="Normal 5 3 3 2 2 4 4" xfId="10750" xr:uid="{0BD23D7C-A47F-4F09-B1E5-76511059E1D2}"/>
    <cellStyle name="Normal 5 3 3 2 2 4 5" xfId="20049" xr:uid="{AF11B2FF-9EEE-4C75-B2B0-1C6CE8766C6E}"/>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28A69904-0FC5-47ED-ACE1-6B474F9CB3E2}"/>
    <cellStyle name="Normal 5 3 3 2 2 5 2 2 3" xfId="26824" xr:uid="{78248FC0-3487-49EE-8011-0B2FAB09D57D}"/>
    <cellStyle name="Normal 5 3 3 2 2 5 2 3" xfId="13308" xr:uid="{7DCF2FE0-5846-4977-B60A-28A2945963AC}"/>
    <cellStyle name="Normal 5 3 3 2 2 5 2 4" xfId="22607" xr:uid="{4BDBE876-F15C-4941-9AF5-D8647B658BDC}"/>
    <cellStyle name="Normal 5 3 3 2 2 5 3" xfId="6054" xr:uid="{00000000-0005-0000-0000-000097190000}"/>
    <cellStyle name="Normal 5 3 3 2 2 5 3 2" xfId="15380" xr:uid="{B781CD0E-658D-4AA4-9470-AAD0DFC6551D}"/>
    <cellStyle name="Normal 5 3 3 2 2 5 3 3" xfId="24679" xr:uid="{8DF7C604-61C4-4FC0-AAFF-09ACEC29EB70}"/>
    <cellStyle name="Normal 5 3 3 2 2 5 4" xfId="11163" xr:uid="{0DD33935-707F-4954-A910-5B2183A28ECD}"/>
    <cellStyle name="Normal 5 3 3 2 2 5 5" xfId="20462" xr:uid="{54646B5F-A235-4F42-A3CA-C9BA6FF1B04E}"/>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D7566E7E-B713-49A4-A6E1-CE96A681E4BC}"/>
    <cellStyle name="Normal 5 3 3 2 2 6 2 2 3" xfId="27237" xr:uid="{D1B8AF63-0D65-47CC-B362-DC1A4A9913EF}"/>
    <cellStyle name="Normal 5 3 3 2 2 6 2 3" xfId="13721" xr:uid="{8B380A17-2804-4586-8FFC-D3C6018F2E6B}"/>
    <cellStyle name="Normal 5 3 3 2 2 6 2 4" xfId="23020" xr:uid="{11E3CE32-61B1-40F4-BF96-2AB41991659D}"/>
    <cellStyle name="Normal 5 3 3 2 2 6 3" xfId="6467" xr:uid="{00000000-0005-0000-0000-00009B190000}"/>
    <cellStyle name="Normal 5 3 3 2 2 6 3 2" xfId="15793" xr:uid="{03FB1D8E-BE2A-427C-9E8A-A9E21BFA4E8F}"/>
    <cellStyle name="Normal 5 3 3 2 2 6 3 3" xfId="25092" xr:uid="{F7118A34-00D0-4FDA-BFEC-A702130B06BD}"/>
    <cellStyle name="Normal 5 3 3 2 2 6 4" xfId="11576" xr:uid="{D090416D-6A29-462F-9A93-8BC8F8CFC1AA}"/>
    <cellStyle name="Normal 5 3 3 2 2 6 5" xfId="20875" xr:uid="{F817B611-FF79-43E6-AE1F-96DEEDC52232}"/>
    <cellStyle name="Normal 5 3 3 2 2 7" xfId="2597" xr:uid="{00000000-0005-0000-0000-00009C190000}"/>
    <cellStyle name="Normal 5 3 3 2 2 7 2" xfId="6880" xr:uid="{00000000-0005-0000-0000-00009D190000}"/>
    <cellStyle name="Normal 5 3 3 2 2 7 2 2" xfId="16206" xr:uid="{85C05FB1-C3B9-4052-8438-772B21D33418}"/>
    <cellStyle name="Normal 5 3 3 2 2 7 2 3" xfId="25505" xr:uid="{58FD2136-3394-42E1-A583-9DD9A4EF373B}"/>
    <cellStyle name="Normal 5 3 3 2 2 7 3" xfId="11989" xr:uid="{65E7D980-B23B-4ED7-8549-0A69BA2B508B}"/>
    <cellStyle name="Normal 5 3 3 2 2 7 4" xfId="21288" xr:uid="{35CAF8B0-3E01-4058-A6AF-15B8BCA6850C}"/>
    <cellStyle name="Normal 5 3 3 2 2 8" xfId="4815" xr:uid="{00000000-0005-0000-0000-00009E190000}"/>
    <cellStyle name="Normal 5 3 3 2 2 8 2" xfId="14141" xr:uid="{72883A31-996D-474F-9C78-0FE2CDD031EE}"/>
    <cellStyle name="Normal 5 3 3 2 2 8 3" xfId="23440" xr:uid="{204C98F0-5F36-4348-B17B-9A0650EED1D8}"/>
    <cellStyle name="Normal 5 3 3 2 2 9" xfId="8935" xr:uid="{94B8766B-0DD5-4CC7-9403-D37FC711344B}"/>
    <cellStyle name="Normal 5 3 3 2 2 9 2" xfId="18259" xr:uid="{5213202E-2F8E-445F-84AC-C0A1A9C43CD5}"/>
    <cellStyle name="Normal 5 3 3 2 2 9 3" xfId="27557" xr:uid="{47B78E4E-BCA4-46ED-9042-205D652E5C20}"/>
    <cellStyle name="Normal 5 3 3 2 3" xfId="445" xr:uid="{00000000-0005-0000-0000-00009F190000}"/>
    <cellStyle name="Normal 5 3 3 2 3 10" xfId="19225" xr:uid="{740E9BCA-16BF-4666-8D49-EB5A20BB49FA}"/>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44685865-1C6A-448B-A2FC-BF237C086E92}"/>
    <cellStyle name="Normal 5 3 3 2 3 2 2 2 3" xfId="26000" xr:uid="{0BE64AC4-26DB-415B-BEC2-CD67BC631230}"/>
    <cellStyle name="Normal 5 3 3 2 3 2 2 3" xfId="12484" xr:uid="{0A28A8E8-8557-4F9C-BED2-88F508620569}"/>
    <cellStyle name="Normal 5 3 3 2 3 2 2 4" xfId="21783" xr:uid="{7B89BF4A-6137-444D-AB65-ED40154B6F32}"/>
    <cellStyle name="Normal 5 3 3 2 3 2 3" xfId="5230" xr:uid="{00000000-0005-0000-0000-0000A3190000}"/>
    <cellStyle name="Normal 5 3 3 2 3 2 3 2" xfId="14556" xr:uid="{15969575-FEFB-4793-9F3E-E5C4D84D1DDD}"/>
    <cellStyle name="Normal 5 3 3 2 3 2 3 3" xfId="23855" xr:uid="{2BB198CF-E449-4F95-AEDF-669F31547FA2}"/>
    <cellStyle name="Normal 5 3 3 2 3 2 4" xfId="9464" xr:uid="{6A182EEF-0879-47AD-839A-17D560B4AF3D}"/>
    <cellStyle name="Normal 5 3 3 2 3 2 4 2" xfId="18779" xr:uid="{45CEF1D1-DF4D-4B20-8650-F94C078157E2}"/>
    <cellStyle name="Normal 5 3 3 2 3 2 4 3" xfId="28076" xr:uid="{D3A47CB0-48B2-4AAF-8035-B653609E8569}"/>
    <cellStyle name="Normal 5 3 3 2 3 2 5" xfId="10339" xr:uid="{57A31DDE-4F9D-4F07-B818-0D161EEEFA89}"/>
    <cellStyle name="Normal 5 3 3 2 3 2 6" xfId="19638" xr:uid="{9743A9B6-FFAE-4020-847C-81BC72C30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2834F03E-5657-49A5-B629-1FE8C2E6A3B4}"/>
    <cellStyle name="Normal 5 3 3 2 3 3 2 2 3" xfId="26413" xr:uid="{CA084ACC-F15E-4288-BE83-D03FBA00D05D}"/>
    <cellStyle name="Normal 5 3 3 2 3 3 2 3" xfId="12897" xr:uid="{6EDA6055-D8FB-4480-9496-5DF3DC8CD26B}"/>
    <cellStyle name="Normal 5 3 3 2 3 3 2 4" xfId="22196" xr:uid="{F9D0F690-1A59-4DD3-B6CB-FAAA4ADEF8B1}"/>
    <cellStyle name="Normal 5 3 3 2 3 3 3" xfId="5643" xr:uid="{00000000-0005-0000-0000-0000A7190000}"/>
    <cellStyle name="Normal 5 3 3 2 3 3 3 2" xfId="14969" xr:uid="{A06F50CD-D72E-42D8-A0F8-3C5CB2AD410E}"/>
    <cellStyle name="Normal 5 3 3 2 3 3 3 3" xfId="24268" xr:uid="{06750E17-3E84-44F1-847B-DFF3347848C6}"/>
    <cellStyle name="Normal 5 3 3 2 3 3 4" xfId="10752" xr:uid="{0F678E72-0545-477F-B30D-4EF52F9EBE5E}"/>
    <cellStyle name="Normal 5 3 3 2 3 3 5" xfId="20051" xr:uid="{78C3F50B-80FC-468D-AB4F-FA8A40BDBEE2}"/>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7EF95E32-342D-4DC6-83F3-AE8B670016A0}"/>
    <cellStyle name="Normal 5 3 3 2 3 4 2 2 3" xfId="26826" xr:uid="{CBE369E3-4469-4F4E-8CE1-26BBDB785F8A}"/>
    <cellStyle name="Normal 5 3 3 2 3 4 2 3" xfId="13310" xr:uid="{B12A2DA0-A1BF-4F0D-97EE-9D4B72BE33BB}"/>
    <cellStyle name="Normal 5 3 3 2 3 4 2 4" xfId="22609" xr:uid="{6D84B629-C09A-44AC-8B36-EDC27716ED55}"/>
    <cellStyle name="Normal 5 3 3 2 3 4 3" xfId="6056" xr:uid="{00000000-0005-0000-0000-0000AB190000}"/>
    <cellStyle name="Normal 5 3 3 2 3 4 3 2" xfId="15382" xr:uid="{E49843EA-0401-471D-9871-FE290FB70872}"/>
    <cellStyle name="Normal 5 3 3 2 3 4 3 3" xfId="24681" xr:uid="{3F408C8C-A0DF-436F-A4C8-329B6BF6FC65}"/>
    <cellStyle name="Normal 5 3 3 2 3 4 4" xfId="11165" xr:uid="{5E4B1FF1-A081-4299-9F9F-A1C82FDE663E}"/>
    <cellStyle name="Normal 5 3 3 2 3 4 5" xfId="20464" xr:uid="{FD665C16-AF31-4C53-B493-0EDBD205D2F9}"/>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B141BC28-1CAD-42EB-89EA-2A15334A416A}"/>
    <cellStyle name="Normal 5 3 3 2 3 5 2 2 3" xfId="27239" xr:uid="{C8209367-DA49-43B4-8F8A-F7E46E8DB534}"/>
    <cellStyle name="Normal 5 3 3 2 3 5 2 3" xfId="13723" xr:uid="{266D601A-1324-4BF8-8AC0-AAC8AAF14225}"/>
    <cellStyle name="Normal 5 3 3 2 3 5 2 4" xfId="23022" xr:uid="{C3221344-9F91-426A-8C5A-25681F579A34}"/>
    <cellStyle name="Normal 5 3 3 2 3 5 3" xfId="6469" xr:uid="{00000000-0005-0000-0000-0000AF190000}"/>
    <cellStyle name="Normal 5 3 3 2 3 5 3 2" xfId="15795" xr:uid="{362DC533-1845-4B1D-BE09-ADF321D7B98E}"/>
    <cellStyle name="Normal 5 3 3 2 3 5 3 3" xfId="25094" xr:uid="{25F434D9-25E4-4107-9F93-16EEBC18B5CB}"/>
    <cellStyle name="Normal 5 3 3 2 3 5 4" xfId="11578" xr:uid="{646F286B-86F9-4378-B81A-D4746126C768}"/>
    <cellStyle name="Normal 5 3 3 2 3 5 5" xfId="20877" xr:uid="{CBC4FB74-E3E2-4CD4-B7A2-B1987B09B6AB}"/>
    <cellStyle name="Normal 5 3 3 2 3 6" xfId="2599" xr:uid="{00000000-0005-0000-0000-0000B0190000}"/>
    <cellStyle name="Normal 5 3 3 2 3 6 2" xfId="6882" xr:uid="{00000000-0005-0000-0000-0000B1190000}"/>
    <cellStyle name="Normal 5 3 3 2 3 6 2 2" xfId="16208" xr:uid="{58A289A4-49CF-4F01-B42E-1BAB692522BC}"/>
    <cellStyle name="Normal 5 3 3 2 3 6 2 3" xfId="25507" xr:uid="{FC929E3C-9053-495B-AFDB-A097B29CB183}"/>
    <cellStyle name="Normal 5 3 3 2 3 6 3" xfId="11991" xr:uid="{1D02EF07-B28D-4DE4-B298-2DB1DBC30CD9}"/>
    <cellStyle name="Normal 5 3 3 2 3 6 4" xfId="21290" xr:uid="{38DF8C7A-18B5-4909-AD70-66ACF49DC59A}"/>
    <cellStyle name="Normal 5 3 3 2 3 7" xfId="4817" xr:uid="{00000000-0005-0000-0000-0000B2190000}"/>
    <cellStyle name="Normal 5 3 3 2 3 7 2" xfId="14143" xr:uid="{B8483F06-CF1D-45E1-B21F-7BBB10498806}"/>
    <cellStyle name="Normal 5 3 3 2 3 7 3" xfId="23442" xr:uid="{F16A3B42-8B48-4DA5-A83B-2A956DF3B9D9}"/>
    <cellStyle name="Normal 5 3 3 2 3 8" xfId="9039" xr:uid="{84D80CE6-A0CA-4841-8673-26EA7EC6806D}"/>
    <cellStyle name="Normal 5 3 3 2 3 8 2" xfId="18363" xr:uid="{40802F34-07C4-4BD0-BF6B-7B2372112124}"/>
    <cellStyle name="Normal 5 3 3 2 3 8 3" xfId="27661" xr:uid="{3D1AB082-96BE-45FC-9267-00917636E005}"/>
    <cellStyle name="Normal 5 3 3 2 3 9" xfId="9926" xr:uid="{1CB2AB67-4313-4225-9C91-1F4E0F3D6D60}"/>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29E1B2C0-D37D-4A9B-B4D2-5ECA2C918AE6}"/>
    <cellStyle name="Normal 5 3 3 2 4 2 2 3" xfId="25997" xr:uid="{1BA33F75-856A-4B7F-9635-69BF137216E0}"/>
    <cellStyle name="Normal 5 3 3 2 4 2 3" xfId="12481" xr:uid="{3B7800C4-77DA-4224-A284-0C847A47B9D8}"/>
    <cellStyle name="Normal 5 3 3 2 4 2 4" xfId="21780" xr:uid="{CD43A6F5-B105-4C8B-B9C8-87CCE6E1F27E}"/>
    <cellStyle name="Normal 5 3 3 2 4 3" xfId="5227" xr:uid="{00000000-0005-0000-0000-0000B6190000}"/>
    <cellStyle name="Normal 5 3 3 2 4 3 2" xfId="14553" xr:uid="{2D63C247-E20B-4957-85F2-7121B3342C34}"/>
    <cellStyle name="Normal 5 3 3 2 4 3 3" xfId="23852" xr:uid="{9E825F1D-FD26-4B4D-A1EB-72E58B131D86}"/>
    <cellStyle name="Normal 5 3 3 2 4 4" xfId="9257" xr:uid="{E6656214-6E5B-491F-B1E3-227CB6568726}"/>
    <cellStyle name="Normal 5 3 3 2 4 4 2" xfId="18572" xr:uid="{B04993A7-0461-4452-BAEC-C3033C4D9B25}"/>
    <cellStyle name="Normal 5 3 3 2 4 4 3" xfId="27869" xr:uid="{B3794B47-576E-4282-BEE4-CB40CF6032BE}"/>
    <cellStyle name="Normal 5 3 3 2 4 5" xfId="10336" xr:uid="{2626CF83-972A-48FD-96C4-5FF2FEAADEE4}"/>
    <cellStyle name="Normal 5 3 3 2 4 6" xfId="19635" xr:uid="{6A544197-07A3-413D-A3C0-9ECDA4FD2731}"/>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5F80C2F7-678C-4B73-9A06-77C2EED61A17}"/>
    <cellStyle name="Normal 5 3 3 2 5 2 2 3" xfId="26410" xr:uid="{02775DAC-3B6F-4B2D-843C-9C8A49878CA6}"/>
    <cellStyle name="Normal 5 3 3 2 5 2 3" xfId="12894" xr:uid="{971AFABC-05A4-4FDC-97A2-20C74D59D208}"/>
    <cellStyle name="Normal 5 3 3 2 5 2 4" xfId="22193" xr:uid="{A2FFBDF8-23B2-4E26-A416-A0951EB0D7C2}"/>
    <cellStyle name="Normal 5 3 3 2 5 3" xfId="5640" xr:uid="{00000000-0005-0000-0000-0000BA190000}"/>
    <cellStyle name="Normal 5 3 3 2 5 3 2" xfId="14966" xr:uid="{8768D278-FEBA-44CB-A10B-A62B9061843F}"/>
    <cellStyle name="Normal 5 3 3 2 5 3 3" xfId="24265" xr:uid="{83C51531-E0FC-4D87-ACB4-C3BC730D67E0}"/>
    <cellStyle name="Normal 5 3 3 2 5 4" xfId="10749" xr:uid="{5D4AF94F-140C-42D4-8501-95D3418AC267}"/>
    <cellStyle name="Normal 5 3 3 2 5 5" xfId="20048" xr:uid="{07166174-1BB2-45A0-9577-DFE5971B4C6C}"/>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A079F481-0EA2-4BB3-98C8-6AF7E0CA0E64}"/>
    <cellStyle name="Normal 5 3 3 2 6 2 2 3" xfId="26823" xr:uid="{4FB2F35F-3ECA-42CC-9AEC-3FABAD7437FB}"/>
    <cellStyle name="Normal 5 3 3 2 6 2 3" xfId="13307" xr:uid="{5491A7DF-267E-4BE6-8F6E-19F6694DC75B}"/>
    <cellStyle name="Normal 5 3 3 2 6 2 4" xfId="22606" xr:uid="{0E85901D-7B88-4A82-AEC9-5A17756AD709}"/>
    <cellStyle name="Normal 5 3 3 2 6 3" xfId="6053" xr:uid="{00000000-0005-0000-0000-0000BE190000}"/>
    <cellStyle name="Normal 5 3 3 2 6 3 2" xfId="15379" xr:uid="{AB7656E4-98BC-48B9-BCFE-D91DA994F3B0}"/>
    <cellStyle name="Normal 5 3 3 2 6 3 3" xfId="24678" xr:uid="{6144E2AF-436F-4D62-A8B2-4F4A104A9094}"/>
    <cellStyle name="Normal 5 3 3 2 6 4" xfId="11162" xr:uid="{000631E3-C1B2-44F0-9246-29E59F3B65E1}"/>
    <cellStyle name="Normal 5 3 3 2 6 5" xfId="20461" xr:uid="{56CA43B6-F472-41EA-987F-BDA78E707FFE}"/>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A63F4948-B614-4D94-8849-B066A37AEAFB}"/>
    <cellStyle name="Normal 5 3 3 2 7 2 2 3" xfId="27236" xr:uid="{41661A25-628F-464B-B859-060939605C40}"/>
    <cellStyle name="Normal 5 3 3 2 7 2 3" xfId="13720" xr:uid="{404C49BC-D06F-4F58-83C6-0AD4622053BB}"/>
    <cellStyle name="Normal 5 3 3 2 7 2 4" xfId="23019" xr:uid="{82C1EF5C-63BA-4B7C-9ECA-E088EE370289}"/>
    <cellStyle name="Normal 5 3 3 2 7 3" xfId="6466" xr:uid="{00000000-0005-0000-0000-0000C2190000}"/>
    <cellStyle name="Normal 5 3 3 2 7 3 2" xfId="15792" xr:uid="{C2544A20-EDCC-4D88-ABF8-F5D5C323D0AE}"/>
    <cellStyle name="Normal 5 3 3 2 7 3 3" xfId="25091" xr:uid="{7D07F243-10EC-43C6-9F9D-7B4E91CBDD7B}"/>
    <cellStyle name="Normal 5 3 3 2 7 4" xfId="11575" xr:uid="{33BD92C7-853C-41D3-89CC-32929F5E772D}"/>
    <cellStyle name="Normal 5 3 3 2 7 5" xfId="20874" xr:uid="{138BA1D2-1E81-4236-AD7B-97C639D600CE}"/>
    <cellStyle name="Normal 5 3 3 2 8" xfId="2596" xr:uid="{00000000-0005-0000-0000-0000C3190000}"/>
    <cellStyle name="Normal 5 3 3 2 8 2" xfId="6879" xr:uid="{00000000-0005-0000-0000-0000C4190000}"/>
    <cellStyle name="Normal 5 3 3 2 8 2 2" xfId="16205" xr:uid="{A4EA629E-9386-47F4-BFCF-C38F0120BF53}"/>
    <cellStyle name="Normal 5 3 3 2 8 2 3" xfId="25504" xr:uid="{EE5AE91C-39CC-4103-B760-CB2621F35847}"/>
    <cellStyle name="Normal 5 3 3 2 8 3" xfId="11988" xr:uid="{D2F4DE2C-CB91-45D7-AA3C-CE634DF6A93A}"/>
    <cellStyle name="Normal 5 3 3 2 8 4" xfId="21287" xr:uid="{01429C7D-ABCC-4A20-A4DD-1968AC054574}"/>
    <cellStyle name="Normal 5 3 3 2 9" xfId="4814" xr:uid="{00000000-0005-0000-0000-0000C5190000}"/>
    <cellStyle name="Normal 5 3 3 2 9 2" xfId="14140" xr:uid="{6437AA90-D634-46CE-8F1B-E950C6DC9EAA}"/>
    <cellStyle name="Normal 5 3 3 2 9 3" xfId="23439" xr:uid="{F2B17A3E-84AB-43B6-8950-A8DE6FA512A3}"/>
    <cellStyle name="Normal 5 3 3 3" xfId="446" xr:uid="{00000000-0005-0000-0000-0000C6190000}"/>
    <cellStyle name="Normal 5 3 3 3 10" xfId="9927" xr:uid="{93FAAF2D-72D1-4965-8583-09D2636AAFEF}"/>
    <cellStyle name="Normal 5 3 3 3 11" xfId="19226" xr:uid="{52162509-5156-43CA-B361-93591C02511F}"/>
    <cellStyle name="Normal 5 3 3 3 2" xfId="447" xr:uid="{00000000-0005-0000-0000-0000C7190000}"/>
    <cellStyle name="Normal 5 3 3 3 2 10" xfId="19227" xr:uid="{DE1AD6C1-3FCD-4C93-8D2F-58FD1AD1FEF7}"/>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84E90151-2E63-472A-B247-6873764031B3}"/>
    <cellStyle name="Normal 5 3 3 3 2 2 2 2 3" xfId="26002" xr:uid="{FBB5C61E-0581-4EE8-9848-256786CA4F9C}"/>
    <cellStyle name="Normal 5 3 3 3 2 2 2 3" xfId="12486" xr:uid="{B313161E-72D3-4963-8D12-5ABA8F851944}"/>
    <cellStyle name="Normal 5 3 3 3 2 2 2 4" xfId="21785" xr:uid="{741D06D2-7FEE-4551-9A2F-880B6D7F3A77}"/>
    <cellStyle name="Normal 5 3 3 3 2 2 3" xfId="5232" xr:uid="{00000000-0005-0000-0000-0000CB190000}"/>
    <cellStyle name="Normal 5 3 3 3 2 2 3 2" xfId="14558" xr:uid="{6B7B48A0-CDAC-4121-838C-0C1FD23419E9}"/>
    <cellStyle name="Normal 5 3 3 3 2 2 3 3" xfId="23857" xr:uid="{AC62C764-4D92-4D62-AE0F-9B6DCDFC7206}"/>
    <cellStyle name="Normal 5 3 3 3 2 2 4" xfId="9517" xr:uid="{EA62A3B1-8ED5-4A6F-ACE0-B924BC16AA9E}"/>
    <cellStyle name="Normal 5 3 3 3 2 2 4 2" xfId="18832" xr:uid="{844285CC-0DB1-49E6-B05F-ED4C4072F962}"/>
    <cellStyle name="Normal 5 3 3 3 2 2 4 3" xfId="28129" xr:uid="{3E0177B0-C5AB-43CD-BABC-2910092089DD}"/>
    <cellStyle name="Normal 5 3 3 3 2 2 5" xfId="10341" xr:uid="{C6F1FABF-B346-453F-8DEC-79F1CE783518}"/>
    <cellStyle name="Normal 5 3 3 3 2 2 6" xfId="19640" xr:uid="{80AA70E6-0D64-4A2C-A06B-79CA3356D2D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5F399BB0-8E6B-4B7A-BA79-590E40756706}"/>
    <cellStyle name="Normal 5 3 3 3 2 3 2 2 3" xfId="26415" xr:uid="{1A7D3B83-7EC7-4252-A8E5-4D6576550BCB}"/>
    <cellStyle name="Normal 5 3 3 3 2 3 2 3" xfId="12899" xr:uid="{CCE82F05-1151-4C52-A7FE-DCE4972CE35F}"/>
    <cellStyle name="Normal 5 3 3 3 2 3 2 4" xfId="22198" xr:uid="{9CDB5E16-78D0-4287-8C48-77628F576A66}"/>
    <cellStyle name="Normal 5 3 3 3 2 3 3" xfId="5645" xr:uid="{00000000-0005-0000-0000-0000CF190000}"/>
    <cellStyle name="Normal 5 3 3 3 2 3 3 2" xfId="14971" xr:uid="{F56B1083-6C92-47AC-BF7E-01BE5D0F12B8}"/>
    <cellStyle name="Normal 5 3 3 3 2 3 3 3" xfId="24270" xr:uid="{A758547F-AE3F-4BD9-AE73-9B1A104FC623}"/>
    <cellStyle name="Normal 5 3 3 3 2 3 4" xfId="10754" xr:uid="{2DB5B585-0F41-42C6-97F8-88EC08EDF4F4}"/>
    <cellStyle name="Normal 5 3 3 3 2 3 5" xfId="20053" xr:uid="{092343E8-422B-4609-ABA0-5D98A8E90BAA}"/>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249A8152-672B-4D53-8894-3877FCC8A796}"/>
    <cellStyle name="Normal 5 3 3 3 2 4 2 2 3" xfId="26828" xr:uid="{9D1B62EE-492A-49D7-93F7-4D28A37B1453}"/>
    <cellStyle name="Normal 5 3 3 3 2 4 2 3" xfId="13312" xr:uid="{2B4DEBC0-146C-4858-B03F-86F1704B58BB}"/>
    <cellStyle name="Normal 5 3 3 3 2 4 2 4" xfId="22611" xr:uid="{52E04B34-E943-4F50-95B0-933521DE9FF3}"/>
    <cellStyle name="Normal 5 3 3 3 2 4 3" xfId="6058" xr:uid="{00000000-0005-0000-0000-0000D3190000}"/>
    <cellStyle name="Normal 5 3 3 3 2 4 3 2" xfId="15384" xr:uid="{1F1B334C-CDD0-4087-B0B4-771CDD7870F1}"/>
    <cellStyle name="Normal 5 3 3 3 2 4 3 3" xfId="24683" xr:uid="{24B0276A-0CDF-40F7-8DE8-E839C071F5D8}"/>
    <cellStyle name="Normal 5 3 3 3 2 4 4" xfId="11167" xr:uid="{9E4576B8-FF17-49B5-BF78-2279CEEF2032}"/>
    <cellStyle name="Normal 5 3 3 3 2 4 5" xfId="20466" xr:uid="{FBFB7123-1606-41C9-BE72-EF20EEEA3321}"/>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CEDEB459-F46B-4557-9E1F-EBCD9A0CCCA0}"/>
    <cellStyle name="Normal 5 3 3 3 2 5 2 2 3" xfId="27241" xr:uid="{A13FBD26-8AB3-476F-AD2D-683F6A2D1728}"/>
    <cellStyle name="Normal 5 3 3 3 2 5 2 3" xfId="13725" xr:uid="{E926ACF4-8B0B-450F-8099-6084828FEB13}"/>
    <cellStyle name="Normal 5 3 3 3 2 5 2 4" xfId="23024" xr:uid="{DA0CCC61-B4B8-4354-871E-6D30F387769B}"/>
    <cellStyle name="Normal 5 3 3 3 2 5 3" xfId="6471" xr:uid="{00000000-0005-0000-0000-0000D7190000}"/>
    <cellStyle name="Normal 5 3 3 3 2 5 3 2" xfId="15797" xr:uid="{30389B96-67E4-4FE5-BE64-7FB642A31DBE}"/>
    <cellStyle name="Normal 5 3 3 3 2 5 3 3" xfId="25096" xr:uid="{F1E480B0-0812-4678-8FFF-B2CD0C1E1D1E}"/>
    <cellStyle name="Normal 5 3 3 3 2 5 4" xfId="11580" xr:uid="{17A65BF7-FBB0-44AB-B83D-98F655E5B4F9}"/>
    <cellStyle name="Normal 5 3 3 3 2 5 5" xfId="20879" xr:uid="{784427E4-B540-4B95-A515-A5D29A1543AE}"/>
    <cellStyle name="Normal 5 3 3 3 2 6" xfId="2601" xr:uid="{00000000-0005-0000-0000-0000D8190000}"/>
    <cellStyle name="Normal 5 3 3 3 2 6 2" xfId="6884" xr:uid="{00000000-0005-0000-0000-0000D9190000}"/>
    <cellStyle name="Normal 5 3 3 3 2 6 2 2" xfId="16210" xr:uid="{3CF32CF1-B0FD-474F-BFB2-1751992BA3A2}"/>
    <cellStyle name="Normal 5 3 3 3 2 6 2 3" xfId="25509" xr:uid="{532E4A66-27CC-4A83-8ED1-E2A608B8B386}"/>
    <cellStyle name="Normal 5 3 3 3 2 6 3" xfId="11993" xr:uid="{E5F5CAA2-0FD9-4A49-81C2-095567EA6FA3}"/>
    <cellStyle name="Normal 5 3 3 3 2 6 4" xfId="21292" xr:uid="{489D2572-2459-474A-AED8-6C35F073C6C2}"/>
    <cellStyle name="Normal 5 3 3 3 2 7" xfId="4819" xr:uid="{00000000-0005-0000-0000-0000DA190000}"/>
    <cellStyle name="Normal 5 3 3 3 2 7 2" xfId="14145" xr:uid="{D2919B09-F02E-407D-8FE0-0563EF0AAE99}"/>
    <cellStyle name="Normal 5 3 3 3 2 7 3" xfId="23444" xr:uid="{548010A5-3727-4B12-ACC8-767565978A8A}"/>
    <cellStyle name="Normal 5 3 3 3 2 8" xfId="9092" xr:uid="{A018BC5E-3880-4BA4-8CFB-322C89A13B5F}"/>
    <cellStyle name="Normal 5 3 3 3 2 8 2" xfId="18416" xr:uid="{703D7E24-8F58-4015-8A1C-25CA74940208}"/>
    <cellStyle name="Normal 5 3 3 3 2 8 3" xfId="27714" xr:uid="{325B069C-EE36-40DA-8ACA-A36D8E8CCAD8}"/>
    <cellStyle name="Normal 5 3 3 3 2 9" xfId="9928" xr:uid="{DF6C8AE6-84F0-49D5-AD69-C3D91995AA0E}"/>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6AB9717A-69AB-475B-AAEC-57C97A83A999}"/>
    <cellStyle name="Normal 5 3 3 3 3 2 2 3" xfId="26001" xr:uid="{72DADC9A-103A-4FF4-9E54-E735A1C591FF}"/>
    <cellStyle name="Normal 5 3 3 3 3 2 3" xfId="12485" xr:uid="{25383A58-2248-4546-9CC4-C1AF872D3C13}"/>
    <cellStyle name="Normal 5 3 3 3 3 2 4" xfId="21784" xr:uid="{110088E4-948F-4321-953B-B5CE4F8BD29B}"/>
    <cellStyle name="Normal 5 3 3 3 3 3" xfId="5231" xr:uid="{00000000-0005-0000-0000-0000DE190000}"/>
    <cellStyle name="Normal 5 3 3 3 3 3 2" xfId="14557" xr:uid="{57822394-B7E3-4519-9278-BFCE42666793}"/>
    <cellStyle name="Normal 5 3 3 3 3 3 3" xfId="23856" xr:uid="{7934E908-7D9D-4BDA-B6F7-575E2F72C913}"/>
    <cellStyle name="Normal 5 3 3 3 3 4" xfId="9310" xr:uid="{D169C31A-17C5-4934-97DF-D90479FD2654}"/>
    <cellStyle name="Normal 5 3 3 3 3 4 2" xfId="18625" xr:uid="{DB5BA8AD-1AB3-4F37-935D-CA99958FAB96}"/>
    <cellStyle name="Normal 5 3 3 3 3 4 3" xfId="27922" xr:uid="{5C37F0F2-DA36-49D6-9EBA-E3279DC9DF17}"/>
    <cellStyle name="Normal 5 3 3 3 3 5" xfId="10340" xr:uid="{4B9FA301-B124-4DED-B576-E4F4FBE4D549}"/>
    <cellStyle name="Normal 5 3 3 3 3 6" xfId="19639" xr:uid="{EFFC9529-00B7-4533-9CF3-595265F88649}"/>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D45E09A8-C809-497A-B75D-6DC6A320D962}"/>
    <cellStyle name="Normal 5 3 3 3 4 2 2 3" xfId="26414" xr:uid="{40E5D8CD-945B-4B7E-8AF4-D8BEE9118170}"/>
    <cellStyle name="Normal 5 3 3 3 4 2 3" xfId="12898" xr:uid="{82A30F36-0433-43F0-AC2E-E99390D6B88E}"/>
    <cellStyle name="Normal 5 3 3 3 4 2 4" xfId="22197" xr:uid="{7C7EEC7A-2768-4AB6-B4F6-993760CD9192}"/>
    <cellStyle name="Normal 5 3 3 3 4 3" xfId="5644" xr:uid="{00000000-0005-0000-0000-0000E2190000}"/>
    <cellStyle name="Normal 5 3 3 3 4 3 2" xfId="14970" xr:uid="{F76F2943-9B28-4679-9DC6-B6951DFB5461}"/>
    <cellStyle name="Normal 5 3 3 3 4 3 3" xfId="24269" xr:uid="{EE85D2CC-DAD8-4286-A625-E1FC7F49055A}"/>
    <cellStyle name="Normal 5 3 3 3 4 4" xfId="10753" xr:uid="{B58FF96D-B458-400F-A214-768D508EE1FF}"/>
    <cellStyle name="Normal 5 3 3 3 4 5" xfId="20052" xr:uid="{85ABE27E-50E0-4910-96CF-58F9AAAFE3F4}"/>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71B1B33D-7284-4978-A6F5-D365003D2DDA}"/>
    <cellStyle name="Normal 5 3 3 3 5 2 2 3" xfId="26827" xr:uid="{E19B36AC-F501-4915-A4D3-E74C4E94881D}"/>
    <cellStyle name="Normal 5 3 3 3 5 2 3" xfId="13311" xr:uid="{AC3158E5-2CD7-4155-A1EF-074F3A2B97D8}"/>
    <cellStyle name="Normal 5 3 3 3 5 2 4" xfId="22610" xr:uid="{61F2BB3F-EC9B-4F60-864A-481CA82F622A}"/>
    <cellStyle name="Normal 5 3 3 3 5 3" xfId="6057" xr:uid="{00000000-0005-0000-0000-0000E6190000}"/>
    <cellStyle name="Normal 5 3 3 3 5 3 2" xfId="15383" xr:uid="{872818FA-92C7-4E02-AB3E-338DB49F10A1}"/>
    <cellStyle name="Normal 5 3 3 3 5 3 3" xfId="24682" xr:uid="{09FAD77F-539E-4993-A6F6-ECEFBEE964FF}"/>
    <cellStyle name="Normal 5 3 3 3 5 4" xfId="11166" xr:uid="{71F642E7-1F5D-4019-8408-05AFB2C76AFE}"/>
    <cellStyle name="Normal 5 3 3 3 5 5" xfId="20465" xr:uid="{F2FC4055-A40F-4983-8748-248F3AC02D35}"/>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57E161A6-0223-4DB2-93AB-E104A2FE2BA5}"/>
    <cellStyle name="Normal 5 3 3 3 6 2 2 3" xfId="27240" xr:uid="{35CADBC8-ED9C-415F-9D79-AA7858EEBC0A}"/>
    <cellStyle name="Normal 5 3 3 3 6 2 3" xfId="13724" xr:uid="{088FB1DB-9DF9-4B75-9D68-CF25E70DACEC}"/>
    <cellStyle name="Normal 5 3 3 3 6 2 4" xfId="23023" xr:uid="{9ABBC4F9-16ED-42AC-80CA-D9508CE9094B}"/>
    <cellStyle name="Normal 5 3 3 3 6 3" xfId="6470" xr:uid="{00000000-0005-0000-0000-0000EA190000}"/>
    <cellStyle name="Normal 5 3 3 3 6 3 2" xfId="15796" xr:uid="{6C71E6BC-901D-44C2-857B-3D5C02188184}"/>
    <cellStyle name="Normal 5 3 3 3 6 3 3" xfId="25095" xr:uid="{9431C9CE-2831-4A57-A776-9B10C1FBC956}"/>
    <cellStyle name="Normal 5 3 3 3 6 4" xfId="11579" xr:uid="{200AEE5C-C7B6-45B3-A626-12CBEE03BEF9}"/>
    <cellStyle name="Normal 5 3 3 3 6 5" xfId="20878" xr:uid="{3E8FE5A1-883D-4AFC-8E43-BB9D9A286F97}"/>
    <cellStyle name="Normal 5 3 3 3 7" xfId="2600" xr:uid="{00000000-0005-0000-0000-0000EB190000}"/>
    <cellStyle name="Normal 5 3 3 3 7 2" xfId="6883" xr:uid="{00000000-0005-0000-0000-0000EC190000}"/>
    <cellStyle name="Normal 5 3 3 3 7 2 2" xfId="16209" xr:uid="{D9681E6C-D426-40F0-B44A-6281BD8B5DD8}"/>
    <cellStyle name="Normal 5 3 3 3 7 2 3" xfId="25508" xr:uid="{3DC494E2-5337-4F2E-A776-E4A30DA072A5}"/>
    <cellStyle name="Normal 5 3 3 3 7 3" xfId="11992" xr:uid="{3C774CA5-244A-4550-82CD-F7E714E9A16C}"/>
    <cellStyle name="Normal 5 3 3 3 7 4" xfId="21291" xr:uid="{E43253B7-384D-40DE-82DE-41018E270E43}"/>
    <cellStyle name="Normal 5 3 3 3 8" xfId="4818" xr:uid="{00000000-0005-0000-0000-0000ED190000}"/>
    <cellStyle name="Normal 5 3 3 3 8 2" xfId="14144" xr:uid="{78410330-95CE-4E43-BA39-4D9B1BE4E61C}"/>
    <cellStyle name="Normal 5 3 3 3 8 3" xfId="23443" xr:uid="{7EC315B7-D675-4F27-92DF-48EE4A8C875C}"/>
    <cellStyle name="Normal 5 3 3 3 9" xfId="8885" xr:uid="{BFA59703-C126-4DE9-A819-9190501D5C5B}"/>
    <cellStyle name="Normal 5 3 3 3 9 2" xfId="18209" xr:uid="{62633C57-F0B2-450B-978D-C582D676A305}"/>
    <cellStyle name="Normal 5 3 3 3 9 3" xfId="27507" xr:uid="{0C40CE7A-959E-4571-AAC7-EF422358A552}"/>
    <cellStyle name="Normal 5 3 3 4" xfId="448" xr:uid="{00000000-0005-0000-0000-0000EE190000}"/>
    <cellStyle name="Normal 5 3 3 4 10" xfId="19228" xr:uid="{35224750-28BF-4BE9-8C2D-0685B25BE377}"/>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E529E862-6663-4B5F-A6FB-1F29A974BFE6}"/>
    <cellStyle name="Normal 5 3 3 4 2 2 2 3" xfId="26003" xr:uid="{59B42C56-A4EA-42E2-BEF9-295F639299E8}"/>
    <cellStyle name="Normal 5 3 3 4 2 2 3" xfId="12487" xr:uid="{FB10D175-2CDE-473D-8722-3E1B703FF274}"/>
    <cellStyle name="Normal 5 3 3 4 2 2 4" xfId="21786" xr:uid="{218B45C3-7827-4573-B5B2-ED4D048CCA59}"/>
    <cellStyle name="Normal 5 3 3 4 2 3" xfId="5233" xr:uid="{00000000-0005-0000-0000-0000F2190000}"/>
    <cellStyle name="Normal 5 3 3 4 2 3 2" xfId="14559" xr:uid="{0D213E22-27F6-42CF-BEA1-BC36BB07E8CD}"/>
    <cellStyle name="Normal 5 3 3 4 2 3 3" xfId="23858" xr:uid="{0767EEC0-0BA7-4B67-981E-A9E9ACD65B09}"/>
    <cellStyle name="Normal 5 3 3 4 2 4" xfId="9414" xr:uid="{BD781A4C-FDA7-4D11-87F3-3D38EC19B37A}"/>
    <cellStyle name="Normal 5 3 3 4 2 4 2" xfId="18729" xr:uid="{F3CC18C3-A906-44E5-A76F-20FB7C563936}"/>
    <cellStyle name="Normal 5 3 3 4 2 4 3" xfId="28026" xr:uid="{746658A5-0F47-4647-BF2C-B691CE4A0969}"/>
    <cellStyle name="Normal 5 3 3 4 2 5" xfId="10342" xr:uid="{95DB0102-D4A3-4AEE-B4B8-1C54F2CDB638}"/>
    <cellStyle name="Normal 5 3 3 4 2 6" xfId="19641" xr:uid="{8B9BF70B-3233-40D7-A92D-4634B68F8BD7}"/>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B18BF6B4-66E0-49D7-A154-9D0D09932EC8}"/>
    <cellStyle name="Normal 5 3 3 4 3 2 2 3" xfId="26416" xr:uid="{FA9D9C18-15D5-4103-B173-B817AAA4F82C}"/>
    <cellStyle name="Normal 5 3 3 4 3 2 3" xfId="12900" xr:uid="{42DD9633-8BCE-40F3-A177-EBE8AE6DC0AB}"/>
    <cellStyle name="Normal 5 3 3 4 3 2 4" xfId="22199" xr:uid="{3303667B-D82C-4E11-BA9E-C979EBD900A4}"/>
    <cellStyle name="Normal 5 3 3 4 3 3" xfId="5646" xr:uid="{00000000-0005-0000-0000-0000F6190000}"/>
    <cellStyle name="Normal 5 3 3 4 3 3 2" xfId="14972" xr:uid="{806F5E0E-7531-4008-B893-132D7FEF911C}"/>
    <cellStyle name="Normal 5 3 3 4 3 3 3" xfId="24271" xr:uid="{3D6B067E-8D5E-4364-8B78-896B14537F8B}"/>
    <cellStyle name="Normal 5 3 3 4 3 4" xfId="10755" xr:uid="{99487077-345F-44C0-9E10-28BE66D750FB}"/>
    <cellStyle name="Normal 5 3 3 4 3 5" xfId="20054" xr:uid="{9B30CF66-DE24-4915-A0D9-FE04C09BB4C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E6E2789B-BB7A-4336-8EEF-5806DF6CB0A3}"/>
    <cellStyle name="Normal 5 3 3 4 4 2 2 3" xfId="26829" xr:uid="{85EBB984-2DF2-48DE-9E2B-CE0C7EFD3FA5}"/>
    <cellStyle name="Normal 5 3 3 4 4 2 3" xfId="13313" xr:uid="{A02F1CA1-9AEE-482E-938B-B80C29B2E948}"/>
    <cellStyle name="Normal 5 3 3 4 4 2 4" xfId="22612" xr:uid="{EAF5D8EC-DE02-4C13-A609-3A07895710C9}"/>
    <cellStyle name="Normal 5 3 3 4 4 3" xfId="6059" xr:uid="{00000000-0005-0000-0000-0000FA190000}"/>
    <cellStyle name="Normal 5 3 3 4 4 3 2" xfId="15385" xr:uid="{5B2087B6-BC4C-4B93-8B2E-C23174989028}"/>
    <cellStyle name="Normal 5 3 3 4 4 3 3" xfId="24684" xr:uid="{DB1C83BD-194D-4A40-BE95-4F1BC96EFA3A}"/>
    <cellStyle name="Normal 5 3 3 4 4 4" xfId="11168" xr:uid="{FF237087-0968-4209-A750-68D2B0713313}"/>
    <cellStyle name="Normal 5 3 3 4 4 5" xfId="20467" xr:uid="{1C211303-0F55-4AF3-96F6-A154971D90B6}"/>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56879F4D-36D0-442F-AB75-2BBB8498F646}"/>
    <cellStyle name="Normal 5 3 3 4 5 2 2 3" xfId="27242" xr:uid="{31437660-5743-40E0-81F7-4C5D554CCD0E}"/>
    <cellStyle name="Normal 5 3 3 4 5 2 3" xfId="13726" xr:uid="{A1317F58-60A8-45FF-818F-90EC56CD3EFF}"/>
    <cellStyle name="Normal 5 3 3 4 5 2 4" xfId="23025" xr:uid="{B2D6F380-32D6-4A52-91C4-F9F99F447BAE}"/>
    <cellStyle name="Normal 5 3 3 4 5 3" xfId="6472" xr:uid="{00000000-0005-0000-0000-0000FE190000}"/>
    <cellStyle name="Normal 5 3 3 4 5 3 2" xfId="15798" xr:uid="{B6083195-2D61-4B20-98AB-A5D66A772A1D}"/>
    <cellStyle name="Normal 5 3 3 4 5 3 3" xfId="25097" xr:uid="{34FED623-122F-4421-AD7E-D2DAE1F97BCB}"/>
    <cellStyle name="Normal 5 3 3 4 5 4" xfId="11581" xr:uid="{F61186E4-7100-40E6-A3E4-A51D5B84517C}"/>
    <cellStyle name="Normal 5 3 3 4 5 5" xfId="20880" xr:uid="{E0BDDE09-3FCE-4ED1-9B58-AC92070340FC}"/>
    <cellStyle name="Normal 5 3 3 4 6" xfId="2602" xr:uid="{00000000-0005-0000-0000-0000FF190000}"/>
    <cellStyle name="Normal 5 3 3 4 6 2" xfId="6885" xr:uid="{00000000-0005-0000-0000-0000001A0000}"/>
    <cellStyle name="Normal 5 3 3 4 6 2 2" xfId="16211" xr:uid="{EC839B3C-F4DD-46FC-BACE-55C3DED3050C}"/>
    <cellStyle name="Normal 5 3 3 4 6 2 3" xfId="25510" xr:uid="{705CEF9D-2C42-4DC1-AAAD-D0C2427C0A21}"/>
    <cellStyle name="Normal 5 3 3 4 6 3" xfId="11994" xr:uid="{F9E45CEB-C15D-40B4-B02C-330E401086BE}"/>
    <cellStyle name="Normal 5 3 3 4 6 4" xfId="21293" xr:uid="{851E716C-1F07-4069-B66C-B3CA1A393974}"/>
    <cellStyle name="Normal 5 3 3 4 7" xfId="4820" xr:uid="{00000000-0005-0000-0000-0000011A0000}"/>
    <cellStyle name="Normal 5 3 3 4 7 2" xfId="14146" xr:uid="{9F57E118-4F95-4CA2-98CB-C7630D2A5A88}"/>
    <cellStyle name="Normal 5 3 3 4 7 3" xfId="23445" xr:uid="{76950DE2-EB5B-4064-B9CE-634803536E04}"/>
    <cellStyle name="Normal 5 3 3 4 8" xfId="8989" xr:uid="{20FA1483-98E6-46C4-B00B-4EAF7957981D}"/>
    <cellStyle name="Normal 5 3 3 4 8 2" xfId="18313" xr:uid="{5D7ED840-3D1E-472F-AA29-93269A714825}"/>
    <cellStyle name="Normal 5 3 3 4 8 3" xfId="27611" xr:uid="{3D722958-3BDD-4742-81EB-52C748F0EC65}"/>
    <cellStyle name="Normal 5 3 3 4 9" xfId="9929" xr:uid="{6C9E3B20-0FC4-4107-BE2F-47C92221FCFD}"/>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B1948F77-7582-45A5-8478-6CE84779A920}"/>
    <cellStyle name="Normal 5 3 3 5 2 2 3" xfId="25996" xr:uid="{919221A5-A176-4ABE-A424-C6E21CDC5686}"/>
    <cellStyle name="Normal 5 3 3 5 2 3" xfId="12480" xr:uid="{E03E0CAD-CDFF-436B-A9B1-FF828CDA3337}"/>
    <cellStyle name="Normal 5 3 3 5 2 4" xfId="21779" xr:uid="{0B92900F-D183-47CD-AFAA-B8765294CD7E}"/>
    <cellStyle name="Normal 5 3 3 5 3" xfId="5226" xr:uid="{00000000-0005-0000-0000-0000051A0000}"/>
    <cellStyle name="Normal 5 3 3 5 3 2" xfId="14552" xr:uid="{8DBA2A8A-55C4-4706-897D-9B939194C1BE}"/>
    <cellStyle name="Normal 5 3 3 5 3 3" xfId="23851" xr:uid="{AE9335CE-B254-459E-8F35-88ED80841395}"/>
    <cellStyle name="Normal 5 3 3 5 4" xfId="9206" xr:uid="{CA749CBB-EAB5-483B-862D-D7B95A23D45C}"/>
    <cellStyle name="Normal 5 3 3 5 4 2" xfId="18522" xr:uid="{6CD9D761-DB53-42DE-A369-50D8BDC96953}"/>
    <cellStyle name="Normal 5 3 3 5 4 3" xfId="27819" xr:uid="{C35CFF03-8689-45B8-9C35-3AE5FA20C8C3}"/>
    <cellStyle name="Normal 5 3 3 5 5" xfId="10335" xr:uid="{66F672BE-6F09-404A-A4B2-8D6EE91E2213}"/>
    <cellStyle name="Normal 5 3 3 5 6" xfId="19634" xr:uid="{96974025-F0F9-43F7-9C9A-DD1A0B519B2B}"/>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FA3B7FB3-BC51-49C0-AB90-A1C14C684E4C}"/>
    <cellStyle name="Normal 5 3 3 6 2 2 3" xfId="26409" xr:uid="{BFBF8846-2DAC-4EF5-A576-BD9B307B03AE}"/>
    <cellStyle name="Normal 5 3 3 6 2 3" xfId="12893" xr:uid="{6162C125-BEC6-4CA9-86AD-2FA7672B6F13}"/>
    <cellStyle name="Normal 5 3 3 6 2 4" xfId="22192" xr:uid="{89A20481-E1B0-4A10-8647-0EFBD3969FC2}"/>
    <cellStyle name="Normal 5 3 3 6 3" xfId="5639" xr:uid="{00000000-0005-0000-0000-0000091A0000}"/>
    <cellStyle name="Normal 5 3 3 6 3 2" xfId="14965" xr:uid="{71074075-F637-46CB-948C-8E8FFBE4BC74}"/>
    <cellStyle name="Normal 5 3 3 6 3 3" xfId="24264" xr:uid="{5E5CBFD2-C7AB-43FB-9740-767485CF5608}"/>
    <cellStyle name="Normal 5 3 3 6 4" xfId="10748" xr:uid="{595E1CE6-10A0-4896-A1BD-D741B1CB0555}"/>
    <cellStyle name="Normal 5 3 3 6 5" xfId="20047" xr:uid="{FF6A3A63-95A0-473D-839C-E38AEB9540EF}"/>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9B67A69C-88B2-4497-B0F2-D002BC38D737}"/>
    <cellStyle name="Normal 5 3 3 7 2 2 3" xfId="26822" xr:uid="{F9E19B5E-F31E-4C71-B41C-EE9CF1BCAEB1}"/>
    <cellStyle name="Normal 5 3 3 7 2 3" xfId="13306" xr:uid="{0C57052A-D1AB-4FCC-8E92-4FAD76234ADF}"/>
    <cellStyle name="Normal 5 3 3 7 2 4" xfId="22605" xr:uid="{7228741D-5512-4F34-A04B-5809AFD2D6D6}"/>
    <cellStyle name="Normal 5 3 3 7 3" xfId="6052" xr:uid="{00000000-0005-0000-0000-00000D1A0000}"/>
    <cellStyle name="Normal 5 3 3 7 3 2" xfId="15378" xr:uid="{A01F168A-3DB1-48FA-AAEF-9318F87A5739}"/>
    <cellStyle name="Normal 5 3 3 7 3 3" xfId="24677" xr:uid="{524716CA-935A-4BB7-8A5E-BFDFAD7F9C65}"/>
    <cellStyle name="Normal 5 3 3 7 4" xfId="11161" xr:uid="{8F89F181-CC02-442D-B4EE-ED27867717F1}"/>
    <cellStyle name="Normal 5 3 3 7 5" xfId="20460" xr:uid="{A3927D40-BA50-436A-A871-3340DCD31A7E}"/>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5A818417-00FF-45C0-996D-4ED4F388DD5E}"/>
    <cellStyle name="Normal 5 3 3 8 2 2 3" xfId="27235" xr:uid="{A8A52B99-448D-4614-8C36-3CE7A6894B40}"/>
    <cellStyle name="Normal 5 3 3 8 2 3" xfId="13719" xr:uid="{54F62FED-39D3-4B01-9CB4-292C65DC0D66}"/>
    <cellStyle name="Normal 5 3 3 8 2 4" xfId="23018" xr:uid="{868399FF-33FD-4962-A22D-B2E4B986071E}"/>
    <cellStyle name="Normal 5 3 3 8 3" xfId="6465" xr:uid="{00000000-0005-0000-0000-0000111A0000}"/>
    <cellStyle name="Normal 5 3 3 8 3 2" xfId="15791" xr:uid="{E55493FA-F4FF-491D-8230-AE52AC337E0E}"/>
    <cellStyle name="Normal 5 3 3 8 3 3" xfId="25090" xr:uid="{22CA0C8F-0109-4CDA-8180-332A57EBFB88}"/>
    <cellStyle name="Normal 5 3 3 8 4" xfId="11574" xr:uid="{52DFD216-D367-46AC-9FFB-213881520353}"/>
    <cellStyle name="Normal 5 3 3 8 5" xfId="20873" xr:uid="{3700A938-DCA4-45FE-B9D6-4111FDCC2741}"/>
    <cellStyle name="Normal 5 3 3 9" xfId="2595" xr:uid="{00000000-0005-0000-0000-0000121A0000}"/>
    <cellStyle name="Normal 5 3 3 9 2" xfId="6878" xr:uid="{00000000-0005-0000-0000-0000131A0000}"/>
    <cellStyle name="Normal 5 3 3 9 2 2" xfId="16204" xr:uid="{E6AA6DAE-7343-4B51-B339-F5274560C457}"/>
    <cellStyle name="Normal 5 3 3 9 2 3" xfId="25503" xr:uid="{DFBF7DC4-E466-4AA3-92FD-B1703532E535}"/>
    <cellStyle name="Normal 5 3 3 9 3" xfId="11987" xr:uid="{2E2BB255-A8D2-4460-8A1E-B090FC4C46E7}"/>
    <cellStyle name="Normal 5 3 3 9 4" xfId="21286" xr:uid="{E40F4CBF-67FC-447C-AFFD-ED17BAA88379}"/>
    <cellStyle name="Normal 5 3 4" xfId="449" xr:uid="{00000000-0005-0000-0000-0000141A0000}"/>
    <cellStyle name="Normal 5 3 4 10" xfId="8831" xr:uid="{39AD872D-FBC2-4C4A-B537-79F8014E4247}"/>
    <cellStyle name="Normal 5 3 4 10 2" xfId="18155" xr:uid="{BA09A29C-1827-41D1-8F52-93F230744B1F}"/>
    <cellStyle name="Normal 5 3 4 10 3" xfId="27453" xr:uid="{56C1857B-13CF-48C1-BB7E-B8A95952A68E}"/>
    <cellStyle name="Normal 5 3 4 11" xfId="9930" xr:uid="{17945E2F-0522-456C-B99B-768E7CAE74A0}"/>
    <cellStyle name="Normal 5 3 4 12" xfId="19229" xr:uid="{A03D9BC3-F680-4FD2-B5C3-2EE26FE40634}"/>
    <cellStyle name="Normal 5 3 4 2" xfId="450" xr:uid="{00000000-0005-0000-0000-0000151A0000}"/>
    <cellStyle name="Normal 5 3 4 2 10" xfId="9931" xr:uid="{15353D3C-4E84-4D84-8B7D-199C929F7861}"/>
    <cellStyle name="Normal 5 3 4 2 11" xfId="19230" xr:uid="{54DA3443-CBE2-4BD1-8293-42F28F9A6E81}"/>
    <cellStyle name="Normal 5 3 4 2 2" xfId="451" xr:uid="{00000000-0005-0000-0000-0000161A0000}"/>
    <cellStyle name="Normal 5 3 4 2 2 10" xfId="19231" xr:uid="{75D57A19-DAB3-4837-8868-F78103EB4F8F}"/>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739C954C-2190-4454-A983-290083C1EFB1}"/>
    <cellStyle name="Normal 5 3 4 2 2 2 2 2 3" xfId="26006" xr:uid="{7AF0DAAD-16F6-4178-8D8E-4098EEA98556}"/>
    <cellStyle name="Normal 5 3 4 2 2 2 2 3" xfId="12490" xr:uid="{ADF028C8-D7CA-4DCC-9901-95C04523D152}"/>
    <cellStyle name="Normal 5 3 4 2 2 2 2 4" xfId="21789" xr:uid="{BD954CC8-49FA-4777-8B54-E9318D265B9E}"/>
    <cellStyle name="Normal 5 3 4 2 2 2 3" xfId="5236" xr:uid="{00000000-0005-0000-0000-00001A1A0000}"/>
    <cellStyle name="Normal 5 3 4 2 2 2 3 2" xfId="14562" xr:uid="{883F65ED-68A1-43F2-A061-90E613C49D5D}"/>
    <cellStyle name="Normal 5 3 4 2 2 2 3 3" xfId="23861" xr:uid="{57BA8672-E4EB-492E-9D0B-C4ABD022B8D0}"/>
    <cellStyle name="Normal 5 3 4 2 2 2 4" xfId="9566" xr:uid="{D483C248-9680-462F-989C-42C712CD6EB7}"/>
    <cellStyle name="Normal 5 3 4 2 2 2 4 2" xfId="18881" xr:uid="{362AF03D-AB30-4F41-8080-CF49CDAC2EC9}"/>
    <cellStyle name="Normal 5 3 4 2 2 2 4 3" xfId="28178" xr:uid="{06305454-9A38-4247-BDC0-A4DB13DED6C4}"/>
    <cellStyle name="Normal 5 3 4 2 2 2 5" xfId="10345" xr:uid="{D87BF667-0E3B-4D4F-B511-CB9605F93184}"/>
    <cellStyle name="Normal 5 3 4 2 2 2 6" xfId="19644" xr:uid="{960D4761-B071-4067-B4AF-27FDBD320996}"/>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A5E81205-ABB2-49F3-BD4F-7FDB93875603}"/>
    <cellStyle name="Normal 5 3 4 2 2 3 2 2 3" xfId="26419" xr:uid="{602DAD7C-5D91-4BD0-AC51-675B9E7AAA63}"/>
    <cellStyle name="Normal 5 3 4 2 2 3 2 3" xfId="12903" xr:uid="{4EE70A8D-32FC-4916-B5CB-54B5F1A22636}"/>
    <cellStyle name="Normal 5 3 4 2 2 3 2 4" xfId="22202" xr:uid="{82282C1B-081E-46AC-B6F3-90CB711CA62B}"/>
    <cellStyle name="Normal 5 3 4 2 2 3 3" xfId="5649" xr:uid="{00000000-0005-0000-0000-00001E1A0000}"/>
    <cellStyle name="Normal 5 3 4 2 2 3 3 2" xfId="14975" xr:uid="{BEC2FAC2-F9F9-4A88-8356-3F8652E2482E}"/>
    <cellStyle name="Normal 5 3 4 2 2 3 3 3" xfId="24274" xr:uid="{9D943C2C-DFA6-4DDA-9EFF-A61219A7820B}"/>
    <cellStyle name="Normal 5 3 4 2 2 3 4" xfId="10758" xr:uid="{64539475-ED83-4B6C-8E36-F05FA46C3D53}"/>
    <cellStyle name="Normal 5 3 4 2 2 3 5" xfId="20057" xr:uid="{94F32F9C-D354-4CBF-A3EB-9D98B42016D5}"/>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7BF5F6E5-373E-4E73-BA2B-F52762E6C178}"/>
    <cellStyle name="Normal 5 3 4 2 2 4 2 2 3" xfId="26832" xr:uid="{9D71672B-9584-4DC0-BBF7-3117D65C917A}"/>
    <cellStyle name="Normal 5 3 4 2 2 4 2 3" xfId="13316" xr:uid="{A28EBD4E-DA33-419F-89C2-14AA13DBC7AB}"/>
    <cellStyle name="Normal 5 3 4 2 2 4 2 4" xfId="22615" xr:uid="{037A840B-E09B-438B-B0DA-96ED1311C2AB}"/>
    <cellStyle name="Normal 5 3 4 2 2 4 3" xfId="6062" xr:uid="{00000000-0005-0000-0000-0000221A0000}"/>
    <cellStyle name="Normal 5 3 4 2 2 4 3 2" xfId="15388" xr:uid="{F5C679ED-CD0D-4254-9BA2-71CA7986A452}"/>
    <cellStyle name="Normal 5 3 4 2 2 4 3 3" xfId="24687" xr:uid="{2F58C75F-4487-413B-BE23-DB3A6779042A}"/>
    <cellStyle name="Normal 5 3 4 2 2 4 4" xfId="11171" xr:uid="{00CAED60-82EE-487B-9D42-4B4615D06E62}"/>
    <cellStyle name="Normal 5 3 4 2 2 4 5" xfId="20470" xr:uid="{8809608C-6D93-4EEF-B3BA-5595609CA3EC}"/>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AF67393A-C9ED-4989-9235-79B6C2D827D8}"/>
    <cellStyle name="Normal 5 3 4 2 2 5 2 2 3" xfId="27245" xr:uid="{FD797F04-A112-48C9-8DB7-C9911BF03E37}"/>
    <cellStyle name="Normal 5 3 4 2 2 5 2 3" xfId="13729" xr:uid="{0367D782-9D23-48F8-B488-069740504CAF}"/>
    <cellStyle name="Normal 5 3 4 2 2 5 2 4" xfId="23028" xr:uid="{0362DC22-C8BF-4834-866B-F8E9244B91F2}"/>
    <cellStyle name="Normal 5 3 4 2 2 5 3" xfId="6475" xr:uid="{00000000-0005-0000-0000-0000261A0000}"/>
    <cellStyle name="Normal 5 3 4 2 2 5 3 2" xfId="15801" xr:uid="{D8013652-3AC8-4B32-AE16-8143CDD674EA}"/>
    <cellStyle name="Normal 5 3 4 2 2 5 3 3" xfId="25100" xr:uid="{06B6A749-2126-46E2-B3AD-F70D2005581E}"/>
    <cellStyle name="Normal 5 3 4 2 2 5 4" xfId="11584" xr:uid="{0423B5ED-298F-4FFD-952C-DB18C9CAAB24}"/>
    <cellStyle name="Normal 5 3 4 2 2 5 5" xfId="20883" xr:uid="{273FA06A-52D8-42CB-9791-B228D927429F}"/>
    <cellStyle name="Normal 5 3 4 2 2 6" xfId="2605" xr:uid="{00000000-0005-0000-0000-0000271A0000}"/>
    <cellStyle name="Normal 5 3 4 2 2 6 2" xfId="6888" xr:uid="{00000000-0005-0000-0000-0000281A0000}"/>
    <cellStyle name="Normal 5 3 4 2 2 6 2 2" xfId="16214" xr:uid="{7244F8C8-5904-4CE4-9334-EB007F5B4477}"/>
    <cellStyle name="Normal 5 3 4 2 2 6 2 3" xfId="25513" xr:uid="{379850DF-D8F4-410F-B5DB-560A3FA989D6}"/>
    <cellStyle name="Normal 5 3 4 2 2 6 3" xfId="11997" xr:uid="{412DDFB1-8162-45D5-A151-8178BB83EF29}"/>
    <cellStyle name="Normal 5 3 4 2 2 6 4" xfId="21296" xr:uid="{043CB693-0450-4D7F-8DD1-F0CD5A0B42C6}"/>
    <cellStyle name="Normal 5 3 4 2 2 7" xfId="4823" xr:uid="{00000000-0005-0000-0000-0000291A0000}"/>
    <cellStyle name="Normal 5 3 4 2 2 7 2" xfId="14149" xr:uid="{4BDC8C0B-90BA-484E-AC9E-4312631FBE7C}"/>
    <cellStyle name="Normal 5 3 4 2 2 7 3" xfId="23448" xr:uid="{CA79A49C-F80B-4370-BA75-067B7B6ABB03}"/>
    <cellStyle name="Normal 5 3 4 2 2 8" xfId="9141" xr:uid="{6B63A6D0-0E60-498B-8E53-451D5144533A}"/>
    <cellStyle name="Normal 5 3 4 2 2 8 2" xfId="18465" xr:uid="{F500F220-9889-4E93-B014-70231544AE57}"/>
    <cellStyle name="Normal 5 3 4 2 2 8 3" xfId="27763" xr:uid="{9DC03BD2-0B53-48E4-8EDE-F66F6A8BB5AF}"/>
    <cellStyle name="Normal 5 3 4 2 2 9" xfId="9932" xr:uid="{B3C0CC86-E585-48E4-8683-D675BBEE8DC4}"/>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48512A2F-B03F-486A-A51A-E3966FC2D6DB}"/>
    <cellStyle name="Normal 5 3 4 2 3 2 2 3" xfId="26005" xr:uid="{BFE8AF02-B969-4534-9718-2DCDA5DDCEFB}"/>
    <cellStyle name="Normal 5 3 4 2 3 2 3" xfId="12489" xr:uid="{31246519-4C47-4E37-8161-28FA09BF455E}"/>
    <cellStyle name="Normal 5 3 4 2 3 2 4" xfId="21788" xr:uid="{3E00F658-9475-4181-A109-9047226A31E8}"/>
    <cellStyle name="Normal 5 3 4 2 3 3" xfId="5235" xr:uid="{00000000-0005-0000-0000-00002D1A0000}"/>
    <cellStyle name="Normal 5 3 4 2 3 3 2" xfId="14561" xr:uid="{E97EDFCA-711D-4C27-A39C-D2F9568E02FD}"/>
    <cellStyle name="Normal 5 3 4 2 3 3 3" xfId="23860" xr:uid="{4D28FF1E-9D39-422B-A328-264A3551D71E}"/>
    <cellStyle name="Normal 5 3 4 2 3 4" xfId="9359" xr:uid="{FAC41203-2BC4-411F-9296-10781BA4F1AB}"/>
    <cellStyle name="Normal 5 3 4 2 3 4 2" xfId="18674" xr:uid="{7F20E664-9DB7-469A-8B74-B9C17CE87C1C}"/>
    <cellStyle name="Normal 5 3 4 2 3 4 3" xfId="27971" xr:uid="{F57C7E6C-6D60-420E-921E-DD5DE85F92F0}"/>
    <cellStyle name="Normal 5 3 4 2 3 5" xfId="10344" xr:uid="{945B81B8-1D7E-47A2-B5CC-D004030D15CB}"/>
    <cellStyle name="Normal 5 3 4 2 3 6" xfId="19643" xr:uid="{9BFE7E14-897D-4D32-A2A8-3945C553B4B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63B5DF67-2545-4999-ACCC-38779B28A7A2}"/>
    <cellStyle name="Normal 5 3 4 2 4 2 2 3" xfId="26418" xr:uid="{44B9BA1E-2F69-413B-B47C-074F00A77027}"/>
    <cellStyle name="Normal 5 3 4 2 4 2 3" xfId="12902" xr:uid="{09565732-23D4-4AE4-97CA-F69D41C41059}"/>
    <cellStyle name="Normal 5 3 4 2 4 2 4" xfId="22201" xr:uid="{6BAEC488-D697-49FD-AA9A-D4F2C180C880}"/>
    <cellStyle name="Normal 5 3 4 2 4 3" xfId="5648" xr:uid="{00000000-0005-0000-0000-0000311A0000}"/>
    <cellStyle name="Normal 5 3 4 2 4 3 2" xfId="14974" xr:uid="{4853A0FC-F9CF-45F9-A3AD-92FAC4262C24}"/>
    <cellStyle name="Normal 5 3 4 2 4 3 3" xfId="24273" xr:uid="{E751C374-E914-4D9E-9B35-06005B472F90}"/>
    <cellStyle name="Normal 5 3 4 2 4 4" xfId="10757" xr:uid="{D5EFB5E9-0ACE-449E-855C-A2445DA3913E}"/>
    <cellStyle name="Normal 5 3 4 2 4 5" xfId="20056" xr:uid="{D64C8550-50B2-4AE9-B6DD-8AB1939EC6F0}"/>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C73462A9-C976-4693-8353-76042D17E0EC}"/>
    <cellStyle name="Normal 5 3 4 2 5 2 2 3" xfId="26831" xr:uid="{C65A03B2-A42C-4847-B1C9-DCD6D884BB00}"/>
    <cellStyle name="Normal 5 3 4 2 5 2 3" xfId="13315" xr:uid="{5F243EF8-710B-4FE7-823D-79C518EEA7F0}"/>
    <cellStyle name="Normal 5 3 4 2 5 2 4" xfId="22614" xr:uid="{5FCDBDA3-C5A1-4CD6-9B53-25A5F4DCA7A3}"/>
    <cellStyle name="Normal 5 3 4 2 5 3" xfId="6061" xr:uid="{00000000-0005-0000-0000-0000351A0000}"/>
    <cellStyle name="Normal 5 3 4 2 5 3 2" xfId="15387" xr:uid="{AFF5CAA9-160A-458F-BC58-18DC2461FBC9}"/>
    <cellStyle name="Normal 5 3 4 2 5 3 3" xfId="24686" xr:uid="{519BE11A-D4A9-4FE3-8903-7F48239F1AF8}"/>
    <cellStyle name="Normal 5 3 4 2 5 4" xfId="11170" xr:uid="{F6CD7DCF-E627-4066-9755-250E82385638}"/>
    <cellStyle name="Normal 5 3 4 2 5 5" xfId="20469" xr:uid="{92A65871-E79D-4AFD-A94A-ABF1E72919B3}"/>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C70BA97F-BAF3-4C74-B99E-E4C8DEF3DE55}"/>
    <cellStyle name="Normal 5 3 4 2 6 2 2 3" xfId="27244" xr:uid="{2A8F77A3-6EF6-4E52-98CD-036EFE6330EE}"/>
    <cellStyle name="Normal 5 3 4 2 6 2 3" xfId="13728" xr:uid="{4A82F84F-94F5-4320-BA79-47E70F66AFAC}"/>
    <cellStyle name="Normal 5 3 4 2 6 2 4" xfId="23027" xr:uid="{0BDE839F-2A28-4874-BD4A-50682AEB838F}"/>
    <cellStyle name="Normal 5 3 4 2 6 3" xfId="6474" xr:uid="{00000000-0005-0000-0000-0000391A0000}"/>
    <cellStyle name="Normal 5 3 4 2 6 3 2" xfId="15800" xr:uid="{75554652-A9B7-4D99-BA96-724C332791DF}"/>
    <cellStyle name="Normal 5 3 4 2 6 3 3" xfId="25099" xr:uid="{8BBE1DCA-7344-41CE-8764-4B6AAAFFAA3B}"/>
    <cellStyle name="Normal 5 3 4 2 6 4" xfId="11583" xr:uid="{4607BCAF-B765-4F5F-B72C-A2CB3B7D39E4}"/>
    <cellStyle name="Normal 5 3 4 2 6 5" xfId="20882" xr:uid="{200A35F7-72E3-4048-843C-7273DF1A655F}"/>
    <cellStyle name="Normal 5 3 4 2 7" xfId="2604" xr:uid="{00000000-0005-0000-0000-00003A1A0000}"/>
    <cellStyle name="Normal 5 3 4 2 7 2" xfId="6887" xr:uid="{00000000-0005-0000-0000-00003B1A0000}"/>
    <cellStyle name="Normal 5 3 4 2 7 2 2" xfId="16213" xr:uid="{EC3966AC-D9EE-4EF7-BA7A-3D41B1BE7E25}"/>
    <cellStyle name="Normal 5 3 4 2 7 2 3" xfId="25512" xr:uid="{A8AD1F94-01BF-4197-90DE-66B3263D9176}"/>
    <cellStyle name="Normal 5 3 4 2 7 3" xfId="11996" xr:uid="{07EEB2CA-8B24-4973-AA9C-85096812DD21}"/>
    <cellStyle name="Normal 5 3 4 2 7 4" xfId="21295" xr:uid="{151CAB68-4937-418C-8283-E16D8526698A}"/>
    <cellStyle name="Normal 5 3 4 2 8" xfId="4822" xr:uid="{00000000-0005-0000-0000-00003C1A0000}"/>
    <cellStyle name="Normal 5 3 4 2 8 2" xfId="14148" xr:uid="{054F6F78-C70D-4BDA-A9C7-7D98869FECE1}"/>
    <cellStyle name="Normal 5 3 4 2 8 3" xfId="23447" xr:uid="{3BB0F2EA-FE81-49CE-AA9A-BFFBBAFC5219}"/>
    <cellStyle name="Normal 5 3 4 2 9" xfId="8934" xr:uid="{D16D0DF9-4576-4200-8972-8AAD50545E0D}"/>
    <cellStyle name="Normal 5 3 4 2 9 2" xfId="18258" xr:uid="{F1CDC3C1-36F9-455C-A49C-C7C694B0F635}"/>
    <cellStyle name="Normal 5 3 4 2 9 3" xfId="27556" xr:uid="{BFF0E3A3-B09A-4B82-9470-04A9085F435A}"/>
    <cellStyle name="Normal 5 3 4 3" xfId="452" xr:uid="{00000000-0005-0000-0000-00003D1A0000}"/>
    <cellStyle name="Normal 5 3 4 3 10" xfId="19232" xr:uid="{6DA597B9-90E4-45B3-BF11-B66D2E627565}"/>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9E24CF04-8FE5-4A5A-BE50-71E11FA04DB4}"/>
    <cellStyle name="Normal 5 3 4 3 2 2 2 3" xfId="26007" xr:uid="{D151C0C5-AF3A-485A-BBF5-7FE6AF33178C}"/>
    <cellStyle name="Normal 5 3 4 3 2 2 3" xfId="12491" xr:uid="{0A3C3718-994E-4B7B-8F2C-399B1C78D66C}"/>
    <cellStyle name="Normal 5 3 4 3 2 2 4" xfId="21790" xr:uid="{25BA1E39-23DD-4153-9D60-3640CA5F0BA3}"/>
    <cellStyle name="Normal 5 3 4 3 2 3" xfId="5237" xr:uid="{00000000-0005-0000-0000-0000411A0000}"/>
    <cellStyle name="Normal 5 3 4 3 2 3 2" xfId="14563" xr:uid="{1CEC9962-B0A8-4D65-A52E-113C3CF54D7A}"/>
    <cellStyle name="Normal 5 3 4 3 2 3 3" xfId="23862" xr:uid="{1D3EA106-9ACE-458A-809F-D765896D1EA3}"/>
    <cellStyle name="Normal 5 3 4 3 2 4" xfId="9463" xr:uid="{1CC38E89-013B-404F-9F3E-11BABC37F656}"/>
    <cellStyle name="Normal 5 3 4 3 2 4 2" xfId="18778" xr:uid="{26A936C4-5D7F-43EB-BEFD-9609D489E95B}"/>
    <cellStyle name="Normal 5 3 4 3 2 4 3" xfId="28075" xr:uid="{4B5A00C8-4129-4C29-9AF4-F6B52E517DD0}"/>
    <cellStyle name="Normal 5 3 4 3 2 5" xfId="10346" xr:uid="{51BE87CD-4E73-4FEA-AFEA-1357A90743D9}"/>
    <cellStyle name="Normal 5 3 4 3 2 6" xfId="19645" xr:uid="{3AE3B266-65EF-4812-90AB-E6A0FB1C30E0}"/>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18FAB4BA-2634-4330-AE74-CDB01533461C}"/>
    <cellStyle name="Normal 5 3 4 3 3 2 2 3" xfId="26420" xr:uid="{F9F592DE-9CFD-4C04-B7D8-F23821E60B13}"/>
    <cellStyle name="Normal 5 3 4 3 3 2 3" xfId="12904" xr:uid="{33878715-E6FD-4DCA-BDAD-7788CC8BF142}"/>
    <cellStyle name="Normal 5 3 4 3 3 2 4" xfId="22203" xr:uid="{17C0F960-5BCD-4CEF-BF89-9D5A94FA6054}"/>
    <cellStyle name="Normal 5 3 4 3 3 3" xfId="5650" xr:uid="{00000000-0005-0000-0000-0000451A0000}"/>
    <cellStyle name="Normal 5 3 4 3 3 3 2" xfId="14976" xr:uid="{8DC0D15A-4A94-48FC-B62F-A27877CD5448}"/>
    <cellStyle name="Normal 5 3 4 3 3 3 3" xfId="24275" xr:uid="{E5288C1A-FF84-4FBF-A66A-482A24D58C31}"/>
    <cellStyle name="Normal 5 3 4 3 3 4" xfId="10759" xr:uid="{6FB8A18E-CCBC-4F5B-832C-395997FC1914}"/>
    <cellStyle name="Normal 5 3 4 3 3 5" xfId="20058" xr:uid="{FE9E4386-8346-4301-89F7-B7B6ECC9D43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32ABFE63-74FA-4D9D-B749-046DFD43E3EC}"/>
    <cellStyle name="Normal 5 3 4 3 4 2 2 3" xfId="26833" xr:uid="{7F41CCC9-4F96-49A7-8956-F994E227512C}"/>
    <cellStyle name="Normal 5 3 4 3 4 2 3" xfId="13317" xr:uid="{29BB6227-8292-4627-8DDF-B5595BEDD5F3}"/>
    <cellStyle name="Normal 5 3 4 3 4 2 4" xfId="22616" xr:uid="{D67E3B42-1B99-446A-B388-BB2B5F8842FC}"/>
    <cellStyle name="Normal 5 3 4 3 4 3" xfId="6063" xr:uid="{00000000-0005-0000-0000-0000491A0000}"/>
    <cellStyle name="Normal 5 3 4 3 4 3 2" xfId="15389" xr:uid="{7BF74738-FE54-4DEB-BDB6-A20143DBA920}"/>
    <cellStyle name="Normal 5 3 4 3 4 3 3" xfId="24688" xr:uid="{423BFCD0-58E2-4784-AA29-72DA9D43B7AA}"/>
    <cellStyle name="Normal 5 3 4 3 4 4" xfId="11172" xr:uid="{219329F6-F960-4747-BF56-B75DAB9993BD}"/>
    <cellStyle name="Normal 5 3 4 3 4 5" xfId="20471" xr:uid="{130AF889-52D6-4A63-8E12-35C433A819DD}"/>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456313A2-9EB8-47BF-A903-263B8FA898F6}"/>
    <cellStyle name="Normal 5 3 4 3 5 2 2 3" xfId="27246" xr:uid="{729D0041-CCAC-4B04-9635-704B4CD537E0}"/>
    <cellStyle name="Normal 5 3 4 3 5 2 3" xfId="13730" xr:uid="{9F39CFDB-EBC5-4701-987E-9495C81CD0B3}"/>
    <cellStyle name="Normal 5 3 4 3 5 2 4" xfId="23029" xr:uid="{287FB376-19F6-424E-9F6A-9A9059297785}"/>
    <cellStyle name="Normal 5 3 4 3 5 3" xfId="6476" xr:uid="{00000000-0005-0000-0000-00004D1A0000}"/>
    <cellStyle name="Normal 5 3 4 3 5 3 2" xfId="15802" xr:uid="{8A08C464-8EF6-4CB7-BA54-53983DC171CF}"/>
    <cellStyle name="Normal 5 3 4 3 5 3 3" xfId="25101" xr:uid="{1B66536C-B286-478A-8764-5C21B9091CE1}"/>
    <cellStyle name="Normal 5 3 4 3 5 4" xfId="11585" xr:uid="{380AB92C-C5A6-4BA5-AFB3-D812BE453FE8}"/>
    <cellStyle name="Normal 5 3 4 3 5 5" xfId="20884" xr:uid="{FE64F1E8-ADD9-42EE-BF35-BB2EC25B4AA8}"/>
    <cellStyle name="Normal 5 3 4 3 6" xfId="2606" xr:uid="{00000000-0005-0000-0000-00004E1A0000}"/>
    <cellStyle name="Normal 5 3 4 3 6 2" xfId="6889" xr:uid="{00000000-0005-0000-0000-00004F1A0000}"/>
    <cellStyle name="Normal 5 3 4 3 6 2 2" xfId="16215" xr:uid="{C514D0C8-6018-4A47-BD33-1E3D3DFE3AFC}"/>
    <cellStyle name="Normal 5 3 4 3 6 2 3" xfId="25514" xr:uid="{27BC5AC2-8392-47B5-BFD1-5D39DFDCE3B9}"/>
    <cellStyle name="Normal 5 3 4 3 6 3" xfId="11998" xr:uid="{AFAA95BF-9460-40E2-A538-DA9AD10F96D1}"/>
    <cellStyle name="Normal 5 3 4 3 6 4" xfId="21297" xr:uid="{9D234353-4D6D-4E38-991C-C749BE84EBC5}"/>
    <cellStyle name="Normal 5 3 4 3 7" xfId="4824" xr:uid="{00000000-0005-0000-0000-0000501A0000}"/>
    <cellStyle name="Normal 5 3 4 3 7 2" xfId="14150" xr:uid="{E0C83F05-CEE4-415A-B73E-CD29BE16A16D}"/>
    <cellStyle name="Normal 5 3 4 3 7 3" xfId="23449" xr:uid="{79344A12-BF7E-4950-8B89-68B6041F45A5}"/>
    <cellStyle name="Normal 5 3 4 3 8" xfId="9038" xr:uid="{15024032-E3C2-4FDD-B674-481D39A836C5}"/>
    <cellStyle name="Normal 5 3 4 3 8 2" xfId="18362" xr:uid="{AAC6248A-C635-47EC-ABC2-D609FFE77787}"/>
    <cellStyle name="Normal 5 3 4 3 8 3" xfId="27660" xr:uid="{320CFBEF-8B49-485F-8B80-3ADB575DB5A3}"/>
    <cellStyle name="Normal 5 3 4 3 9" xfId="9933" xr:uid="{35397151-1AF5-45D7-B531-52439FD2CB85}"/>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E51656FE-816D-442E-8825-571B83B6FD30}"/>
    <cellStyle name="Normal 5 3 4 4 2 2 3" xfId="26004" xr:uid="{9B2E4DFF-9B1A-47D8-A8AD-33C800539364}"/>
    <cellStyle name="Normal 5 3 4 4 2 3" xfId="12488" xr:uid="{0C7DA804-9B5D-4F86-AD18-F33F179F9613}"/>
    <cellStyle name="Normal 5 3 4 4 2 4" xfId="21787" xr:uid="{F2234506-5DDB-427E-8782-02F0C2250FDC}"/>
    <cellStyle name="Normal 5 3 4 4 3" xfId="5234" xr:uid="{00000000-0005-0000-0000-0000541A0000}"/>
    <cellStyle name="Normal 5 3 4 4 3 2" xfId="14560" xr:uid="{B9047117-5A6B-4431-835F-0327F1CE7990}"/>
    <cellStyle name="Normal 5 3 4 4 3 3" xfId="23859" xr:uid="{846063B8-4BDA-40F8-A1CF-24091A607118}"/>
    <cellStyle name="Normal 5 3 4 4 4" xfId="9256" xr:uid="{69A14F57-2B46-4294-8CA5-E21858516C25}"/>
    <cellStyle name="Normal 5 3 4 4 4 2" xfId="18571" xr:uid="{D319C2E4-989A-447D-B084-D9D2C244FFE3}"/>
    <cellStyle name="Normal 5 3 4 4 4 3" xfId="27868" xr:uid="{D297BB4F-800B-4DFC-8352-280E9A7AF930}"/>
    <cellStyle name="Normal 5 3 4 4 5" xfId="10343" xr:uid="{5FD9F61F-42EC-4969-A513-BF15079A70D0}"/>
    <cellStyle name="Normal 5 3 4 4 6" xfId="19642" xr:uid="{D06397D2-0941-4018-83B9-B4E176345569}"/>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B1EDD8CB-A37F-46E9-A521-AAD0C3A7B5E6}"/>
    <cellStyle name="Normal 5 3 4 5 2 2 3" xfId="26417" xr:uid="{BD34E040-60E2-4EF2-8A45-7F6A89FB483B}"/>
    <cellStyle name="Normal 5 3 4 5 2 3" xfId="12901" xr:uid="{4B60B5EF-6A76-4727-AAF9-3ACBFA95B172}"/>
    <cellStyle name="Normal 5 3 4 5 2 4" xfId="22200" xr:uid="{D5488B26-4DBF-4134-AEC2-D00C0EC2BC45}"/>
    <cellStyle name="Normal 5 3 4 5 3" xfId="5647" xr:uid="{00000000-0005-0000-0000-0000581A0000}"/>
    <cellStyle name="Normal 5 3 4 5 3 2" xfId="14973" xr:uid="{C0B13217-32FC-4FB8-BD00-6DC521865CEC}"/>
    <cellStyle name="Normal 5 3 4 5 3 3" xfId="24272" xr:uid="{FC686BC2-77BC-48F4-A577-4D730B4D4A16}"/>
    <cellStyle name="Normal 5 3 4 5 4" xfId="10756" xr:uid="{652ABAE6-9800-406C-96C0-15B33DE283EC}"/>
    <cellStyle name="Normal 5 3 4 5 5" xfId="20055" xr:uid="{0C859068-72A5-46F1-AD4B-CA3FFEFE8CD6}"/>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D3F9E21C-2CFE-4B80-850A-F181413712B9}"/>
    <cellStyle name="Normal 5 3 4 6 2 2 3" xfId="26830" xr:uid="{5C6981CF-B017-478F-956D-0DEC8659B1CD}"/>
    <cellStyle name="Normal 5 3 4 6 2 3" xfId="13314" xr:uid="{84D63CDC-98F9-4F65-A37C-D6793A363D09}"/>
    <cellStyle name="Normal 5 3 4 6 2 4" xfId="22613" xr:uid="{A9F06E37-A996-48DD-973F-DA3ECCA61534}"/>
    <cellStyle name="Normal 5 3 4 6 3" xfId="6060" xr:uid="{00000000-0005-0000-0000-00005C1A0000}"/>
    <cellStyle name="Normal 5 3 4 6 3 2" xfId="15386" xr:uid="{395E835D-5B40-412C-B502-079C8ECD8619}"/>
    <cellStyle name="Normal 5 3 4 6 3 3" xfId="24685" xr:uid="{2192BE2A-F98C-4B99-86B5-EA4CD1D5F72F}"/>
    <cellStyle name="Normal 5 3 4 6 4" xfId="11169" xr:uid="{5400492C-0B6C-49F8-BD9C-0628C1886D8D}"/>
    <cellStyle name="Normal 5 3 4 6 5" xfId="20468" xr:uid="{E7EA791F-19CC-438F-8074-95B4FDFE4F35}"/>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B0F2F668-6B64-48C8-B65E-25A1B0126210}"/>
    <cellStyle name="Normal 5 3 4 7 2 2 3" xfId="27243" xr:uid="{1CE2CC9F-6BD8-4C3C-A17B-729430FC5182}"/>
    <cellStyle name="Normal 5 3 4 7 2 3" xfId="13727" xr:uid="{14943DD8-6581-4EE2-AC1F-86AD18BC5E21}"/>
    <cellStyle name="Normal 5 3 4 7 2 4" xfId="23026" xr:uid="{825CBCF0-9849-45FF-92C2-04AAAE0B9E0F}"/>
    <cellStyle name="Normal 5 3 4 7 3" xfId="6473" xr:uid="{00000000-0005-0000-0000-0000601A0000}"/>
    <cellStyle name="Normal 5 3 4 7 3 2" xfId="15799" xr:uid="{7FFB6F5E-E3B3-4696-B489-D5D38035B26A}"/>
    <cellStyle name="Normal 5 3 4 7 3 3" xfId="25098" xr:uid="{4DD6E97F-57CC-4BBE-B8D9-EABEF7DD0FA2}"/>
    <cellStyle name="Normal 5 3 4 7 4" xfId="11582" xr:uid="{7EAAB63F-BB95-4734-9F20-2AE9BA675BA6}"/>
    <cellStyle name="Normal 5 3 4 7 5" xfId="20881" xr:uid="{FAFA1110-5080-419A-81F1-0E99BED5F3D3}"/>
    <cellStyle name="Normal 5 3 4 8" xfId="2603" xr:uid="{00000000-0005-0000-0000-0000611A0000}"/>
    <cellStyle name="Normal 5 3 4 8 2" xfId="6886" xr:uid="{00000000-0005-0000-0000-0000621A0000}"/>
    <cellStyle name="Normal 5 3 4 8 2 2" xfId="16212" xr:uid="{99B17F31-2162-48A5-8A31-BD18024D9C86}"/>
    <cellStyle name="Normal 5 3 4 8 2 3" xfId="25511" xr:uid="{E68CC315-5006-431C-822E-5AAC19E5FB92}"/>
    <cellStyle name="Normal 5 3 4 8 3" xfId="11995" xr:uid="{A3AF2BA5-9A61-4AF7-88D3-905FEF94E591}"/>
    <cellStyle name="Normal 5 3 4 8 4" xfId="21294" xr:uid="{CBC89AEC-09FF-4DF5-8EA2-52F92705E560}"/>
    <cellStyle name="Normal 5 3 4 9" xfId="4821" xr:uid="{00000000-0005-0000-0000-0000631A0000}"/>
    <cellStyle name="Normal 5 3 4 9 2" xfId="14147" xr:uid="{E93F0862-FD79-4C1A-A86B-3F9B18D3E1B4}"/>
    <cellStyle name="Normal 5 3 4 9 3" xfId="23446" xr:uid="{C8C51520-A81A-4CD2-8F35-1BA58A6C975E}"/>
    <cellStyle name="Normal 5 3 5" xfId="453" xr:uid="{00000000-0005-0000-0000-0000641A0000}"/>
    <cellStyle name="Normal 5 3 5 10" xfId="9934" xr:uid="{77B73F83-BDF0-417B-92FB-BCAEF963C82D}"/>
    <cellStyle name="Normal 5 3 5 11" xfId="19233" xr:uid="{753EFDBE-85A8-4155-92AC-BFEAE059ED16}"/>
    <cellStyle name="Normal 5 3 5 2" xfId="454" xr:uid="{00000000-0005-0000-0000-0000651A0000}"/>
    <cellStyle name="Normal 5 3 5 2 10" xfId="19234" xr:uid="{366C5027-D2C7-4222-BB8A-AF9CFCFF5B8B}"/>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133DAAA1-ABBE-4008-86FA-523077DB799E}"/>
    <cellStyle name="Normal 5 3 5 2 2 2 2 3" xfId="26009" xr:uid="{42DD77AE-EE60-4FD4-905C-21D099E4A982}"/>
    <cellStyle name="Normal 5 3 5 2 2 2 3" xfId="12493" xr:uid="{49C77E8E-596A-4E0F-9575-4E617CCDF0C6}"/>
    <cellStyle name="Normal 5 3 5 2 2 2 4" xfId="21792" xr:uid="{A55B5F78-4BB1-4F02-B0CD-32BF267DAB53}"/>
    <cellStyle name="Normal 5 3 5 2 2 3" xfId="5239" xr:uid="{00000000-0005-0000-0000-0000691A0000}"/>
    <cellStyle name="Normal 5 3 5 2 2 3 2" xfId="14565" xr:uid="{F4031499-E334-4D4D-AAF7-46963CA754F3}"/>
    <cellStyle name="Normal 5 3 5 2 2 3 3" xfId="23864" xr:uid="{9709AE23-1F06-46EB-B694-E3E38D2F0C59}"/>
    <cellStyle name="Normal 5 3 5 2 2 4" xfId="9485" xr:uid="{E88A0512-4544-44F7-B02F-696DEB177F8E}"/>
    <cellStyle name="Normal 5 3 5 2 2 4 2" xfId="18800" xr:uid="{3B87B5D8-B9DA-46E6-99DB-0D71C985EFF7}"/>
    <cellStyle name="Normal 5 3 5 2 2 4 3" xfId="28097" xr:uid="{7AAF6702-73A9-4C8F-BC33-36FC432CB6A7}"/>
    <cellStyle name="Normal 5 3 5 2 2 5" xfId="10348" xr:uid="{168DF00B-5BDB-4945-A2D7-09C5E91B0A52}"/>
    <cellStyle name="Normal 5 3 5 2 2 6" xfId="19647" xr:uid="{925D1708-6C42-43BD-A216-ACAC1986A0DA}"/>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0D974A25-4ED9-4CE8-B45F-892C62E5E266}"/>
    <cellStyle name="Normal 5 3 5 2 3 2 2 3" xfId="26422" xr:uid="{B540329F-7D03-4425-8D4C-F0E03974A191}"/>
    <cellStyle name="Normal 5 3 5 2 3 2 3" xfId="12906" xr:uid="{74FF9183-AA93-44F0-951B-75B918AC6FF9}"/>
    <cellStyle name="Normal 5 3 5 2 3 2 4" xfId="22205" xr:uid="{2D4DA29B-45CB-4933-A03A-9EBE958F6519}"/>
    <cellStyle name="Normal 5 3 5 2 3 3" xfId="5652" xr:uid="{00000000-0005-0000-0000-00006D1A0000}"/>
    <cellStyle name="Normal 5 3 5 2 3 3 2" xfId="14978" xr:uid="{44914C50-F9B8-4CE5-AAA7-C17609E10D68}"/>
    <cellStyle name="Normal 5 3 5 2 3 3 3" xfId="24277" xr:uid="{8A1714B6-FCA2-4C38-819D-26B02408261E}"/>
    <cellStyle name="Normal 5 3 5 2 3 4" xfId="10761" xr:uid="{CBD06B3F-B445-4AEA-964D-C23AE8A50122}"/>
    <cellStyle name="Normal 5 3 5 2 3 5" xfId="20060" xr:uid="{193592E7-50DC-45E5-98E9-CBCFAFA6031F}"/>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7E6E2AAF-43A7-48AE-9AA9-536CA8107826}"/>
    <cellStyle name="Normal 5 3 5 2 4 2 2 3" xfId="26835" xr:uid="{0E0562D7-ABB2-494E-92B5-38AC98054C1B}"/>
    <cellStyle name="Normal 5 3 5 2 4 2 3" xfId="13319" xr:uid="{FE18BE2E-16AA-47A3-95B3-30CB753817D4}"/>
    <cellStyle name="Normal 5 3 5 2 4 2 4" xfId="22618" xr:uid="{C6066BDE-03A3-468D-8B70-5BD13EC8E91D}"/>
    <cellStyle name="Normal 5 3 5 2 4 3" xfId="6065" xr:uid="{00000000-0005-0000-0000-0000711A0000}"/>
    <cellStyle name="Normal 5 3 5 2 4 3 2" xfId="15391" xr:uid="{2BABCE10-3F7C-4392-B01C-0D8EBCF321D1}"/>
    <cellStyle name="Normal 5 3 5 2 4 3 3" xfId="24690" xr:uid="{12BF92FA-D765-427A-8FE9-71EBA2B5D0AB}"/>
    <cellStyle name="Normal 5 3 5 2 4 4" xfId="11174" xr:uid="{D1E1C3AA-DF03-4CC3-B617-33670B041DA6}"/>
    <cellStyle name="Normal 5 3 5 2 4 5" xfId="20473" xr:uid="{3119EF46-9189-441E-9C79-7A6ECBBAFD7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5C7DFBD8-8CB5-426F-BC31-B32D474CD399}"/>
    <cellStyle name="Normal 5 3 5 2 5 2 2 3" xfId="27248" xr:uid="{45DC97FE-EF5E-495A-85D6-B753F14F1FF4}"/>
    <cellStyle name="Normal 5 3 5 2 5 2 3" xfId="13732" xr:uid="{67E609C0-FB8D-4BF6-BD26-476E9F20C144}"/>
    <cellStyle name="Normal 5 3 5 2 5 2 4" xfId="23031" xr:uid="{EB4C09E7-97D5-4A21-999E-97434090A917}"/>
    <cellStyle name="Normal 5 3 5 2 5 3" xfId="6478" xr:uid="{00000000-0005-0000-0000-0000751A0000}"/>
    <cellStyle name="Normal 5 3 5 2 5 3 2" xfId="15804" xr:uid="{D59510AA-9DA6-4D65-B9F3-D189525DF29B}"/>
    <cellStyle name="Normal 5 3 5 2 5 3 3" xfId="25103" xr:uid="{9EE7EBE3-5F88-4433-967C-C808176E4EFC}"/>
    <cellStyle name="Normal 5 3 5 2 5 4" xfId="11587" xr:uid="{FFB30BC1-B817-41AC-9187-905988C65A2F}"/>
    <cellStyle name="Normal 5 3 5 2 5 5" xfId="20886" xr:uid="{02709DEB-777F-4B9F-B37B-C8306066529A}"/>
    <cellStyle name="Normal 5 3 5 2 6" xfId="2608" xr:uid="{00000000-0005-0000-0000-0000761A0000}"/>
    <cellStyle name="Normal 5 3 5 2 6 2" xfId="6891" xr:uid="{00000000-0005-0000-0000-0000771A0000}"/>
    <cellStyle name="Normal 5 3 5 2 6 2 2" xfId="16217" xr:uid="{D57329CA-863B-4F04-9270-C1B53554DD6F}"/>
    <cellStyle name="Normal 5 3 5 2 6 2 3" xfId="25516" xr:uid="{5536449D-863C-479B-AFA5-D98E3ED0A62A}"/>
    <cellStyle name="Normal 5 3 5 2 6 3" xfId="12000" xr:uid="{5B48EDFE-5FCD-4FBE-8862-68F20353517B}"/>
    <cellStyle name="Normal 5 3 5 2 6 4" xfId="21299" xr:uid="{6DF5D5D5-0BA4-4039-9429-A46EA73034BA}"/>
    <cellStyle name="Normal 5 3 5 2 7" xfId="4826" xr:uid="{00000000-0005-0000-0000-0000781A0000}"/>
    <cellStyle name="Normal 5 3 5 2 7 2" xfId="14152" xr:uid="{D3CFE720-582D-4744-980C-E2B5E1EA8759}"/>
    <cellStyle name="Normal 5 3 5 2 7 3" xfId="23451" xr:uid="{910FCF29-C41E-4632-8CD5-B4EEB528035D}"/>
    <cellStyle name="Normal 5 3 5 2 8" xfId="9060" xr:uid="{D76124DC-5753-46E4-97E7-1D76E6E20EEE}"/>
    <cellStyle name="Normal 5 3 5 2 8 2" xfId="18384" xr:uid="{33A87D61-567A-450F-87AA-9CC92AA1ADA2}"/>
    <cellStyle name="Normal 5 3 5 2 8 3" xfId="27682" xr:uid="{7F381E0B-F711-4DE7-8421-E65D16BCBB7E}"/>
    <cellStyle name="Normal 5 3 5 2 9" xfId="9935" xr:uid="{FAE8D4A9-0671-4691-9658-AE57BF881BED}"/>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20B9C43D-A13C-430A-9D9F-3BC7342D44A6}"/>
    <cellStyle name="Normal 5 3 5 3 2 2 3" xfId="26008" xr:uid="{6F561AE6-D3F9-4889-B521-D46E6A605BCC}"/>
    <cellStyle name="Normal 5 3 5 3 2 3" xfId="12492" xr:uid="{9823C161-2616-4E1D-8E2B-1EAC3A94B032}"/>
    <cellStyle name="Normal 5 3 5 3 2 4" xfId="21791" xr:uid="{5B26B90F-C7B0-4759-9C0F-88749D18A345}"/>
    <cellStyle name="Normal 5 3 5 3 3" xfId="5238" xr:uid="{00000000-0005-0000-0000-00007C1A0000}"/>
    <cellStyle name="Normal 5 3 5 3 3 2" xfId="14564" xr:uid="{FBACEB45-B4D8-4D3D-A780-6948F356E79B}"/>
    <cellStyle name="Normal 5 3 5 3 3 3" xfId="23863" xr:uid="{755683D0-FBF3-45B0-A671-6383C9965E16}"/>
    <cellStyle name="Normal 5 3 5 3 4" xfId="9278" xr:uid="{6197750A-97CA-41EF-A67C-63E25EE58E9E}"/>
    <cellStyle name="Normal 5 3 5 3 4 2" xfId="18593" xr:uid="{4FF58391-BD1B-4E16-B90A-7C7436E36D36}"/>
    <cellStyle name="Normal 5 3 5 3 4 3" xfId="27890" xr:uid="{D37D4600-05A9-4A61-8D8C-0741CBBFCDB1}"/>
    <cellStyle name="Normal 5 3 5 3 5" xfId="10347" xr:uid="{70DEEAF5-CD69-45B3-A588-37CE3F0DEE14}"/>
    <cellStyle name="Normal 5 3 5 3 6" xfId="19646" xr:uid="{E16F1958-CA75-45A3-ABB0-5A929A95A9A5}"/>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B8A7B25E-D6EE-458F-A3F3-76BDF0FAB119}"/>
    <cellStyle name="Normal 5 3 5 4 2 2 3" xfId="26421" xr:uid="{AA9301E9-CA36-48DB-A65A-CB9352DEA3BD}"/>
    <cellStyle name="Normal 5 3 5 4 2 3" xfId="12905" xr:uid="{F2AAE8E5-1E18-4E05-A412-D77867D979D5}"/>
    <cellStyle name="Normal 5 3 5 4 2 4" xfId="22204" xr:uid="{A422037C-5FE8-4625-825E-B13995440781}"/>
    <cellStyle name="Normal 5 3 5 4 3" xfId="5651" xr:uid="{00000000-0005-0000-0000-0000801A0000}"/>
    <cellStyle name="Normal 5 3 5 4 3 2" xfId="14977" xr:uid="{A67D8994-63AB-4F9C-8C60-F9B4A44A6800}"/>
    <cellStyle name="Normal 5 3 5 4 3 3" xfId="24276" xr:uid="{01775B82-1CD1-4D5B-A6B8-030751413623}"/>
    <cellStyle name="Normal 5 3 5 4 4" xfId="10760" xr:uid="{FB39F29B-2814-4495-836B-68DFAD773DFF}"/>
    <cellStyle name="Normal 5 3 5 4 5" xfId="20059" xr:uid="{5FF9B57F-879E-45C7-A141-2F515898E3CB}"/>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94D9D77F-69F6-434B-85A0-15C42F83367F}"/>
    <cellStyle name="Normal 5 3 5 5 2 2 3" xfId="26834" xr:uid="{AE3C57B6-0F30-465C-A23F-7DB8DD1C7A18}"/>
    <cellStyle name="Normal 5 3 5 5 2 3" xfId="13318" xr:uid="{60D01DB7-854E-46FF-B23E-CEC0D522D463}"/>
    <cellStyle name="Normal 5 3 5 5 2 4" xfId="22617" xr:uid="{2CB18033-03EF-4018-8EA3-66F053A5E672}"/>
    <cellStyle name="Normal 5 3 5 5 3" xfId="6064" xr:uid="{00000000-0005-0000-0000-0000841A0000}"/>
    <cellStyle name="Normal 5 3 5 5 3 2" xfId="15390" xr:uid="{B0B089F4-239F-4590-A019-8DCA5A1F1773}"/>
    <cellStyle name="Normal 5 3 5 5 3 3" xfId="24689" xr:uid="{25C1DCB1-065D-4594-B2CA-22196FD41FE7}"/>
    <cellStyle name="Normal 5 3 5 5 4" xfId="11173" xr:uid="{09AE3B50-6FA6-49D8-B2CD-633DE6EC49F3}"/>
    <cellStyle name="Normal 5 3 5 5 5" xfId="20472" xr:uid="{F48B955B-801E-412B-97A9-12F31AABC692}"/>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83E64289-DB75-4917-8B9E-AAB9E7122138}"/>
    <cellStyle name="Normal 5 3 5 6 2 2 3" xfId="27247" xr:uid="{F9D38E41-7AD0-4C64-B41D-417237EFBBB0}"/>
    <cellStyle name="Normal 5 3 5 6 2 3" xfId="13731" xr:uid="{02E72792-6E4E-47AD-840C-C2BAC56DA501}"/>
    <cellStyle name="Normal 5 3 5 6 2 4" xfId="23030" xr:uid="{5E93EC3E-589D-443A-87A0-85AF180C7F68}"/>
    <cellStyle name="Normal 5 3 5 6 3" xfId="6477" xr:uid="{00000000-0005-0000-0000-0000881A0000}"/>
    <cellStyle name="Normal 5 3 5 6 3 2" xfId="15803" xr:uid="{B6A712CA-C479-4417-92F7-673DF336B471}"/>
    <cellStyle name="Normal 5 3 5 6 3 3" xfId="25102" xr:uid="{71835F3B-D735-4FE5-92A1-D0522CF9A812}"/>
    <cellStyle name="Normal 5 3 5 6 4" xfId="11586" xr:uid="{5C4AD4F0-479C-4FB0-88C4-8B103413C225}"/>
    <cellStyle name="Normal 5 3 5 6 5" xfId="20885" xr:uid="{91137BFA-9631-4069-9360-5DF83B44FB98}"/>
    <cellStyle name="Normal 5 3 5 7" xfId="2607" xr:uid="{00000000-0005-0000-0000-0000891A0000}"/>
    <cellStyle name="Normal 5 3 5 7 2" xfId="6890" xr:uid="{00000000-0005-0000-0000-00008A1A0000}"/>
    <cellStyle name="Normal 5 3 5 7 2 2" xfId="16216" xr:uid="{860C4071-F10B-43C5-A89B-CB3D846F15AD}"/>
    <cellStyle name="Normal 5 3 5 7 2 3" xfId="25515" xr:uid="{F356AC2E-007F-4C9E-9BF8-3D5C6F8866F4}"/>
    <cellStyle name="Normal 5 3 5 7 3" xfId="11999" xr:uid="{8D61D379-FEDE-4308-A582-1982F6A276D6}"/>
    <cellStyle name="Normal 5 3 5 7 4" xfId="21298" xr:uid="{F1CE1058-ECF9-4C42-9FF5-9DE75BEDB39C}"/>
    <cellStyle name="Normal 5 3 5 8" xfId="4825" xr:uid="{00000000-0005-0000-0000-00008B1A0000}"/>
    <cellStyle name="Normal 5 3 5 8 2" xfId="14151" xr:uid="{5184591E-8C7C-4E3A-B620-95603957A85E}"/>
    <cellStyle name="Normal 5 3 5 8 3" xfId="23450" xr:uid="{14EAA4DE-7E15-4DCB-80DC-9E8DED71B9E3}"/>
    <cellStyle name="Normal 5 3 5 9" xfId="8853" xr:uid="{049FA2CE-003F-47C1-A264-645323886F35}"/>
    <cellStyle name="Normal 5 3 5 9 2" xfId="18177" xr:uid="{8BB215B7-B36C-438D-BCB8-537A95F7EE26}"/>
    <cellStyle name="Normal 5 3 5 9 3" xfId="27475" xr:uid="{13308897-D8AF-4574-9F62-20AEA6BA1824}"/>
    <cellStyle name="Normal 5 3 6" xfId="455" xr:uid="{00000000-0005-0000-0000-00008C1A0000}"/>
    <cellStyle name="Normal 5 3 6 10" xfId="19235" xr:uid="{126B6CAD-9706-4551-8938-BCBFE81AA8EF}"/>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E722C3EF-7C90-4500-8712-53E7C8346E01}"/>
    <cellStyle name="Normal 5 3 6 2 2 2 3" xfId="26010" xr:uid="{BFA5EE42-3AB3-49F6-A50A-24EB0400D9EF}"/>
    <cellStyle name="Normal 5 3 6 2 2 3" xfId="12494" xr:uid="{CF2CC84A-645C-40C9-AAE5-8F0362E9C7DB}"/>
    <cellStyle name="Normal 5 3 6 2 2 4" xfId="21793" xr:uid="{B85DD0CB-A2FF-487A-ACC8-DF991D9B53BE}"/>
    <cellStyle name="Normal 5 3 6 2 3" xfId="5240" xr:uid="{00000000-0005-0000-0000-0000901A0000}"/>
    <cellStyle name="Normal 5 3 6 2 3 2" xfId="14566" xr:uid="{604EA606-6269-4C7F-90C9-CB7B9A66223F}"/>
    <cellStyle name="Normal 5 3 6 2 3 3" xfId="23865" xr:uid="{4FB9D751-3CEA-4CE7-A6C6-346068A264B5}"/>
    <cellStyle name="Normal 5 3 6 2 4" xfId="9394" xr:uid="{040FDD8C-10C9-4583-9A6E-8F76047ECA0C}"/>
    <cellStyle name="Normal 5 3 6 2 4 2" xfId="18709" xr:uid="{6C603455-6A61-4B7E-B106-BD917496A525}"/>
    <cellStyle name="Normal 5 3 6 2 4 3" xfId="28006" xr:uid="{AB049912-4ED8-4C54-8608-D754FDF30F35}"/>
    <cellStyle name="Normal 5 3 6 2 5" xfId="10349" xr:uid="{A4FEDCC2-573D-4B12-A49C-4990B5765197}"/>
    <cellStyle name="Normal 5 3 6 2 6" xfId="19648" xr:uid="{4A872F25-1598-4D2A-94F1-2035C55DF979}"/>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B53713CC-2F12-4786-B05B-F36BDC1A2A47}"/>
    <cellStyle name="Normal 5 3 6 3 2 2 3" xfId="26423" xr:uid="{F6CDCC0B-B8FD-40A6-8126-52D63080642F}"/>
    <cellStyle name="Normal 5 3 6 3 2 3" xfId="12907" xr:uid="{74A6AA28-583A-43A2-9F69-7D03AB8410FB}"/>
    <cellStyle name="Normal 5 3 6 3 2 4" xfId="22206" xr:uid="{7CAE3363-5B9D-4370-8663-46AB798D06AD}"/>
    <cellStyle name="Normal 5 3 6 3 3" xfId="5653" xr:uid="{00000000-0005-0000-0000-0000941A0000}"/>
    <cellStyle name="Normal 5 3 6 3 3 2" xfId="14979" xr:uid="{4AD14869-55F6-430C-9326-EDF07595A98C}"/>
    <cellStyle name="Normal 5 3 6 3 3 3" xfId="24278" xr:uid="{69FA8BEC-A265-48AC-AB0F-2A12E2B51C7F}"/>
    <cellStyle name="Normal 5 3 6 3 4" xfId="10762" xr:uid="{1E57C0A5-3D23-42D9-8E0B-D7FC83C7D88D}"/>
    <cellStyle name="Normal 5 3 6 3 5" xfId="20061" xr:uid="{FC41F6F9-E794-4323-80B4-B752FC354379}"/>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E4797D8C-CE6D-4649-9CFE-E087B6FB54F5}"/>
    <cellStyle name="Normal 5 3 6 4 2 2 3" xfId="26836" xr:uid="{7F4C081F-77D7-44F9-8B5D-E052F72146EF}"/>
    <cellStyle name="Normal 5 3 6 4 2 3" xfId="13320" xr:uid="{A0EAC123-E03A-4232-A07D-251D61736637}"/>
    <cellStyle name="Normal 5 3 6 4 2 4" xfId="22619" xr:uid="{13B349BD-408A-4147-A6BA-0143A56BA0BA}"/>
    <cellStyle name="Normal 5 3 6 4 3" xfId="6066" xr:uid="{00000000-0005-0000-0000-0000981A0000}"/>
    <cellStyle name="Normal 5 3 6 4 3 2" xfId="15392" xr:uid="{63F64B6A-9C22-4EFD-9D40-3E3270F4F884}"/>
    <cellStyle name="Normal 5 3 6 4 3 3" xfId="24691" xr:uid="{955B4B8D-2C7E-4FA2-84F5-8D2A607BF562}"/>
    <cellStyle name="Normal 5 3 6 4 4" xfId="11175" xr:uid="{85CACF7F-D89F-42CD-8A42-47987029512F}"/>
    <cellStyle name="Normal 5 3 6 4 5" xfId="20474" xr:uid="{20A90AFF-A69F-40B2-AC09-B69A7B88640E}"/>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987FFAF0-87C3-4AF1-ABFB-65A85AD9D976}"/>
    <cellStyle name="Normal 5 3 6 5 2 2 3" xfId="27249" xr:uid="{E3E76035-69B8-4C1D-A394-23F9F1E35F38}"/>
    <cellStyle name="Normal 5 3 6 5 2 3" xfId="13733" xr:uid="{6B24F7AC-42E8-499E-9387-492E2800828E}"/>
    <cellStyle name="Normal 5 3 6 5 2 4" xfId="23032" xr:uid="{7F87C2A6-FB8E-4253-94DB-945F8F9B289E}"/>
    <cellStyle name="Normal 5 3 6 5 3" xfId="6479" xr:uid="{00000000-0005-0000-0000-00009C1A0000}"/>
    <cellStyle name="Normal 5 3 6 5 3 2" xfId="15805" xr:uid="{0A7356D9-783A-48BB-A034-719F66E1F6A5}"/>
    <cellStyle name="Normal 5 3 6 5 3 3" xfId="25104" xr:uid="{06522BC5-9C52-4A74-9846-78DB7F125760}"/>
    <cellStyle name="Normal 5 3 6 5 4" xfId="11588" xr:uid="{031D8F6F-1281-4DE4-B1DA-B27C962D6B15}"/>
    <cellStyle name="Normal 5 3 6 5 5" xfId="20887" xr:uid="{2DA2ED91-800A-401C-903F-F00C5177B6AF}"/>
    <cellStyle name="Normal 5 3 6 6" xfId="2609" xr:uid="{00000000-0005-0000-0000-00009D1A0000}"/>
    <cellStyle name="Normal 5 3 6 6 2" xfId="6892" xr:uid="{00000000-0005-0000-0000-00009E1A0000}"/>
    <cellStyle name="Normal 5 3 6 6 2 2" xfId="16218" xr:uid="{CEDF3975-08DA-4F79-8FF7-92C0978CFD14}"/>
    <cellStyle name="Normal 5 3 6 6 2 3" xfId="25517" xr:uid="{65C7F179-3935-42C2-B04A-593969A21933}"/>
    <cellStyle name="Normal 5 3 6 6 3" xfId="12001" xr:uid="{17A01604-46FE-424D-AA68-01F7C60F5B2B}"/>
    <cellStyle name="Normal 5 3 6 6 4" xfId="21300" xr:uid="{5558E261-2ED5-4373-9311-4DF1CE78FDE3}"/>
    <cellStyle name="Normal 5 3 6 7" xfId="4827" xr:uid="{00000000-0005-0000-0000-00009F1A0000}"/>
    <cellStyle name="Normal 5 3 6 7 2" xfId="14153" xr:uid="{0901E06F-DE27-4D84-A057-819EA3969288}"/>
    <cellStyle name="Normal 5 3 6 7 3" xfId="23452" xr:uid="{C23516C7-053B-490D-9DF5-95C0E14D4AF6}"/>
    <cellStyle name="Normal 5 3 6 8" xfId="8969" xr:uid="{FA7ABEAF-BFEA-4D3E-A53B-E23F3117BFD8}"/>
    <cellStyle name="Normal 5 3 6 8 2" xfId="18293" xr:uid="{FE999261-205D-4E7D-87CD-0D49BD63F5E9}"/>
    <cellStyle name="Normal 5 3 6 8 3" xfId="27591" xr:uid="{6A3D416F-ECF8-4722-A925-38B416BE71EB}"/>
    <cellStyle name="Normal 5 3 6 9" xfId="9936" xr:uid="{74AD7AD2-485F-49A9-8AB8-4E3123886344}"/>
    <cellStyle name="Normal 5 3 7" xfId="913" xr:uid="{00000000-0005-0000-0000-0000A01A0000}"/>
    <cellStyle name="Normal 5 3 7 2" xfId="3148" xr:uid="{00000000-0005-0000-0000-0000A11A0000}"/>
    <cellStyle name="Normal 5 3 7 2 2" xfId="7370" xr:uid="{00000000-0005-0000-0000-0000A21A0000}"/>
    <cellStyle name="Normal 5 3 7 2 2 2" xfId="16696" xr:uid="{A7903857-246F-4D94-B152-0329B01DB43A}"/>
    <cellStyle name="Normal 5 3 7 2 2 3" xfId="25995" xr:uid="{DCAC49AF-0361-4BD5-8ED2-805082F3ABB5}"/>
    <cellStyle name="Normal 5 3 7 2 3" xfId="12479" xr:uid="{D057B182-546F-4EAC-9CC0-723CC5161520}"/>
    <cellStyle name="Normal 5 3 7 2 4" xfId="21778" xr:uid="{8590E0FB-D601-4548-AD4B-80C5759EBE41}"/>
    <cellStyle name="Normal 5 3 7 3" xfId="5225" xr:uid="{00000000-0005-0000-0000-0000A31A0000}"/>
    <cellStyle name="Normal 5 3 7 3 2" xfId="14551" xr:uid="{9A615B1F-B8CF-4C86-8B96-802DCDC3A798}"/>
    <cellStyle name="Normal 5 3 7 3 3" xfId="23850" xr:uid="{489D15B6-1B5C-4A0C-B144-6E56B1C9E6C8}"/>
    <cellStyle name="Normal 5 3 7 4" xfId="9172" xr:uid="{5609ABAF-B913-41DD-9CCE-B28C6A880815}"/>
    <cellStyle name="Normal 5 3 7 4 2" xfId="18490" xr:uid="{98F3BE50-B076-42A0-89F5-C42BDD65A64C}"/>
    <cellStyle name="Normal 5 3 7 4 3" xfId="27787" xr:uid="{A23892C7-9379-468F-960B-E8526B5471AB}"/>
    <cellStyle name="Normal 5 3 7 5" xfId="10334" xr:uid="{8123EA95-A245-467D-97B0-4C87E622E497}"/>
    <cellStyle name="Normal 5 3 7 6" xfId="19633" xr:uid="{1ED01753-1527-4505-9646-CC94EE14783A}"/>
    <cellStyle name="Normal 5 3 8" xfId="1331" xr:uid="{00000000-0005-0000-0000-0000A41A0000}"/>
    <cellStyle name="Normal 5 3 8 2" xfId="3561" xr:uid="{00000000-0005-0000-0000-0000A51A0000}"/>
    <cellStyle name="Normal 5 3 8 2 2" xfId="7783" xr:uid="{00000000-0005-0000-0000-0000A61A0000}"/>
    <cellStyle name="Normal 5 3 8 2 2 2" xfId="17109" xr:uid="{79C45C1F-1D67-4635-8259-246BD126F011}"/>
    <cellStyle name="Normal 5 3 8 2 2 3" xfId="26408" xr:uid="{908B307C-A182-4508-BC44-F2D8243434E2}"/>
    <cellStyle name="Normal 5 3 8 2 3" xfId="12892" xr:uid="{A7506B1E-B64C-4873-BA63-BADB290E53EF}"/>
    <cellStyle name="Normal 5 3 8 2 4" xfId="22191" xr:uid="{96BA580A-7244-477E-B445-B2A5F8184FE0}"/>
    <cellStyle name="Normal 5 3 8 3" xfId="5638" xr:uid="{00000000-0005-0000-0000-0000A71A0000}"/>
    <cellStyle name="Normal 5 3 8 3 2" xfId="14964" xr:uid="{23E05D7A-11D2-45B7-8D35-F79A3585FD4E}"/>
    <cellStyle name="Normal 5 3 8 3 3" xfId="24263" xr:uid="{0EF62574-A7E0-4C78-A73B-41B5A547884E}"/>
    <cellStyle name="Normal 5 3 8 4" xfId="10747" xr:uid="{EB346B4A-E137-410B-ADA3-B2344BBFA4EA}"/>
    <cellStyle name="Normal 5 3 8 5" xfId="20046" xr:uid="{6F725CB3-6DA6-4B06-9929-EAA02CAB6FF9}"/>
    <cellStyle name="Normal 5 3 9" xfId="1744" xr:uid="{00000000-0005-0000-0000-0000A81A0000}"/>
    <cellStyle name="Normal 5 3 9 2" xfId="3974" xr:uid="{00000000-0005-0000-0000-0000A91A0000}"/>
    <cellStyle name="Normal 5 3 9 2 2" xfId="8196" xr:uid="{00000000-0005-0000-0000-0000AA1A0000}"/>
    <cellStyle name="Normal 5 3 9 2 2 2" xfId="17522" xr:uid="{2790E63F-C1D6-45A0-A9A1-AB017F88947E}"/>
    <cellStyle name="Normal 5 3 9 2 2 3" xfId="26821" xr:uid="{CBEB3B5C-1014-469B-93FE-C99C561F821F}"/>
    <cellStyle name="Normal 5 3 9 2 3" xfId="13305" xr:uid="{D1134024-9CBE-4439-856C-24F7C487BE69}"/>
    <cellStyle name="Normal 5 3 9 2 4" xfId="22604" xr:uid="{1C773648-EDDA-4ECB-B5B9-9E5E5C701C90}"/>
    <cellStyle name="Normal 5 3 9 3" xfId="6051" xr:uid="{00000000-0005-0000-0000-0000AB1A0000}"/>
    <cellStyle name="Normal 5 3 9 3 2" xfId="15377" xr:uid="{0C878B3F-0C95-40B9-8AA7-6DD618591733}"/>
    <cellStyle name="Normal 5 3 9 3 3" xfId="24676" xr:uid="{3D3620E8-BC29-40D3-B282-5B31AD5A4D27}"/>
    <cellStyle name="Normal 5 3 9 4" xfId="11160" xr:uid="{29572F27-EBB9-414C-B08F-E0ACE70916CF}"/>
    <cellStyle name="Normal 5 3 9 5" xfId="20459" xr:uid="{D2618B6A-0EAB-40D9-A178-59DEC8BE0765}"/>
    <cellStyle name="Normal 5 4" xfId="456" xr:uid="{00000000-0005-0000-0000-0000AC1A0000}"/>
    <cellStyle name="Normal 5 4 10" xfId="4828" xr:uid="{00000000-0005-0000-0000-0000AD1A0000}"/>
    <cellStyle name="Normal 5 4 10 2" xfId="14154" xr:uid="{CF56C35C-A288-4C6B-8832-BFCFF0C0F0B2}"/>
    <cellStyle name="Normal 5 4 10 3" xfId="23453" xr:uid="{66CBC335-CD0A-4238-A07C-97C54676DF5E}"/>
    <cellStyle name="Normal 5 4 11" xfId="8773" xr:uid="{50472F80-32FD-428C-B078-8DE338D6CA16}"/>
    <cellStyle name="Normal 5 4 11 2" xfId="18097" xr:uid="{E9756769-6B2F-4892-8BF7-4E94E9042BCC}"/>
    <cellStyle name="Normal 5 4 11 3" xfId="27395" xr:uid="{D118F58F-08B6-4966-BB4F-7478CE276204}"/>
    <cellStyle name="Normal 5 4 12" xfId="9937" xr:uid="{20698B33-4371-42A6-AF31-D08BCEE728E2}"/>
    <cellStyle name="Normal 5 4 13" xfId="19236" xr:uid="{9E632364-F9A2-477D-B4C9-B7485DD5F4AB}"/>
    <cellStyle name="Normal 5 4 2" xfId="457" xr:uid="{00000000-0005-0000-0000-0000AE1A0000}"/>
    <cellStyle name="Normal 5 4 2 10" xfId="8833" xr:uid="{6EA55230-8E5B-4EF6-B83C-8DF4202F8C31}"/>
    <cellStyle name="Normal 5 4 2 10 2" xfId="18157" xr:uid="{9AEE349B-AB37-4621-9569-40408A0BCE9B}"/>
    <cellStyle name="Normal 5 4 2 10 3" xfId="27455" xr:uid="{FC2BD98E-DDF2-4805-ADAF-B8A168866AEA}"/>
    <cellStyle name="Normal 5 4 2 11" xfId="9938" xr:uid="{B0FA25A2-4590-4EA5-96F5-D34428B6673B}"/>
    <cellStyle name="Normal 5 4 2 12" xfId="19237" xr:uid="{32F8142F-0A64-4CA0-81CE-E11F4CDDCE11}"/>
    <cellStyle name="Normal 5 4 2 2" xfId="458" xr:uid="{00000000-0005-0000-0000-0000AF1A0000}"/>
    <cellStyle name="Normal 5 4 2 2 10" xfId="9939" xr:uid="{67F31FF1-541B-439F-A23C-319D64152DF6}"/>
    <cellStyle name="Normal 5 4 2 2 11" xfId="19238" xr:uid="{3492AEC7-24D6-4C71-A6E2-4C739F35D088}"/>
    <cellStyle name="Normal 5 4 2 2 2" xfId="459" xr:uid="{00000000-0005-0000-0000-0000B01A0000}"/>
    <cellStyle name="Normal 5 4 2 2 2 10" xfId="19239" xr:uid="{42636F49-78CB-4F17-909F-F55ACD32AFBC}"/>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A6B428CF-C7C4-4739-9A61-56BEDD310E9A}"/>
    <cellStyle name="Normal 5 4 2 2 2 2 2 2 3" xfId="26014" xr:uid="{84ADE776-053B-488F-A748-E799697B66B1}"/>
    <cellStyle name="Normal 5 4 2 2 2 2 2 3" xfId="12498" xr:uid="{BF346AA4-0F7E-4463-8B99-1D1E01E83648}"/>
    <cellStyle name="Normal 5 4 2 2 2 2 2 4" xfId="21797" xr:uid="{4B66E7EF-2F39-4ADA-85E1-B038DE249B03}"/>
    <cellStyle name="Normal 5 4 2 2 2 2 3" xfId="5244" xr:uid="{00000000-0005-0000-0000-0000B41A0000}"/>
    <cellStyle name="Normal 5 4 2 2 2 2 3 2" xfId="14570" xr:uid="{ECD6E7A8-D50A-44C5-96D7-6824885EF69E}"/>
    <cellStyle name="Normal 5 4 2 2 2 2 3 3" xfId="23869" xr:uid="{A6C43EF7-E6D8-4B82-9C68-E18FF8576EF6}"/>
    <cellStyle name="Normal 5 4 2 2 2 2 4" xfId="9568" xr:uid="{C9922021-D284-4633-BD4E-F2DB1197482A}"/>
    <cellStyle name="Normal 5 4 2 2 2 2 4 2" xfId="18883" xr:uid="{ED1642AD-169E-4C84-B07C-00942C9E5EDD}"/>
    <cellStyle name="Normal 5 4 2 2 2 2 4 3" xfId="28180" xr:uid="{17B0080A-14FA-4EBC-B9B8-B5CFF56C790D}"/>
    <cellStyle name="Normal 5 4 2 2 2 2 5" xfId="10353" xr:uid="{A08038ED-39D7-49FA-BFCC-81A0B76C3949}"/>
    <cellStyle name="Normal 5 4 2 2 2 2 6" xfId="19652" xr:uid="{5DA5CC4E-387B-46A3-80C9-13658D9C0536}"/>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E1A06E04-68FC-457C-91FE-A159424F0BCF}"/>
    <cellStyle name="Normal 5 4 2 2 2 3 2 2 3" xfId="26427" xr:uid="{C6D6D0BA-93CB-4256-945C-B06110FF6567}"/>
    <cellStyle name="Normal 5 4 2 2 2 3 2 3" xfId="12911" xr:uid="{79AA6438-41EF-47F5-ADCC-1F29F068C6ED}"/>
    <cellStyle name="Normal 5 4 2 2 2 3 2 4" xfId="22210" xr:uid="{2C7C443C-7FC5-4D24-8DF8-108D440C28FA}"/>
    <cellStyle name="Normal 5 4 2 2 2 3 3" xfId="5657" xr:uid="{00000000-0005-0000-0000-0000B81A0000}"/>
    <cellStyle name="Normal 5 4 2 2 2 3 3 2" xfId="14983" xr:uid="{C0F20B4C-B001-43CA-8903-A6F97591B03F}"/>
    <cellStyle name="Normal 5 4 2 2 2 3 3 3" xfId="24282" xr:uid="{40281A17-4898-4766-B74D-060396230ADF}"/>
    <cellStyle name="Normal 5 4 2 2 2 3 4" xfId="10766" xr:uid="{1F4ACCD3-B6CF-42A0-A8C6-E633F269C375}"/>
    <cellStyle name="Normal 5 4 2 2 2 3 5" xfId="20065" xr:uid="{C560DDA1-C74C-410C-B033-C860D064CF01}"/>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6140E103-394B-4F08-8FB3-7330B1930706}"/>
    <cellStyle name="Normal 5 4 2 2 2 4 2 2 3" xfId="26840" xr:uid="{FC28FF3F-C561-4C6D-8190-349C1359B854}"/>
    <cellStyle name="Normal 5 4 2 2 2 4 2 3" xfId="13324" xr:uid="{D79B47D0-A164-457E-A2EF-7E4AFB4C2771}"/>
    <cellStyle name="Normal 5 4 2 2 2 4 2 4" xfId="22623" xr:uid="{0329BE12-AE46-4B02-A57C-7A6A89849E7C}"/>
    <cellStyle name="Normal 5 4 2 2 2 4 3" xfId="6070" xr:uid="{00000000-0005-0000-0000-0000BC1A0000}"/>
    <cellStyle name="Normal 5 4 2 2 2 4 3 2" xfId="15396" xr:uid="{4C2D00B8-2C84-4BD1-A642-7526B68A1516}"/>
    <cellStyle name="Normal 5 4 2 2 2 4 3 3" xfId="24695" xr:uid="{34A3BA77-9309-41C9-82EB-2F70F7009253}"/>
    <cellStyle name="Normal 5 4 2 2 2 4 4" xfId="11179" xr:uid="{14C39BBF-6FBC-4130-B2E7-AC126C528BCF}"/>
    <cellStyle name="Normal 5 4 2 2 2 4 5" xfId="20478" xr:uid="{5133088D-E193-4683-BA32-3013FF34C0F2}"/>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42C78192-7B8B-4C9A-88C5-6D3DAC5D21B9}"/>
    <cellStyle name="Normal 5 4 2 2 2 5 2 2 3" xfId="27253" xr:uid="{363B0774-4FC9-4FFA-9954-D2EBF13E33F9}"/>
    <cellStyle name="Normal 5 4 2 2 2 5 2 3" xfId="13737" xr:uid="{2E1713FB-511B-47EB-A50F-9913C2B9D55D}"/>
    <cellStyle name="Normal 5 4 2 2 2 5 2 4" xfId="23036" xr:uid="{0C29F69F-164C-4730-BC9F-C1AC4C6DFC5D}"/>
    <cellStyle name="Normal 5 4 2 2 2 5 3" xfId="6483" xr:uid="{00000000-0005-0000-0000-0000C01A0000}"/>
    <cellStyle name="Normal 5 4 2 2 2 5 3 2" xfId="15809" xr:uid="{E7F3A175-828E-4D54-AE54-D2FA223D7252}"/>
    <cellStyle name="Normal 5 4 2 2 2 5 3 3" xfId="25108" xr:uid="{7E99DE56-9DB2-423D-95E6-A16DD2CBB4DD}"/>
    <cellStyle name="Normal 5 4 2 2 2 5 4" xfId="11592" xr:uid="{55BD45C8-D7D1-4E56-B3EB-C8FC5D0D44DC}"/>
    <cellStyle name="Normal 5 4 2 2 2 5 5" xfId="20891" xr:uid="{F82783B6-D943-488A-B84D-F4D25B983D5F}"/>
    <cellStyle name="Normal 5 4 2 2 2 6" xfId="2613" xr:uid="{00000000-0005-0000-0000-0000C11A0000}"/>
    <cellStyle name="Normal 5 4 2 2 2 6 2" xfId="6896" xr:uid="{00000000-0005-0000-0000-0000C21A0000}"/>
    <cellStyle name="Normal 5 4 2 2 2 6 2 2" xfId="16222" xr:uid="{A3A47ACC-31A7-4FE7-85F1-1EC5832200F5}"/>
    <cellStyle name="Normal 5 4 2 2 2 6 2 3" xfId="25521" xr:uid="{B6BA9F0B-D82C-40C1-A8D9-02404974EB4D}"/>
    <cellStyle name="Normal 5 4 2 2 2 6 3" xfId="12005" xr:uid="{E35F6BB3-C3CA-4231-9E58-6FF40861DB8B}"/>
    <cellStyle name="Normal 5 4 2 2 2 6 4" xfId="21304" xr:uid="{01C58AA7-0F7F-4D16-9BBF-E1F798CFD9FA}"/>
    <cellStyle name="Normal 5 4 2 2 2 7" xfId="4831" xr:uid="{00000000-0005-0000-0000-0000C31A0000}"/>
    <cellStyle name="Normal 5 4 2 2 2 7 2" xfId="14157" xr:uid="{2B8ADB19-E492-480A-8931-BFA6A409C875}"/>
    <cellStyle name="Normal 5 4 2 2 2 7 3" xfId="23456" xr:uid="{4A6D2E18-5C7E-4761-891E-297F0AE21DE3}"/>
    <cellStyle name="Normal 5 4 2 2 2 8" xfId="9143" xr:uid="{C8F15FA9-FDFE-4358-95A8-17B14299B14C}"/>
    <cellStyle name="Normal 5 4 2 2 2 8 2" xfId="18467" xr:uid="{A0F0162E-6727-4A27-A716-90538E1FB9CC}"/>
    <cellStyle name="Normal 5 4 2 2 2 8 3" xfId="27765" xr:uid="{D03ACFF6-ADD1-45B1-B65D-F838C96B16B4}"/>
    <cellStyle name="Normal 5 4 2 2 2 9" xfId="9940" xr:uid="{C134A0EE-7402-4CF2-BC4D-111BD014B7D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CA26A0F3-0FEC-41DD-883C-FCD8B04876AA}"/>
    <cellStyle name="Normal 5 4 2 2 3 2 2 3" xfId="26013" xr:uid="{C079DC5C-0246-439D-B798-93775286DD55}"/>
    <cellStyle name="Normal 5 4 2 2 3 2 3" xfId="12497" xr:uid="{99E25A2B-3EC5-4162-98BD-DB7FD2F0185F}"/>
    <cellStyle name="Normal 5 4 2 2 3 2 4" xfId="21796" xr:uid="{BEA9A10B-8BE4-4056-A099-DA1DF36B4AA9}"/>
    <cellStyle name="Normal 5 4 2 2 3 3" xfId="5243" xr:uid="{00000000-0005-0000-0000-0000C71A0000}"/>
    <cellStyle name="Normal 5 4 2 2 3 3 2" xfId="14569" xr:uid="{991FF621-ED6C-4962-A062-ECDEEE3E7758}"/>
    <cellStyle name="Normal 5 4 2 2 3 3 3" xfId="23868" xr:uid="{F47D8059-8B6D-48DB-B87A-229CD0701368}"/>
    <cellStyle name="Normal 5 4 2 2 3 4" xfId="9361" xr:uid="{421F0FC8-8E8F-498F-BD31-B00CB58D5B43}"/>
    <cellStyle name="Normal 5 4 2 2 3 4 2" xfId="18676" xr:uid="{E4E883CF-9CB8-44C9-93E7-1C9D52354B2E}"/>
    <cellStyle name="Normal 5 4 2 2 3 4 3" xfId="27973" xr:uid="{C9F7E100-F156-4010-B428-FC4607320693}"/>
    <cellStyle name="Normal 5 4 2 2 3 5" xfId="10352" xr:uid="{6C709D94-42B8-419C-8AF4-C2DA24A937C7}"/>
    <cellStyle name="Normal 5 4 2 2 3 6" xfId="19651" xr:uid="{90FDF905-EA1C-4886-B122-46C6194D2CAB}"/>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4678D9FD-B8FB-4911-912F-CC00A99690E7}"/>
    <cellStyle name="Normal 5 4 2 2 4 2 2 3" xfId="26426" xr:uid="{26971806-A918-49AA-9BF3-7DB091BFF249}"/>
    <cellStyle name="Normal 5 4 2 2 4 2 3" xfId="12910" xr:uid="{FB20B5D4-AFF5-4F08-A53B-9F03C480FE69}"/>
    <cellStyle name="Normal 5 4 2 2 4 2 4" xfId="22209" xr:uid="{092EAC65-61A5-4D9E-A21E-4328D847A6D9}"/>
    <cellStyle name="Normal 5 4 2 2 4 3" xfId="5656" xr:uid="{00000000-0005-0000-0000-0000CB1A0000}"/>
    <cellStyle name="Normal 5 4 2 2 4 3 2" xfId="14982" xr:uid="{815F1861-AEDB-4A62-9BF3-894016E37178}"/>
    <cellStyle name="Normal 5 4 2 2 4 3 3" xfId="24281" xr:uid="{F84C9889-9322-49C5-A628-183CD3F7435E}"/>
    <cellStyle name="Normal 5 4 2 2 4 4" xfId="10765" xr:uid="{4BFAD3FC-BF29-4218-8A28-97906738B9EE}"/>
    <cellStyle name="Normal 5 4 2 2 4 5" xfId="20064" xr:uid="{94A23AC3-26B4-4958-9F72-1CDC88F19944}"/>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1E4B2A96-5A63-467F-8579-65EEF5A80AFB}"/>
    <cellStyle name="Normal 5 4 2 2 5 2 2 3" xfId="26839" xr:uid="{A94DBBC5-A405-4504-A204-0AA863AFDF01}"/>
    <cellStyle name="Normal 5 4 2 2 5 2 3" xfId="13323" xr:uid="{75EDB21C-9437-4890-84AF-61D3B58F7AF3}"/>
    <cellStyle name="Normal 5 4 2 2 5 2 4" xfId="22622" xr:uid="{B2F434C9-E6FA-42DA-B613-36C932F0D321}"/>
    <cellStyle name="Normal 5 4 2 2 5 3" xfId="6069" xr:uid="{00000000-0005-0000-0000-0000CF1A0000}"/>
    <cellStyle name="Normal 5 4 2 2 5 3 2" xfId="15395" xr:uid="{9F912E1A-9138-4C5B-8EBF-CBC6A0C5E128}"/>
    <cellStyle name="Normal 5 4 2 2 5 3 3" xfId="24694" xr:uid="{2041DE1E-9CC3-4855-9546-F58E476497D0}"/>
    <cellStyle name="Normal 5 4 2 2 5 4" xfId="11178" xr:uid="{634A9232-2A89-4559-8BB7-D768FC85A4B5}"/>
    <cellStyle name="Normal 5 4 2 2 5 5" xfId="20477" xr:uid="{0793B6FE-55E6-4996-9077-27658DEC23A5}"/>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BF836E1E-80FE-4B2A-AB7C-531CECB11D32}"/>
    <cellStyle name="Normal 5 4 2 2 6 2 2 3" xfId="27252" xr:uid="{E3361335-06EC-4942-B36D-CD0446E35C44}"/>
    <cellStyle name="Normal 5 4 2 2 6 2 3" xfId="13736" xr:uid="{6E43EBFE-5376-4120-A4D7-629BD5E8EBE5}"/>
    <cellStyle name="Normal 5 4 2 2 6 2 4" xfId="23035" xr:uid="{655E7B85-1AD7-4EC2-8B56-7E040016DBFB}"/>
    <cellStyle name="Normal 5 4 2 2 6 3" xfId="6482" xr:uid="{00000000-0005-0000-0000-0000D31A0000}"/>
    <cellStyle name="Normal 5 4 2 2 6 3 2" xfId="15808" xr:uid="{87C39667-37EB-446D-AB7E-55ADD39DBA3A}"/>
    <cellStyle name="Normal 5 4 2 2 6 3 3" xfId="25107" xr:uid="{0B0AA46A-01A1-4301-8372-A843E8365C72}"/>
    <cellStyle name="Normal 5 4 2 2 6 4" xfId="11591" xr:uid="{C556DF71-6479-4E06-B50F-EDEEA2B2FF01}"/>
    <cellStyle name="Normal 5 4 2 2 6 5" xfId="20890" xr:uid="{8681275D-3B3F-4479-A224-74B0E3369E96}"/>
    <cellStyle name="Normal 5 4 2 2 7" xfId="2612" xr:uid="{00000000-0005-0000-0000-0000D41A0000}"/>
    <cellStyle name="Normal 5 4 2 2 7 2" xfId="6895" xr:uid="{00000000-0005-0000-0000-0000D51A0000}"/>
    <cellStyle name="Normal 5 4 2 2 7 2 2" xfId="16221" xr:uid="{AA5EE6DD-02F3-4C42-A866-653641FA8900}"/>
    <cellStyle name="Normal 5 4 2 2 7 2 3" xfId="25520" xr:uid="{8AB64238-D19A-4442-B6BC-8B1FB537200E}"/>
    <cellStyle name="Normal 5 4 2 2 7 3" xfId="12004" xr:uid="{5A741F56-7526-40F6-908F-5109BFDBBA15}"/>
    <cellStyle name="Normal 5 4 2 2 7 4" xfId="21303" xr:uid="{2821AA57-25EF-4A76-8AF0-EA0A1249465E}"/>
    <cellStyle name="Normal 5 4 2 2 8" xfId="4830" xr:uid="{00000000-0005-0000-0000-0000D61A0000}"/>
    <cellStyle name="Normal 5 4 2 2 8 2" xfId="14156" xr:uid="{34C2D06E-FE96-4FED-857D-389C2671A1B9}"/>
    <cellStyle name="Normal 5 4 2 2 8 3" xfId="23455" xr:uid="{CB16EF72-6911-4F23-AF38-1CD247980199}"/>
    <cellStyle name="Normal 5 4 2 2 9" xfId="8936" xr:uid="{31CF7A09-919D-40D2-B5FD-098CEA44D314}"/>
    <cellStyle name="Normal 5 4 2 2 9 2" xfId="18260" xr:uid="{AF2995DC-6951-43B5-829E-3DA8606D3799}"/>
    <cellStyle name="Normal 5 4 2 2 9 3" xfId="27558" xr:uid="{A28175CB-D765-47A1-9156-456D44814006}"/>
    <cellStyle name="Normal 5 4 2 3" xfId="460" xr:uid="{00000000-0005-0000-0000-0000D71A0000}"/>
    <cellStyle name="Normal 5 4 2 3 10" xfId="19240" xr:uid="{320638F6-2A00-446A-9148-38B3F50904F6}"/>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341103FD-0994-46E1-AE8D-18B836875539}"/>
    <cellStyle name="Normal 5 4 2 3 2 2 2 3" xfId="26015" xr:uid="{705400E2-525B-43B0-B815-89414046BF4F}"/>
    <cellStyle name="Normal 5 4 2 3 2 2 3" xfId="12499" xr:uid="{03DDA13D-1B7E-44A9-ABF2-8C8866D7975F}"/>
    <cellStyle name="Normal 5 4 2 3 2 2 4" xfId="21798" xr:uid="{F582B199-8855-4CAC-9AF8-368A26BE9183}"/>
    <cellStyle name="Normal 5 4 2 3 2 3" xfId="5245" xr:uid="{00000000-0005-0000-0000-0000DB1A0000}"/>
    <cellStyle name="Normal 5 4 2 3 2 3 2" xfId="14571" xr:uid="{56B47A74-3DA5-48D4-81A7-0C21492DCBE4}"/>
    <cellStyle name="Normal 5 4 2 3 2 3 3" xfId="23870" xr:uid="{758F57F1-46FF-451D-8A53-3735458F5035}"/>
    <cellStyle name="Normal 5 4 2 3 2 4" xfId="9465" xr:uid="{B8459C73-266B-467B-A163-FFDFF015A460}"/>
    <cellStyle name="Normal 5 4 2 3 2 4 2" xfId="18780" xr:uid="{3C2DDC2C-55F4-4F91-AC5F-AFB37C20FA28}"/>
    <cellStyle name="Normal 5 4 2 3 2 4 3" xfId="28077" xr:uid="{0E21546C-D74A-4B51-A94C-EC43234A6D32}"/>
    <cellStyle name="Normal 5 4 2 3 2 5" xfId="10354" xr:uid="{6C4FF437-2BA8-41FC-B1B7-987B31832008}"/>
    <cellStyle name="Normal 5 4 2 3 2 6" xfId="19653" xr:uid="{F3AE2D20-E3C4-4897-9FB0-6A2E4BA2D07B}"/>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A6EC8497-1BDF-4972-902B-66EA42334E7D}"/>
    <cellStyle name="Normal 5 4 2 3 3 2 2 3" xfId="26428" xr:uid="{53097EC9-3DC6-4D00-9F36-756240A9BB8B}"/>
    <cellStyle name="Normal 5 4 2 3 3 2 3" xfId="12912" xr:uid="{7B01FE7C-8F1A-4E0A-9FFF-F91069404061}"/>
    <cellStyle name="Normal 5 4 2 3 3 2 4" xfId="22211" xr:uid="{CC6DFCA9-4AE2-4F28-98CE-7DBB2473FD5D}"/>
    <cellStyle name="Normal 5 4 2 3 3 3" xfId="5658" xr:uid="{00000000-0005-0000-0000-0000DF1A0000}"/>
    <cellStyle name="Normal 5 4 2 3 3 3 2" xfId="14984" xr:uid="{FA9D890B-9CBE-4399-A7F6-4CAF191DFE51}"/>
    <cellStyle name="Normal 5 4 2 3 3 3 3" xfId="24283" xr:uid="{B5F9E28F-0FD3-425C-A00A-5F5796E6EA76}"/>
    <cellStyle name="Normal 5 4 2 3 3 4" xfId="10767" xr:uid="{4A0A63C4-5146-40D8-B61D-D74D5750B5FE}"/>
    <cellStyle name="Normal 5 4 2 3 3 5" xfId="20066" xr:uid="{C9144113-AEF9-430B-B202-D4DE36D4E663}"/>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108AB362-F4CE-413C-B7D4-7969444EDCB6}"/>
    <cellStyle name="Normal 5 4 2 3 4 2 2 3" xfId="26841" xr:uid="{B7D2F277-E4EB-457F-B5F8-15205081614E}"/>
    <cellStyle name="Normal 5 4 2 3 4 2 3" xfId="13325" xr:uid="{BF5A291E-2713-4A71-B877-4CB7C331B267}"/>
    <cellStyle name="Normal 5 4 2 3 4 2 4" xfId="22624" xr:uid="{E43201C8-CCCA-4D1E-9ECA-42DE95088666}"/>
    <cellStyle name="Normal 5 4 2 3 4 3" xfId="6071" xr:uid="{00000000-0005-0000-0000-0000E31A0000}"/>
    <cellStyle name="Normal 5 4 2 3 4 3 2" xfId="15397" xr:uid="{573C654B-2BB2-4395-A5AE-BD17DC83C39A}"/>
    <cellStyle name="Normal 5 4 2 3 4 3 3" xfId="24696" xr:uid="{3686DC33-3B9E-41C5-84D9-78E4C046D6EA}"/>
    <cellStyle name="Normal 5 4 2 3 4 4" xfId="11180" xr:uid="{1D5CD0C9-904E-4184-AB8C-992EF6694D2B}"/>
    <cellStyle name="Normal 5 4 2 3 4 5" xfId="20479" xr:uid="{0BB89E5D-56D2-4E91-B464-18FC0A5B7D2E}"/>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0FB6F0DB-B483-4C23-A00C-AF7A862FAC46}"/>
    <cellStyle name="Normal 5 4 2 3 5 2 2 3" xfId="27254" xr:uid="{87AAA369-D935-426B-BF4A-4D6369EE5245}"/>
    <cellStyle name="Normal 5 4 2 3 5 2 3" xfId="13738" xr:uid="{E1B3EA06-C0A6-4395-8C42-723B5B286025}"/>
    <cellStyle name="Normal 5 4 2 3 5 2 4" xfId="23037" xr:uid="{8C1222FD-7DA2-4E57-B195-6517CCDA5BE9}"/>
    <cellStyle name="Normal 5 4 2 3 5 3" xfId="6484" xr:uid="{00000000-0005-0000-0000-0000E71A0000}"/>
    <cellStyle name="Normal 5 4 2 3 5 3 2" xfId="15810" xr:uid="{5DBDE862-E9BD-403F-BA7B-3A6DFC458D2C}"/>
    <cellStyle name="Normal 5 4 2 3 5 3 3" xfId="25109" xr:uid="{E6EBFF61-8366-4754-A10B-C3BC870A4F62}"/>
    <cellStyle name="Normal 5 4 2 3 5 4" xfId="11593" xr:uid="{16BBB656-1702-4252-A4C6-628C0B77909A}"/>
    <cellStyle name="Normal 5 4 2 3 5 5" xfId="20892" xr:uid="{48186FB4-7C4E-48FC-92F0-F64D665265A2}"/>
    <cellStyle name="Normal 5 4 2 3 6" xfId="2614" xr:uid="{00000000-0005-0000-0000-0000E81A0000}"/>
    <cellStyle name="Normal 5 4 2 3 6 2" xfId="6897" xr:uid="{00000000-0005-0000-0000-0000E91A0000}"/>
    <cellStyle name="Normal 5 4 2 3 6 2 2" xfId="16223" xr:uid="{6C1A1ADA-4F1A-43EE-8658-F5E58B04E90E}"/>
    <cellStyle name="Normal 5 4 2 3 6 2 3" xfId="25522" xr:uid="{C616F094-060A-43A5-A11D-6DB7A35933C5}"/>
    <cellStyle name="Normal 5 4 2 3 6 3" xfId="12006" xr:uid="{4291C316-EA09-4CC6-A709-5FC272D83DF3}"/>
    <cellStyle name="Normal 5 4 2 3 6 4" xfId="21305" xr:uid="{313CC8B8-EB2D-410C-8FF9-257E6036173F}"/>
    <cellStyle name="Normal 5 4 2 3 7" xfId="4832" xr:uid="{00000000-0005-0000-0000-0000EA1A0000}"/>
    <cellStyle name="Normal 5 4 2 3 7 2" xfId="14158" xr:uid="{92F66AD0-076D-4C18-9DDE-EC1C73AE0687}"/>
    <cellStyle name="Normal 5 4 2 3 7 3" xfId="23457" xr:uid="{CDD71106-9308-49DA-AFC2-33797D52E705}"/>
    <cellStyle name="Normal 5 4 2 3 8" xfId="9040" xr:uid="{D68CAB17-BB41-4D9B-AA76-76FE511392DC}"/>
    <cellStyle name="Normal 5 4 2 3 8 2" xfId="18364" xr:uid="{E6412469-8B7F-4CBE-A152-C6FF5CB1DC59}"/>
    <cellStyle name="Normal 5 4 2 3 8 3" xfId="27662" xr:uid="{CAE51F80-AFEA-4BDE-847A-32F3BDA5E728}"/>
    <cellStyle name="Normal 5 4 2 3 9" xfId="9941" xr:uid="{7116E7AC-D4E3-4BDD-8F92-70ED6CCE7498}"/>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5AC5CCCD-8BBD-4038-BA2F-925FB5F13CE2}"/>
    <cellStyle name="Normal 5 4 2 4 2 2 3" xfId="26012" xr:uid="{35965D89-5B69-4614-BDD3-77E711834EA1}"/>
    <cellStyle name="Normal 5 4 2 4 2 3" xfId="12496" xr:uid="{1D730DA9-326C-4A1B-BBE8-00D4C8B6D308}"/>
    <cellStyle name="Normal 5 4 2 4 2 4" xfId="21795" xr:uid="{0FED1650-38EE-4422-9F3E-7160B64123B6}"/>
    <cellStyle name="Normal 5 4 2 4 3" xfId="5242" xr:uid="{00000000-0005-0000-0000-0000EE1A0000}"/>
    <cellStyle name="Normal 5 4 2 4 3 2" xfId="14568" xr:uid="{340DF8FF-3E06-4178-A436-444EEDF084BA}"/>
    <cellStyle name="Normal 5 4 2 4 3 3" xfId="23867" xr:uid="{7ED6511E-ADC2-48B6-BA6C-F26014AB3403}"/>
    <cellStyle name="Normal 5 4 2 4 4" xfId="9258" xr:uid="{971C48A9-8200-405B-A9BE-B3AFD2CDDA76}"/>
    <cellStyle name="Normal 5 4 2 4 4 2" xfId="18573" xr:uid="{0BB51F13-BF66-451F-8C2C-8B6E0AFD42C8}"/>
    <cellStyle name="Normal 5 4 2 4 4 3" xfId="27870" xr:uid="{B7E121C5-7779-4CBC-A7C7-EF908255BE1D}"/>
    <cellStyle name="Normal 5 4 2 4 5" xfId="10351" xr:uid="{6765A2F5-F50B-486F-9A34-F0BB9E3714FD}"/>
    <cellStyle name="Normal 5 4 2 4 6" xfId="19650" xr:uid="{2646E381-0CD9-4448-BAE8-19DA0060425C}"/>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8328F70D-57DC-40E8-AA49-52F240C527F4}"/>
    <cellStyle name="Normal 5 4 2 5 2 2 3" xfId="26425" xr:uid="{053492BF-41B6-47D2-BB8D-F41489D87ACB}"/>
    <cellStyle name="Normal 5 4 2 5 2 3" xfId="12909" xr:uid="{595520EB-D219-4644-AD32-39173F0CA4A3}"/>
    <cellStyle name="Normal 5 4 2 5 2 4" xfId="22208" xr:uid="{383B91F7-B2A4-4C74-A12B-9E1531DFEC91}"/>
    <cellStyle name="Normal 5 4 2 5 3" xfId="5655" xr:uid="{00000000-0005-0000-0000-0000F21A0000}"/>
    <cellStyle name="Normal 5 4 2 5 3 2" xfId="14981" xr:uid="{9CD6218B-CCB0-48C0-8A88-25DB96FD4E9A}"/>
    <cellStyle name="Normal 5 4 2 5 3 3" xfId="24280" xr:uid="{BA7F8C3F-A858-4582-8FA6-60B1C2C10408}"/>
    <cellStyle name="Normal 5 4 2 5 4" xfId="10764" xr:uid="{C8A7D4FF-2D65-4EDA-BEA4-64537A4EAED6}"/>
    <cellStyle name="Normal 5 4 2 5 5" xfId="20063" xr:uid="{6BF05E5F-056E-4A17-9735-B867F2C2429B}"/>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F1C10DD6-5B0B-446C-8523-81EE58E2E238}"/>
    <cellStyle name="Normal 5 4 2 6 2 2 3" xfId="26838" xr:uid="{CAEE1CA6-1C29-41A9-89D8-9ED9F85B2BED}"/>
    <cellStyle name="Normal 5 4 2 6 2 3" xfId="13322" xr:uid="{9BBBAAC5-8825-4A3E-817D-1F005037A241}"/>
    <cellStyle name="Normal 5 4 2 6 2 4" xfId="22621" xr:uid="{6B2ADB0F-EE05-4624-928F-D4039BE74EE5}"/>
    <cellStyle name="Normal 5 4 2 6 3" xfId="6068" xr:uid="{00000000-0005-0000-0000-0000F61A0000}"/>
    <cellStyle name="Normal 5 4 2 6 3 2" xfId="15394" xr:uid="{748B3721-78BA-4FB4-9627-A72A567BF601}"/>
    <cellStyle name="Normal 5 4 2 6 3 3" xfId="24693" xr:uid="{1308081B-8443-4B10-B00F-1FE4A73F4E7F}"/>
    <cellStyle name="Normal 5 4 2 6 4" xfId="11177" xr:uid="{B0B117DE-1884-4A8E-B2CC-83325274D6DF}"/>
    <cellStyle name="Normal 5 4 2 6 5" xfId="20476" xr:uid="{9F70E8DC-7EA2-4002-93D2-7C7E5B5B1DF2}"/>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73150FF4-AF1A-44FD-B7AE-E18EFDF48025}"/>
    <cellStyle name="Normal 5 4 2 7 2 2 3" xfId="27251" xr:uid="{1E4B887E-5230-4789-B0DB-E82AD8C1B14D}"/>
    <cellStyle name="Normal 5 4 2 7 2 3" xfId="13735" xr:uid="{92AF5AAD-3304-4805-9447-F772F24F2E21}"/>
    <cellStyle name="Normal 5 4 2 7 2 4" xfId="23034" xr:uid="{60467E50-1C13-43B9-9EC8-C19A77E05A87}"/>
    <cellStyle name="Normal 5 4 2 7 3" xfId="6481" xr:uid="{00000000-0005-0000-0000-0000FA1A0000}"/>
    <cellStyle name="Normal 5 4 2 7 3 2" xfId="15807" xr:uid="{40425266-C1CF-4A8E-BA67-114EFFC31D26}"/>
    <cellStyle name="Normal 5 4 2 7 3 3" xfId="25106" xr:uid="{325D28A0-40FF-4D41-92B7-D77590A16610}"/>
    <cellStyle name="Normal 5 4 2 7 4" xfId="11590" xr:uid="{2499E2E2-6B69-4C9D-8359-977D83F7F09E}"/>
    <cellStyle name="Normal 5 4 2 7 5" xfId="20889" xr:uid="{94772254-D696-4A63-93E8-95AA00C5FDB7}"/>
    <cellStyle name="Normal 5 4 2 8" xfId="2611" xr:uid="{00000000-0005-0000-0000-0000FB1A0000}"/>
    <cellStyle name="Normal 5 4 2 8 2" xfId="6894" xr:uid="{00000000-0005-0000-0000-0000FC1A0000}"/>
    <cellStyle name="Normal 5 4 2 8 2 2" xfId="16220" xr:uid="{C6BEFDAF-9300-4D48-BDE0-1FC000FFDD2C}"/>
    <cellStyle name="Normal 5 4 2 8 2 3" xfId="25519" xr:uid="{BF7F6256-06CD-4CC8-87A6-748624D8FBE1}"/>
    <cellStyle name="Normal 5 4 2 8 3" xfId="12003" xr:uid="{764074BA-5ABB-4261-AEEC-CC4DE2F80FC2}"/>
    <cellStyle name="Normal 5 4 2 8 4" xfId="21302" xr:uid="{F24924AA-1341-4999-AA74-4CEF99C744F8}"/>
    <cellStyle name="Normal 5 4 2 9" xfId="4829" xr:uid="{00000000-0005-0000-0000-0000FD1A0000}"/>
    <cellStyle name="Normal 5 4 2 9 2" xfId="14155" xr:uid="{E4203780-FD3B-47C9-953C-52A52DA02EC7}"/>
    <cellStyle name="Normal 5 4 2 9 3" xfId="23454" xr:uid="{B9C2B585-FBF7-48A4-A9BE-FD5F86C6DA24}"/>
    <cellStyle name="Normal 5 4 3" xfId="461" xr:uid="{00000000-0005-0000-0000-0000FE1A0000}"/>
    <cellStyle name="Normal 5 4 3 10" xfId="9942" xr:uid="{CAE3D4EC-BA80-46D0-A59B-930C42592E8F}"/>
    <cellStyle name="Normal 5 4 3 11" xfId="19241" xr:uid="{45D739A1-3152-450C-B2AD-3B5DE6F06FD7}"/>
    <cellStyle name="Normal 5 4 3 2" xfId="462" xr:uid="{00000000-0005-0000-0000-0000FF1A0000}"/>
    <cellStyle name="Normal 5 4 3 2 10" xfId="19242" xr:uid="{952A39A1-87EA-46FA-9FAA-C5B42727C267}"/>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26D6562F-C002-4D4F-B74E-897EBDD647B1}"/>
    <cellStyle name="Normal 5 4 3 2 2 2 2 3" xfId="26017" xr:uid="{D1664437-E83E-4567-9E74-CB32914AD0D4}"/>
    <cellStyle name="Normal 5 4 3 2 2 2 3" xfId="12501" xr:uid="{58CD620F-B77A-471A-A731-C4615E3CBCB2}"/>
    <cellStyle name="Normal 5 4 3 2 2 2 4" xfId="21800" xr:uid="{24146ABB-2411-4C21-B0A5-0010F77D51D3}"/>
    <cellStyle name="Normal 5 4 3 2 2 3" xfId="5247" xr:uid="{00000000-0005-0000-0000-0000031B0000}"/>
    <cellStyle name="Normal 5 4 3 2 2 3 2" xfId="14573" xr:uid="{273D6980-B1C6-4475-B59F-3F59D193930C}"/>
    <cellStyle name="Normal 5 4 3 2 2 3 3" xfId="23872" xr:uid="{F15BD5D1-9CD6-4392-8B61-357FA92A231F}"/>
    <cellStyle name="Normal 5 4 3 2 2 4" xfId="9508" xr:uid="{1F9B5A8F-2A45-43C5-9422-E8BC84424A55}"/>
    <cellStyle name="Normal 5 4 3 2 2 4 2" xfId="18823" xr:uid="{DCD305D2-6777-4201-B176-729E807800CB}"/>
    <cellStyle name="Normal 5 4 3 2 2 4 3" xfId="28120" xr:uid="{84382547-9753-449E-8DF6-40AE95B50E94}"/>
    <cellStyle name="Normal 5 4 3 2 2 5" xfId="10356" xr:uid="{F4E74E58-2AF1-4032-9C10-22E4BFA99938}"/>
    <cellStyle name="Normal 5 4 3 2 2 6" xfId="19655" xr:uid="{8ED81934-8EE0-4DDE-B41E-E02BCCB11400}"/>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5CE27E22-6F83-4B6F-9AE6-5BCF0B738C17}"/>
    <cellStyle name="Normal 5 4 3 2 3 2 2 3" xfId="26430" xr:uid="{17A88F7F-AD5B-4B6F-B353-22AB070EE6F0}"/>
    <cellStyle name="Normal 5 4 3 2 3 2 3" xfId="12914" xr:uid="{3A2A5AB0-CA53-49BA-876F-6873C8D87F3D}"/>
    <cellStyle name="Normal 5 4 3 2 3 2 4" xfId="22213" xr:uid="{036CAE25-E56D-48CA-A5E2-D11E5EBADC51}"/>
    <cellStyle name="Normal 5 4 3 2 3 3" xfId="5660" xr:uid="{00000000-0005-0000-0000-0000071B0000}"/>
    <cellStyle name="Normal 5 4 3 2 3 3 2" xfId="14986" xr:uid="{3AB4BC6D-7E7F-4770-8131-049931EB54E1}"/>
    <cellStyle name="Normal 5 4 3 2 3 3 3" xfId="24285" xr:uid="{334FFDBB-D9A3-4056-844E-C589962E98F5}"/>
    <cellStyle name="Normal 5 4 3 2 3 4" xfId="10769" xr:uid="{903E65B5-FEC9-40C1-8A83-80C7D34D70C6}"/>
    <cellStyle name="Normal 5 4 3 2 3 5" xfId="20068" xr:uid="{8CD937FE-270C-4C4E-B64E-ABCA0C6A5D42}"/>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390C749F-E2E1-4C2C-AE02-D0996EF7718C}"/>
    <cellStyle name="Normal 5 4 3 2 4 2 2 3" xfId="26843" xr:uid="{37141D1C-855C-4386-B3DB-75531535E36E}"/>
    <cellStyle name="Normal 5 4 3 2 4 2 3" xfId="13327" xr:uid="{9D427971-D944-4CD8-8FDE-CF454D347A0F}"/>
    <cellStyle name="Normal 5 4 3 2 4 2 4" xfId="22626" xr:uid="{A647B8AB-D50E-44A5-ACB7-662BC2CCCFF0}"/>
    <cellStyle name="Normal 5 4 3 2 4 3" xfId="6073" xr:uid="{00000000-0005-0000-0000-00000B1B0000}"/>
    <cellStyle name="Normal 5 4 3 2 4 3 2" xfId="15399" xr:uid="{513E0977-AEB2-46F5-BFCF-B1013909EE9E}"/>
    <cellStyle name="Normal 5 4 3 2 4 3 3" xfId="24698" xr:uid="{0E94F42B-4B87-42B2-9E9B-369E90D754E8}"/>
    <cellStyle name="Normal 5 4 3 2 4 4" xfId="11182" xr:uid="{A8DCE937-8FED-452E-A2DD-12368FBCD0AD}"/>
    <cellStyle name="Normal 5 4 3 2 4 5" xfId="20481" xr:uid="{8ABE7F0A-FEBD-489D-93CB-812EA4082CF8}"/>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61F55037-19DF-489D-BAF0-7DEB11C3241B}"/>
    <cellStyle name="Normal 5 4 3 2 5 2 2 3" xfId="27256" xr:uid="{A0C9EE5C-18B1-4257-9AE4-15F75642A525}"/>
    <cellStyle name="Normal 5 4 3 2 5 2 3" xfId="13740" xr:uid="{6D0CB2CB-733F-4072-A001-18F1D150CB4A}"/>
    <cellStyle name="Normal 5 4 3 2 5 2 4" xfId="23039" xr:uid="{D3756584-6AE1-4854-A701-EEEC8F5FDCFE}"/>
    <cellStyle name="Normal 5 4 3 2 5 3" xfId="6486" xr:uid="{00000000-0005-0000-0000-00000F1B0000}"/>
    <cellStyle name="Normal 5 4 3 2 5 3 2" xfId="15812" xr:uid="{B7684634-AEBB-4F08-8F83-3BA1C8E85EF4}"/>
    <cellStyle name="Normal 5 4 3 2 5 3 3" xfId="25111" xr:uid="{7FA1ECD7-14B8-46DB-9510-331D0C9C4778}"/>
    <cellStyle name="Normal 5 4 3 2 5 4" xfId="11595" xr:uid="{86AB53AA-B5DC-4C2B-8B00-23D75EFF4A04}"/>
    <cellStyle name="Normal 5 4 3 2 5 5" xfId="20894" xr:uid="{1B046407-517F-4CD9-B989-B866FC1D9F19}"/>
    <cellStyle name="Normal 5 4 3 2 6" xfId="2616" xr:uid="{00000000-0005-0000-0000-0000101B0000}"/>
    <cellStyle name="Normal 5 4 3 2 6 2" xfId="6899" xr:uid="{00000000-0005-0000-0000-0000111B0000}"/>
    <cellStyle name="Normal 5 4 3 2 6 2 2" xfId="16225" xr:uid="{BD91AA57-254A-4D8C-9DB9-77F390E9D50D}"/>
    <cellStyle name="Normal 5 4 3 2 6 2 3" xfId="25524" xr:uid="{473A6F14-CA12-40A0-B22F-A4B65405D753}"/>
    <cellStyle name="Normal 5 4 3 2 6 3" xfId="12008" xr:uid="{6053548F-F823-44A0-AEB7-437148C118BC}"/>
    <cellStyle name="Normal 5 4 3 2 6 4" xfId="21307" xr:uid="{86A472E3-940A-4170-B1A6-41EC3E1D83DF}"/>
    <cellStyle name="Normal 5 4 3 2 7" xfId="4834" xr:uid="{00000000-0005-0000-0000-0000121B0000}"/>
    <cellStyle name="Normal 5 4 3 2 7 2" xfId="14160" xr:uid="{B2A15E27-0918-4ABE-AE44-40320001E198}"/>
    <cellStyle name="Normal 5 4 3 2 7 3" xfId="23459" xr:uid="{5F735301-1621-42AD-AF7D-BEFEE1320E38}"/>
    <cellStyle name="Normal 5 4 3 2 8" xfId="9083" xr:uid="{206384C8-6AD8-4D28-8F99-3033A80D68FC}"/>
    <cellStyle name="Normal 5 4 3 2 8 2" xfId="18407" xr:uid="{218D05CB-FD4C-4444-8DA1-16A93190AD22}"/>
    <cellStyle name="Normal 5 4 3 2 8 3" xfId="27705" xr:uid="{E77ADEF0-92AF-42F2-BCD2-37DF48642484}"/>
    <cellStyle name="Normal 5 4 3 2 9" xfId="9943" xr:uid="{19A8C1CD-F278-461D-A53D-49D35EC6F5B0}"/>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8D9AE581-4030-4518-80EC-970322880588}"/>
    <cellStyle name="Normal 5 4 3 3 2 2 3" xfId="26016" xr:uid="{9A51D08E-5AFF-411E-A0D2-6FCBDEE3A106}"/>
    <cellStyle name="Normal 5 4 3 3 2 3" xfId="12500" xr:uid="{763275B9-3254-4FDC-B7CD-805E86F35D21}"/>
    <cellStyle name="Normal 5 4 3 3 2 4" xfId="21799" xr:uid="{9BBF1891-EF0B-4654-92B9-D3E080E55A81}"/>
    <cellStyle name="Normal 5 4 3 3 3" xfId="5246" xr:uid="{00000000-0005-0000-0000-0000161B0000}"/>
    <cellStyle name="Normal 5 4 3 3 3 2" xfId="14572" xr:uid="{79CC373C-5651-49B0-AD65-B0FA25915D80}"/>
    <cellStyle name="Normal 5 4 3 3 3 3" xfId="23871" xr:uid="{B042019B-B2A6-4080-8929-86C4E0AFE435}"/>
    <cellStyle name="Normal 5 4 3 3 4" xfId="9301" xr:uid="{CB02BBE7-2E3D-4C67-A62E-BA84DE882039}"/>
    <cellStyle name="Normal 5 4 3 3 4 2" xfId="18616" xr:uid="{719EB7D2-F5FE-477F-A031-0AAF17616D83}"/>
    <cellStyle name="Normal 5 4 3 3 4 3" xfId="27913" xr:uid="{E78F9206-3919-4E07-A0B3-17102F1B7C9C}"/>
    <cellStyle name="Normal 5 4 3 3 5" xfId="10355" xr:uid="{6E1E56EA-857B-46E0-B42B-8ADCE1F7888F}"/>
    <cellStyle name="Normal 5 4 3 3 6" xfId="19654" xr:uid="{5663FDC8-A525-499C-8114-9AD618CC03CE}"/>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9C85BE68-B773-4F1D-8890-B423CA05C01D}"/>
    <cellStyle name="Normal 5 4 3 4 2 2 3" xfId="26429" xr:uid="{37991DCE-F0AD-4B02-BDDC-AC4D40DF7A4F}"/>
    <cellStyle name="Normal 5 4 3 4 2 3" xfId="12913" xr:uid="{1EF3FCF5-34D8-4B25-930B-09BC041D901B}"/>
    <cellStyle name="Normal 5 4 3 4 2 4" xfId="22212" xr:uid="{6274244F-5617-4B57-94D0-2E8EB8D239E4}"/>
    <cellStyle name="Normal 5 4 3 4 3" xfId="5659" xr:uid="{00000000-0005-0000-0000-00001A1B0000}"/>
    <cellStyle name="Normal 5 4 3 4 3 2" xfId="14985" xr:uid="{02F480F4-401A-40CF-B8F4-C32F2BBD4F89}"/>
    <cellStyle name="Normal 5 4 3 4 3 3" xfId="24284" xr:uid="{EE6A09BB-C00D-46E6-AAAC-15C97AA9456B}"/>
    <cellStyle name="Normal 5 4 3 4 4" xfId="10768" xr:uid="{CE112A73-6086-4562-864B-D7C937909300}"/>
    <cellStyle name="Normal 5 4 3 4 5" xfId="20067" xr:uid="{A3894602-FB04-4DA6-B2D6-0F01CDBD7F81}"/>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53A48972-2E7A-43FB-B474-288624FF6245}"/>
    <cellStyle name="Normal 5 4 3 5 2 2 3" xfId="26842" xr:uid="{5AE48DCB-F39E-4306-85C1-13FA0263E9D4}"/>
    <cellStyle name="Normal 5 4 3 5 2 3" xfId="13326" xr:uid="{12B7E503-B0CA-4C0F-A188-E4294656CFFD}"/>
    <cellStyle name="Normal 5 4 3 5 2 4" xfId="22625" xr:uid="{900E3888-DF7E-4FA2-A6BE-1687C7EF0AA2}"/>
    <cellStyle name="Normal 5 4 3 5 3" xfId="6072" xr:uid="{00000000-0005-0000-0000-00001E1B0000}"/>
    <cellStyle name="Normal 5 4 3 5 3 2" xfId="15398" xr:uid="{F72DCAC5-9A56-4D59-8CFE-E3A604753125}"/>
    <cellStyle name="Normal 5 4 3 5 3 3" xfId="24697" xr:uid="{4802C78C-FFEC-4C42-B4FA-481AB5221098}"/>
    <cellStyle name="Normal 5 4 3 5 4" xfId="11181" xr:uid="{B5DB07EC-1B84-4FB7-9DA9-6394EB9F198E}"/>
    <cellStyle name="Normal 5 4 3 5 5" xfId="20480" xr:uid="{3A72B56B-80BB-4797-9FA9-EE9F3C6BD9C8}"/>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90018E8C-7DFC-4559-A69A-8D2EDB6E5EE7}"/>
    <cellStyle name="Normal 5 4 3 6 2 2 3" xfId="27255" xr:uid="{1CBA197A-A1FE-420C-82C1-D7442E933905}"/>
    <cellStyle name="Normal 5 4 3 6 2 3" xfId="13739" xr:uid="{AC801106-AE8D-48D3-B3A9-B13BC01E18BC}"/>
    <cellStyle name="Normal 5 4 3 6 2 4" xfId="23038" xr:uid="{7F6C4E73-01A1-463E-B193-D26C287076E8}"/>
    <cellStyle name="Normal 5 4 3 6 3" xfId="6485" xr:uid="{00000000-0005-0000-0000-0000221B0000}"/>
    <cellStyle name="Normal 5 4 3 6 3 2" xfId="15811" xr:uid="{FF6D7FA9-8905-419E-BCFF-8EA9B44C54C4}"/>
    <cellStyle name="Normal 5 4 3 6 3 3" xfId="25110" xr:uid="{678C3C04-6E43-4F9C-BCD4-B9529A2F899B}"/>
    <cellStyle name="Normal 5 4 3 6 4" xfId="11594" xr:uid="{569D5BB1-1C80-4768-B0F7-25CFA0B0CA0B}"/>
    <cellStyle name="Normal 5 4 3 6 5" xfId="20893" xr:uid="{5A73F897-1795-4C32-90B2-C6B3CDE88A0D}"/>
    <cellStyle name="Normal 5 4 3 7" xfId="2615" xr:uid="{00000000-0005-0000-0000-0000231B0000}"/>
    <cellStyle name="Normal 5 4 3 7 2" xfId="6898" xr:uid="{00000000-0005-0000-0000-0000241B0000}"/>
    <cellStyle name="Normal 5 4 3 7 2 2" xfId="16224" xr:uid="{62063B1C-72EE-4231-8126-3F832B348079}"/>
    <cellStyle name="Normal 5 4 3 7 2 3" xfId="25523" xr:uid="{BF41AB27-2738-4CB5-87E2-7E5BADC0F941}"/>
    <cellStyle name="Normal 5 4 3 7 3" xfId="12007" xr:uid="{6E1D5272-87C1-4391-98B6-0E31AECCCF42}"/>
    <cellStyle name="Normal 5 4 3 7 4" xfId="21306" xr:uid="{E1A7AAF5-393B-4DC7-B549-2853752420F7}"/>
    <cellStyle name="Normal 5 4 3 8" xfId="4833" xr:uid="{00000000-0005-0000-0000-0000251B0000}"/>
    <cellStyle name="Normal 5 4 3 8 2" xfId="14159" xr:uid="{613D4CD4-4F99-469B-9333-5D60DF3C8630}"/>
    <cellStyle name="Normal 5 4 3 8 3" xfId="23458" xr:uid="{EB530A46-DD71-4CF5-8D79-49DD65411E53}"/>
    <cellStyle name="Normal 5 4 3 9" xfId="8876" xr:uid="{D636A598-175F-46A4-8005-1A20EC6CCEC9}"/>
    <cellStyle name="Normal 5 4 3 9 2" xfId="18200" xr:uid="{12107283-758E-43AF-8CCA-BB7E9375519C}"/>
    <cellStyle name="Normal 5 4 3 9 3" xfId="27498" xr:uid="{72315E4D-3C0D-43CA-80DA-69244055CCBB}"/>
    <cellStyle name="Normal 5 4 4" xfId="463" xr:uid="{00000000-0005-0000-0000-0000261B0000}"/>
    <cellStyle name="Normal 5 4 4 10" xfId="19243" xr:uid="{1078D6FF-EE48-4BE0-A642-BC590F061DD4}"/>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24D4B93F-D79D-4136-80A3-62E374598396}"/>
    <cellStyle name="Normal 5 4 4 2 2 2 3" xfId="26018" xr:uid="{D425EDDF-0C71-41EC-8DB6-028C22EF1D7B}"/>
    <cellStyle name="Normal 5 4 4 2 2 3" xfId="12502" xr:uid="{2B592687-E969-4F14-B66F-33BF916D9C6D}"/>
    <cellStyle name="Normal 5 4 4 2 2 4" xfId="21801" xr:uid="{43A8382A-87A4-4A4B-AFF0-1949C262444E}"/>
    <cellStyle name="Normal 5 4 4 2 3" xfId="5248" xr:uid="{00000000-0005-0000-0000-00002A1B0000}"/>
    <cellStyle name="Normal 5 4 4 2 3 2" xfId="14574" xr:uid="{AABDF4E0-1B7D-4FFB-A88C-87B2E3DEA60A}"/>
    <cellStyle name="Normal 5 4 4 2 3 3" xfId="23873" xr:uid="{8AC396E3-701B-4938-B90B-5692760BC7AB}"/>
    <cellStyle name="Normal 5 4 4 2 4" xfId="9405" xr:uid="{F05DE0DC-A0AA-4CEB-9ABC-0D70F781B819}"/>
    <cellStyle name="Normal 5 4 4 2 4 2" xfId="18720" xr:uid="{4EFBFDEA-F5ED-44C5-98E4-970577CE6B7C}"/>
    <cellStyle name="Normal 5 4 4 2 4 3" xfId="28017" xr:uid="{6B710021-EE80-4BC4-8596-EDB3E4A177F3}"/>
    <cellStyle name="Normal 5 4 4 2 5" xfId="10357" xr:uid="{D07CBD90-F733-438E-A58B-1E1289D98ABA}"/>
    <cellStyle name="Normal 5 4 4 2 6" xfId="19656" xr:uid="{CFFBD8A1-99C6-4B85-A831-4E2B4117A460}"/>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7921D0E3-E6F3-4E10-8C83-8B56A94A00C3}"/>
    <cellStyle name="Normal 5 4 4 3 2 2 3" xfId="26431" xr:uid="{8E14F0A7-40DB-4AB1-A9BE-5ABAB8FECB92}"/>
    <cellStyle name="Normal 5 4 4 3 2 3" xfId="12915" xr:uid="{36E6B886-02F5-4B21-930F-3049DB928F08}"/>
    <cellStyle name="Normal 5 4 4 3 2 4" xfId="22214" xr:uid="{F03A777B-F157-4A95-ADC1-D6909B30246D}"/>
    <cellStyle name="Normal 5 4 4 3 3" xfId="5661" xr:uid="{00000000-0005-0000-0000-00002E1B0000}"/>
    <cellStyle name="Normal 5 4 4 3 3 2" xfId="14987" xr:uid="{729C882C-F95F-4FD1-93E4-0C378AC05DAC}"/>
    <cellStyle name="Normal 5 4 4 3 3 3" xfId="24286" xr:uid="{47E2F2AC-2B17-4418-A252-7B5884BB2CFA}"/>
    <cellStyle name="Normal 5 4 4 3 4" xfId="10770" xr:uid="{DFFB08A2-3EDC-499F-A148-BE0A0077E76C}"/>
    <cellStyle name="Normal 5 4 4 3 5" xfId="20069" xr:uid="{03DDEFE4-1E3B-4229-8D18-912123BCDDB6}"/>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DA102B5A-C11C-4061-8DC0-72882F127060}"/>
    <cellStyle name="Normal 5 4 4 4 2 2 3" xfId="26844" xr:uid="{B05C6690-C968-4DF7-A4B4-D292AAD12DB9}"/>
    <cellStyle name="Normal 5 4 4 4 2 3" xfId="13328" xr:uid="{6EDFB804-2055-4EBE-B439-2C683B1B1DF2}"/>
    <cellStyle name="Normal 5 4 4 4 2 4" xfId="22627" xr:uid="{5B2BD774-6852-4A79-A6AE-5AB1ABF4793E}"/>
    <cellStyle name="Normal 5 4 4 4 3" xfId="6074" xr:uid="{00000000-0005-0000-0000-0000321B0000}"/>
    <cellStyle name="Normal 5 4 4 4 3 2" xfId="15400" xr:uid="{B8F1391D-866F-4CBD-8A3D-D12142A4F642}"/>
    <cellStyle name="Normal 5 4 4 4 3 3" xfId="24699" xr:uid="{512DAC13-1058-4B16-8D09-B5DA37591322}"/>
    <cellStyle name="Normal 5 4 4 4 4" xfId="11183" xr:uid="{DA5B3F3A-14E1-462E-8D0C-4F861B39BAF5}"/>
    <cellStyle name="Normal 5 4 4 4 5" xfId="20482" xr:uid="{DDE9FB1A-A917-4E98-BEF3-30C260ED4933}"/>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0CD1340D-9C21-4BF4-A590-A0473BD1F79F}"/>
    <cellStyle name="Normal 5 4 4 5 2 2 3" xfId="27257" xr:uid="{7D7E054A-1115-4E1F-A4EF-2EE0F9B0913C}"/>
    <cellStyle name="Normal 5 4 4 5 2 3" xfId="13741" xr:uid="{A70B699D-6BB6-4F82-8EAD-5279E9E635CF}"/>
    <cellStyle name="Normal 5 4 4 5 2 4" xfId="23040" xr:uid="{73C1D172-8EFE-4E5C-94F1-2CEC407B2FAE}"/>
    <cellStyle name="Normal 5 4 4 5 3" xfId="6487" xr:uid="{00000000-0005-0000-0000-0000361B0000}"/>
    <cellStyle name="Normal 5 4 4 5 3 2" xfId="15813" xr:uid="{DCA0706D-CAE9-4B84-B9B9-FA9679A19F28}"/>
    <cellStyle name="Normal 5 4 4 5 3 3" xfId="25112" xr:uid="{7403F55F-1409-4D7B-938E-A36AFF9EC866}"/>
    <cellStyle name="Normal 5 4 4 5 4" xfId="11596" xr:uid="{181E73D7-43F7-4669-A09B-43E5CCAC1181}"/>
    <cellStyle name="Normal 5 4 4 5 5" xfId="20895" xr:uid="{66E846E1-65AD-49E0-9474-1C87C0359794}"/>
    <cellStyle name="Normal 5 4 4 6" xfId="2617" xr:uid="{00000000-0005-0000-0000-0000371B0000}"/>
    <cellStyle name="Normal 5 4 4 6 2" xfId="6900" xr:uid="{00000000-0005-0000-0000-0000381B0000}"/>
    <cellStyle name="Normal 5 4 4 6 2 2" xfId="16226" xr:uid="{0CD510AD-7E90-4DF4-BF9D-EF1A9AB3EA63}"/>
    <cellStyle name="Normal 5 4 4 6 2 3" xfId="25525" xr:uid="{A86DA63B-245A-4D87-8829-7F2315819D1F}"/>
    <cellStyle name="Normal 5 4 4 6 3" xfId="12009" xr:uid="{5DD8B87B-2F2D-435B-9DD2-2924642202EE}"/>
    <cellStyle name="Normal 5 4 4 6 4" xfId="21308" xr:uid="{D4571C24-AA0B-4075-84D4-0B8479232063}"/>
    <cellStyle name="Normal 5 4 4 7" xfId="4835" xr:uid="{00000000-0005-0000-0000-0000391B0000}"/>
    <cellStyle name="Normal 5 4 4 7 2" xfId="14161" xr:uid="{64FEC5D0-4522-4695-A074-DFCABA9549D4}"/>
    <cellStyle name="Normal 5 4 4 7 3" xfId="23460" xr:uid="{FEB519A9-81C8-483A-8FEC-8BF925FAC798}"/>
    <cellStyle name="Normal 5 4 4 8" xfId="8980" xr:uid="{B1DB48A4-94CB-4CC2-8D4B-8FD478363D48}"/>
    <cellStyle name="Normal 5 4 4 8 2" xfId="18304" xr:uid="{3DFACA7B-48EA-4166-98FA-9D14563FE0C6}"/>
    <cellStyle name="Normal 5 4 4 8 3" xfId="27602" xr:uid="{FFC3A0B3-7E8F-403A-9E43-032CE8D01A1A}"/>
    <cellStyle name="Normal 5 4 4 9" xfId="9944" xr:uid="{36E5B9CE-0F9F-4EB0-8252-CDB14646E966}"/>
    <cellStyle name="Normal 5 4 5" xfId="930" xr:uid="{00000000-0005-0000-0000-00003A1B0000}"/>
    <cellStyle name="Normal 5 4 5 2" xfId="3164" xr:uid="{00000000-0005-0000-0000-00003B1B0000}"/>
    <cellStyle name="Normal 5 4 5 2 2" xfId="7386" xr:uid="{00000000-0005-0000-0000-00003C1B0000}"/>
    <cellStyle name="Normal 5 4 5 2 2 2" xfId="16712" xr:uid="{43AC1B0A-FCBD-4BBF-B268-73BA8C2CBA28}"/>
    <cellStyle name="Normal 5 4 5 2 2 3" xfId="26011" xr:uid="{BE79D64D-D3A1-4535-8153-67B62FF55708}"/>
    <cellStyle name="Normal 5 4 5 2 3" xfId="12495" xr:uid="{ADEF91DD-573B-42DF-BD03-4289E026DC23}"/>
    <cellStyle name="Normal 5 4 5 2 4" xfId="21794" xr:uid="{148CB4EB-C394-48E2-9DBE-85D323CCD9C1}"/>
    <cellStyle name="Normal 5 4 5 3" xfId="5241" xr:uid="{00000000-0005-0000-0000-00003D1B0000}"/>
    <cellStyle name="Normal 5 4 5 3 2" xfId="14567" xr:uid="{9E11A863-44A2-49A8-90A9-F4D0A5830FB4}"/>
    <cellStyle name="Normal 5 4 5 3 3" xfId="23866" xr:uid="{71D147EA-9918-408C-9EE0-9101DA681D11}"/>
    <cellStyle name="Normal 5 4 5 4" xfId="9197" xr:uid="{44FF0EFB-444B-4C40-B695-8C256ADB5563}"/>
    <cellStyle name="Normal 5 4 5 4 2" xfId="18513" xr:uid="{4D20673A-A927-46DB-A7C6-72924AF6735F}"/>
    <cellStyle name="Normal 5 4 5 4 3" xfId="27810" xr:uid="{BBE4C327-9AA1-4B71-91C3-07E9EF0CCFF4}"/>
    <cellStyle name="Normal 5 4 5 5" xfId="10350" xr:uid="{DC1BE16B-954E-452A-8463-B4270E7FEB26}"/>
    <cellStyle name="Normal 5 4 5 6" xfId="19649" xr:uid="{9E074B3F-1D52-4843-9E1C-432D8EC1E25B}"/>
    <cellStyle name="Normal 5 4 6" xfId="1347" xr:uid="{00000000-0005-0000-0000-00003E1B0000}"/>
    <cellStyle name="Normal 5 4 6 2" xfId="3577" xr:uid="{00000000-0005-0000-0000-00003F1B0000}"/>
    <cellStyle name="Normal 5 4 6 2 2" xfId="7799" xr:uid="{00000000-0005-0000-0000-0000401B0000}"/>
    <cellStyle name="Normal 5 4 6 2 2 2" xfId="17125" xr:uid="{F3ED0FDB-61B7-4862-A6C8-9647ADB393A6}"/>
    <cellStyle name="Normal 5 4 6 2 2 3" xfId="26424" xr:uid="{26352272-B807-410D-97EB-307170866C7B}"/>
    <cellStyle name="Normal 5 4 6 2 3" xfId="12908" xr:uid="{805A3787-81A3-495E-B8AB-E78B58624AA5}"/>
    <cellStyle name="Normal 5 4 6 2 4" xfId="22207" xr:uid="{7F04645B-F12D-4BFC-AA1D-409F4348BA5C}"/>
    <cellStyle name="Normal 5 4 6 3" xfId="5654" xr:uid="{00000000-0005-0000-0000-0000411B0000}"/>
    <cellStyle name="Normal 5 4 6 3 2" xfId="14980" xr:uid="{0F4C7D17-3199-4755-9D19-D60BAE030E60}"/>
    <cellStyle name="Normal 5 4 6 3 3" xfId="24279" xr:uid="{2A47F09F-FA0A-4EEC-AE1E-58A16B5D9CAE}"/>
    <cellStyle name="Normal 5 4 6 4" xfId="10763" xr:uid="{48F1C230-8CFF-4FC9-84DD-CE22D0763AD2}"/>
    <cellStyle name="Normal 5 4 6 5" xfId="20062" xr:uid="{3DA777BC-E3BD-465F-8297-3E9EE03EF422}"/>
    <cellStyle name="Normal 5 4 7" xfId="1760" xr:uid="{00000000-0005-0000-0000-0000421B0000}"/>
    <cellStyle name="Normal 5 4 7 2" xfId="3990" xr:uid="{00000000-0005-0000-0000-0000431B0000}"/>
    <cellStyle name="Normal 5 4 7 2 2" xfId="8212" xr:uid="{00000000-0005-0000-0000-0000441B0000}"/>
    <cellStyle name="Normal 5 4 7 2 2 2" xfId="17538" xr:uid="{ED4B7DEF-E926-497F-B62B-D27E0B1675B7}"/>
    <cellStyle name="Normal 5 4 7 2 2 3" xfId="26837" xr:uid="{717FA45F-8922-4B9E-9E8B-9C8913BD603B}"/>
    <cellStyle name="Normal 5 4 7 2 3" xfId="13321" xr:uid="{4D4417F4-F4DD-4320-943B-D5FDA69CCE29}"/>
    <cellStyle name="Normal 5 4 7 2 4" xfId="22620" xr:uid="{A6B796FC-6DEC-4A38-9F84-95E65873B972}"/>
    <cellStyle name="Normal 5 4 7 3" xfId="6067" xr:uid="{00000000-0005-0000-0000-0000451B0000}"/>
    <cellStyle name="Normal 5 4 7 3 2" xfId="15393" xr:uid="{0D816804-D7FC-4F88-9B86-C932CDDEC4A5}"/>
    <cellStyle name="Normal 5 4 7 3 3" xfId="24692" xr:uid="{F5ED4B8B-1A6D-4D46-BCD3-DC74FD7C7B95}"/>
    <cellStyle name="Normal 5 4 7 4" xfId="11176" xr:uid="{F1623798-58CB-4CBC-AF11-18C5E2AFED03}"/>
    <cellStyle name="Normal 5 4 7 5" xfId="20475" xr:uid="{6CE16078-4420-41A2-9647-DB25BFB2528C}"/>
    <cellStyle name="Normal 5 4 8" xfId="2174" xr:uid="{00000000-0005-0000-0000-0000461B0000}"/>
    <cellStyle name="Normal 5 4 8 2" xfId="4403" xr:uid="{00000000-0005-0000-0000-0000471B0000}"/>
    <cellStyle name="Normal 5 4 8 2 2" xfId="8625" xr:uid="{00000000-0005-0000-0000-0000481B0000}"/>
    <cellStyle name="Normal 5 4 8 2 2 2" xfId="17951" xr:uid="{F2AAB4BF-9C05-41AB-ADEA-8A9D604C3300}"/>
    <cellStyle name="Normal 5 4 8 2 2 3" xfId="27250" xr:uid="{AFC087EA-1C37-4F7C-B7DF-D70452D2100B}"/>
    <cellStyle name="Normal 5 4 8 2 3" xfId="13734" xr:uid="{5836E312-7AB9-41F9-8295-B2280893111D}"/>
    <cellStyle name="Normal 5 4 8 2 4" xfId="23033" xr:uid="{72AE1FDB-6E58-440D-BD30-7D40AD3EC034}"/>
    <cellStyle name="Normal 5 4 8 3" xfId="6480" xr:uid="{00000000-0005-0000-0000-0000491B0000}"/>
    <cellStyle name="Normal 5 4 8 3 2" xfId="15806" xr:uid="{66DFE861-54E3-4536-92EE-A1D0E2D173AB}"/>
    <cellStyle name="Normal 5 4 8 3 3" xfId="25105" xr:uid="{3693123B-B0F3-4CD5-9413-3280E51F59AA}"/>
    <cellStyle name="Normal 5 4 8 4" xfId="11589" xr:uid="{74A4FCF5-660C-4395-B2D3-C150B81A181E}"/>
    <cellStyle name="Normal 5 4 8 5" xfId="20888" xr:uid="{7FEA7DE9-B58D-4111-AC7D-981CF7024FF0}"/>
    <cellStyle name="Normal 5 4 9" xfId="2610" xr:uid="{00000000-0005-0000-0000-00004A1B0000}"/>
    <cellStyle name="Normal 5 4 9 2" xfId="6893" xr:uid="{00000000-0005-0000-0000-00004B1B0000}"/>
    <cellStyle name="Normal 5 4 9 2 2" xfId="16219" xr:uid="{A40326AF-44AD-41C0-A60A-EEC98A867BEC}"/>
    <cellStyle name="Normal 5 4 9 2 3" xfId="25518" xr:uid="{9F33C1C5-7AE7-4D5F-849E-1288A3E6458B}"/>
    <cellStyle name="Normal 5 4 9 3" xfId="12002" xr:uid="{252C90AC-C4F8-497C-95FF-377475899752}"/>
    <cellStyle name="Normal 5 4 9 4" xfId="21301" xr:uid="{9A47FD07-388C-4D4F-B53B-B13B2E7FFCCE}"/>
    <cellStyle name="Normal 5 5" xfId="464" xr:uid="{00000000-0005-0000-0000-00004C1B0000}"/>
    <cellStyle name="Normal 5 5 10" xfId="8826" xr:uid="{5746674A-546A-44BF-97FB-6D298BF3AD61}"/>
    <cellStyle name="Normal 5 5 10 2" xfId="18150" xr:uid="{7114FCD7-664E-41AD-A4D2-848EDF61CA5E}"/>
    <cellStyle name="Normal 5 5 10 3" xfId="27448" xr:uid="{C6766E8B-8A0F-486D-A09F-C96DA8FCB6D9}"/>
    <cellStyle name="Normal 5 5 11" xfId="9945" xr:uid="{FB600314-F762-4825-86E9-CC5D3B6A6CFD}"/>
    <cellStyle name="Normal 5 5 12" xfId="19244" xr:uid="{80C2EB7C-3899-45E3-BD59-3984ADBD5DDD}"/>
    <cellStyle name="Normal 5 5 2" xfId="465" xr:uid="{00000000-0005-0000-0000-00004D1B0000}"/>
    <cellStyle name="Normal 5 5 2 10" xfId="9946" xr:uid="{6DF9D82D-FE7A-4358-98B5-F12D12F84D32}"/>
    <cellStyle name="Normal 5 5 2 11" xfId="19245" xr:uid="{26736CAE-9FD2-44B0-9F33-C12D982478CF}"/>
    <cellStyle name="Normal 5 5 2 2" xfId="466" xr:uid="{00000000-0005-0000-0000-00004E1B0000}"/>
    <cellStyle name="Normal 5 5 2 2 10" xfId="19246" xr:uid="{041C60EF-5D48-409D-AA01-A550CC513392}"/>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B9648CDB-DB5B-4293-B5F9-AED4F1932688}"/>
    <cellStyle name="Normal 5 5 2 2 2 2 2 3" xfId="26021" xr:uid="{8255767A-27CF-41A4-9A18-CF808BAC0E7A}"/>
    <cellStyle name="Normal 5 5 2 2 2 2 3" xfId="12505" xr:uid="{7D674219-ED58-4BA9-8D42-DF0833923006}"/>
    <cellStyle name="Normal 5 5 2 2 2 2 4" xfId="21804" xr:uid="{29650FE2-5468-488F-9F5A-5309C6579743}"/>
    <cellStyle name="Normal 5 5 2 2 2 3" xfId="5251" xr:uid="{00000000-0005-0000-0000-0000521B0000}"/>
    <cellStyle name="Normal 5 5 2 2 2 3 2" xfId="14577" xr:uid="{64C107D4-01D8-4697-9728-130C8E3ABEC7}"/>
    <cellStyle name="Normal 5 5 2 2 2 3 3" xfId="23876" xr:uid="{194EABAF-7062-4274-A034-3B7C17CD12AF}"/>
    <cellStyle name="Normal 5 5 2 2 2 4" xfId="9561" xr:uid="{FF1EB4DD-E23E-4228-816B-D59B021F724D}"/>
    <cellStyle name="Normal 5 5 2 2 2 4 2" xfId="18876" xr:uid="{06796983-573B-4DBB-B10A-853472FB35B0}"/>
    <cellStyle name="Normal 5 5 2 2 2 4 3" xfId="28173" xr:uid="{25B4C2E9-CFD6-4638-8745-9ED515B60CD6}"/>
    <cellStyle name="Normal 5 5 2 2 2 5" xfId="10360" xr:uid="{64D4F2CB-E773-4758-96AA-B7F437F8C2F0}"/>
    <cellStyle name="Normal 5 5 2 2 2 6" xfId="19659" xr:uid="{F364CE5E-EEBA-4AD9-A15A-DC955CE2E625}"/>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30E26B78-D1CB-4610-827F-1747509D57D4}"/>
    <cellStyle name="Normal 5 5 2 2 3 2 2 3" xfId="26434" xr:uid="{606AA72E-662D-47A5-B47E-B4F013DCFFDC}"/>
    <cellStyle name="Normal 5 5 2 2 3 2 3" xfId="12918" xr:uid="{D41A9D19-2C57-4E28-922F-0E6B755A68F6}"/>
    <cellStyle name="Normal 5 5 2 2 3 2 4" xfId="22217" xr:uid="{844D52F7-578E-4858-A9AE-CD02C666A771}"/>
    <cellStyle name="Normal 5 5 2 2 3 3" xfId="5664" xr:uid="{00000000-0005-0000-0000-0000561B0000}"/>
    <cellStyle name="Normal 5 5 2 2 3 3 2" xfId="14990" xr:uid="{7886E33A-6F92-4799-A884-FD74274E62B4}"/>
    <cellStyle name="Normal 5 5 2 2 3 3 3" xfId="24289" xr:uid="{5CBC07FC-1DC3-420D-ABFF-4373F4722E1F}"/>
    <cellStyle name="Normal 5 5 2 2 3 4" xfId="10773" xr:uid="{6477DEF9-8F3D-4A36-AA2D-5DD03C1A9737}"/>
    <cellStyle name="Normal 5 5 2 2 3 5" xfId="20072" xr:uid="{24991CA5-FAB4-492E-8259-28764232275A}"/>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E4DF813A-2794-4324-8DC5-004468CDFE33}"/>
    <cellStyle name="Normal 5 5 2 2 4 2 2 3" xfId="26847" xr:uid="{5C0BE26C-EA56-4C5D-BD94-2CB7259A56DF}"/>
    <cellStyle name="Normal 5 5 2 2 4 2 3" xfId="13331" xr:uid="{43FF2275-F25C-467D-AB90-9FD3AF297B4F}"/>
    <cellStyle name="Normal 5 5 2 2 4 2 4" xfId="22630" xr:uid="{7F3286AF-7164-4424-AAB7-EA46413A10D5}"/>
    <cellStyle name="Normal 5 5 2 2 4 3" xfId="6077" xr:uid="{00000000-0005-0000-0000-00005A1B0000}"/>
    <cellStyle name="Normal 5 5 2 2 4 3 2" xfId="15403" xr:uid="{32BEEB09-B16E-4279-B080-DAFA6C4EAC59}"/>
    <cellStyle name="Normal 5 5 2 2 4 3 3" xfId="24702" xr:uid="{182CF19E-0F52-40FF-98DD-17016A295F47}"/>
    <cellStyle name="Normal 5 5 2 2 4 4" xfId="11186" xr:uid="{B9735FAA-9D6F-4591-8844-7BFABD6AB929}"/>
    <cellStyle name="Normal 5 5 2 2 4 5" xfId="20485" xr:uid="{6D2F0A0A-1B05-4AF9-8DAF-7EE9755819DC}"/>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72C173F7-97BF-4A7B-B2B0-E3E0EECDA168}"/>
    <cellStyle name="Normal 5 5 2 2 5 2 2 3" xfId="27260" xr:uid="{533159D3-5CBA-407A-8578-0F275BD99806}"/>
    <cellStyle name="Normal 5 5 2 2 5 2 3" xfId="13744" xr:uid="{89118F15-A2BD-49A3-AF9A-763ADBFF2F7D}"/>
    <cellStyle name="Normal 5 5 2 2 5 2 4" xfId="23043" xr:uid="{3DAF1078-1462-441F-B2F2-B6C06C738A0D}"/>
    <cellStyle name="Normal 5 5 2 2 5 3" xfId="6490" xr:uid="{00000000-0005-0000-0000-00005E1B0000}"/>
    <cellStyle name="Normal 5 5 2 2 5 3 2" xfId="15816" xr:uid="{A542DC98-83E0-4E3B-9627-B9CF5119441A}"/>
    <cellStyle name="Normal 5 5 2 2 5 3 3" xfId="25115" xr:uid="{34F1A846-4C6D-4EA4-9D2B-335BBAFD970D}"/>
    <cellStyle name="Normal 5 5 2 2 5 4" xfId="11599" xr:uid="{6223849A-2D8B-4C15-B6CD-5656A56AADA1}"/>
    <cellStyle name="Normal 5 5 2 2 5 5" xfId="20898" xr:uid="{34E39F8C-4F97-4A00-9D46-1571AE11C5A7}"/>
    <cellStyle name="Normal 5 5 2 2 6" xfId="2620" xr:uid="{00000000-0005-0000-0000-00005F1B0000}"/>
    <cellStyle name="Normal 5 5 2 2 6 2" xfId="6903" xr:uid="{00000000-0005-0000-0000-0000601B0000}"/>
    <cellStyle name="Normal 5 5 2 2 6 2 2" xfId="16229" xr:uid="{3AAAD7D8-4509-4950-87EA-BC35C94B759B}"/>
    <cellStyle name="Normal 5 5 2 2 6 2 3" xfId="25528" xr:uid="{6635D4C1-8DC6-4D5C-A6BD-DFDCD7753C0B}"/>
    <cellStyle name="Normal 5 5 2 2 6 3" xfId="12012" xr:uid="{7D456915-F2F1-4DBD-9243-E51DC9C59B78}"/>
    <cellStyle name="Normal 5 5 2 2 6 4" xfId="21311" xr:uid="{30229674-F0EA-49CD-B7F0-D1DF0548279E}"/>
    <cellStyle name="Normal 5 5 2 2 7" xfId="4838" xr:uid="{00000000-0005-0000-0000-0000611B0000}"/>
    <cellStyle name="Normal 5 5 2 2 7 2" xfId="14164" xr:uid="{7F0CBF4D-BADF-4458-9DB3-C555C30DAB75}"/>
    <cellStyle name="Normal 5 5 2 2 7 3" xfId="23463" xr:uid="{D4F734E1-916E-488F-947F-025529895F3C}"/>
    <cellStyle name="Normal 5 5 2 2 8" xfId="9136" xr:uid="{D41453B5-3BE6-4F01-B336-45A274529844}"/>
    <cellStyle name="Normal 5 5 2 2 8 2" xfId="18460" xr:uid="{CA500318-3D9C-4FC2-B5BD-A2CD340BC0E5}"/>
    <cellStyle name="Normal 5 5 2 2 8 3" xfId="27758" xr:uid="{3A99A3D7-BE92-4F4B-8BE1-11C055C06684}"/>
    <cellStyle name="Normal 5 5 2 2 9" xfId="9947" xr:uid="{B29B2B64-93B7-4875-BD4B-741882A2926A}"/>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FF5485DA-52F8-44D6-9442-DB705BE0E854}"/>
    <cellStyle name="Normal 5 5 2 3 2 2 3" xfId="26020" xr:uid="{E89FCBFB-9E22-4083-91B3-539B86AFF0B1}"/>
    <cellStyle name="Normal 5 5 2 3 2 3" xfId="12504" xr:uid="{A270B761-091F-4ADC-89AB-0EEAC2510305}"/>
    <cellStyle name="Normal 5 5 2 3 2 4" xfId="21803" xr:uid="{446A529E-2A7A-4F37-BDA1-9EB6B91AE60C}"/>
    <cellStyle name="Normal 5 5 2 3 3" xfId="5250" xr:uid="{00000000-0005-0000-0000-0000651B0000}"/>
    <cellStyle name="Normal 5 5 2 3 3 2" xfId="14576" xr:uid="{76BF47B7-1C82-4B82-91AE-150BA03AF3FF}"/>
    <cellStyle name="Normal 5 5 2 3 3 3" xfId="23875" xr:uid="{4BF8E0F0-1A8D-4B8F-863D-A536A4CAE70A}"/>
    <cellStyle name="Normal 5 5 2 3 4" xfId="9354" xr:uid="{3251F49D-E700-469D-9840-28045D408641}"/>
    <cellStyle name="Normal 5 5 2 3 4 2" xfId="18669" xr:uid="{C0C24E5F-F9CE-46AF-A4CE-0C13ACF671F7}"/>
    <cellStyle name="Normal 5 5 2 3 4 3" xfId="27966" xr:uid="{0ED4901D-957F-47DA-8F42-7012817D6C99}"/>
    <cellStyle name="Normal 5 5 2 3 5" xfId="10359" xr:uid="{D4D928E9-A759-434E-AB3B-9EFE1BE4E45B}"/>
    <cellStyle name="Normal 5 5 2 3 6" xfId="19658" xr:uid="{E8C041F7-02F6-47CA-9EF3-008E3581BA92}"/>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964A5949-19A9-4A86-984B-77C32D5FFE0E}"/>
    <cellStyle name="Normal 5 5 2 4 2 2 3" xfId="26433" xr:uid="{9BD2E052-F0C7-421A-B81E-A825C5FCC053}"/>
    <cellStyle name="Normal 5 5 2 4 2 3" xfId="12917" xr:uid="{133BA58D-22B6-41D5-B7ED-BD1CB3A8D713}"/>
    <cellStyle name="Normal 5 5 2 4 2 4" xfId="22216" xr:uid="{23562CF2-6332-4C4E-B695-F26CE7800AF6}"/>
    <cellStyle name="Normal 5 5 2 4 3" xfId="5663" xr:uid="{00000000-0005-0000-0000-0000691B0000}"/>
    <cellStyle name="Normal 5 5 2 4 3 2" xfId="14989" xr:uid="{3A274646-89B7-4592-8382-A4A45B5BCC00}"/>
    <cellStyle name="Normal 5 5 2 4 3 3" xfId="24288" xr:uid="{3E6B4763-B939-48DA-A846-762920FD1F2B}"/>
    <cellStyle name="Normal 5 5 2 4 4" xfId="10772" xr:uid="{396B7A18-E739-4E46-BA7E-14D675F78F4C}"/>
    <cellStyle name="Normal 5 5 2 4 5" xfId="20071" xr:uid="{E9A8F8B5-422D-4392-87DA-A337F6C87AD6}"/>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3D39B2B3-8F57-4848-8FCA-CC9E6536E12A}"/>
    <cellStyle name="Normal 5 5 2 5 2 2 3" xfId="26846" xr:uid="{701415B8-DDA7-40B2-8935-5085D4E65353}"/>
    <cellStyle name="Normal 5 5 2 5 2 3" xfId="13330" xr:uid="{088D7F91-493F-4966-909B-A35917BAA145}"/>
    <cellStyle name="Normal 5 5 2 5 2 4" xfId="22629" xr:uid="{7862915C-6D45-4F37-8612-5D575D8265E1}"/>
    <cellStyle name="Normal 5 5 2 5 3" xfId="6076" xr:uid="{00000000-0005-0000-0000-00006D1B0000}"/>
    <cellStyle name="Normal 5 5 2 5 3 2" xfId="15402" xr:uid="{664F8912-473D-4130-997D-632E6FC2806A}"/>
    <cellStyle name="Normal 5 5 2 5 3 3" xfId="24701" xr:uid="{FAF1FCD4-BC09-41EC-891B-61A78009AFA7}"/>
    <cellStyle name="Normal 5 5 2 5 4" xfId="11185" xr:uid="{180D8385-95C0-4735-BBCE-8521918C37D7}"/>
    <cellStyle name="Normal 5 5 2 5 5" xfId="20484" xr:uid="{BE7EEFE0-E6A3-4F72-A028-E1F17B1C817A}"/>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905F05E0-10CC-4F30-A388-39ED516AFC06}"/>
    <cellStyle name="Normal 5 5 2 6 2 2 3" xfId="27259" xr:uid="{8A1D388E-FCDD-4B37-BCA4-D9967892FCAC}"/>
    <cellStyle name="Normal 5 5 2 6 2 3" xfId="13743" xr:uid="{414D83CA-5520-45F7-9AA3-295E51DD9716}"/>
    <cellStyle name="Normal 5 5 2 6 2 4" xfId="23042" xr:uid="{0D15971F-A04A-4A4A-9885-9C7EA5A6299F}"/>
    <cellStyle name="Normal 5 5 2 6 3" xfId="6489" xr:uid="{00000000-0005-0000-0000-0000711B0000}"/>
    <cellStyle name="Normal 5 5 2 6 3 2" xfId="15815" xr:uid="{7887AEDB-51B5-47DE-B12F-FACF32ED4F8F}"/>
    <cellStyle name="Normal 5 5 2 6 3 3" xfId="25114" xr:uid="{A83BE3D6-A85D-4942-B59D-441125001D28}"/>
    <cellStyle name="Normal 5 5 2 6 4" xfId="11598" xr:uid="{D9C3DFE0-0F1D-47F8-9237-ACFC945DDF28}"/>
    <cellStyle name="Normal 5 5 2 6 5" xfId="20897" xr:uid="{4C419816-54DB-4555-907F-15D7DC10F4E8}"/>
    <cellStyle name="Normal 5 5 2 7" xfId="2619" xr:uid="{00000000-0005-0000-0000-0000721B0000}"/>
    <cellStyle name="Normal 5 5 2 7 2" xfId="6902" xr:uid="{00000000-0005-0000-0000-0000731B0000}"/>
    <cellStyle name="Normal 5 5 2 7 2 2" xfId="16228" xr:uid="{CB9B92D3-335C-4FE2-8377-104FD7F9FCDB}"/>
    <cellStyle name="Normal 5 5 2 7 2 3" xfId="25527" xr:uid="{5671637E-88B3-47FE-87B1-05802C51EE2E}"/>
    <cellStyle name="Normal 5 5 2 7 3" xfId="12011" xr:uid="{9D8EBA54-8852-4E72-A95A-F59DC1B95C50}"/>
    <cellStyle name="Normal 5 5 2 7 4" xfId="21310" xr:uid="{53AA48B8-0BAE-47A1-9051-BB8E4CD0C1D9}"/>
    <cellStyle name="Normal 5 5 2 8" xfId="4837" xr:uid="{00000000-0005-0000-0000-0000741B0000}"/>
    <cellStyle name="Normal 5 5 2 8 2" xfId="14163" xr:uid="{EE3B5807-E7ED-4C4B-8C89-F2182C2563C4}"/>
    <cellStyle name="Normal 5 5 2 8 3" xfId="23462" xr:uid="{60EF1B1E-DFDE-4B39-84DD-9E34E5862BD5}"/>
    <cellStyle name="Normal 5 5 2 9" xfId="8929" xr:uid="{918246BA-1946-46D4-8BAF-6DC0C4DC8AC3}"/>
    <cellStyle name="Normal 5 5 2 9 2" xfId="18253" xr:uid="{3CF2E4A5-5605-498A-A6C2-098953AB8B12}"/>
    <cellStyle name="Normal 5 5 2 9 3" xfId="27551" xr:uid="{4F344C43-8747-4532-8AE6-CFD9904C96E8}"/>
    <cellStyle name="Normal 5 5 3" xfId="467" xr:uid="{00000000-0005-0000-0000-0000751B0000}"/>
    <cellStyle name="Normal 5 5 3 10" xfId="19247" xr:uid="{FD199FCC-235D-4866-91BD-29770BBE9DA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09F66032-71BF-4C95-A718-52CC5E0BFC38}"/>
    <cellStyle name="Normal 5 5 3 2 2 2 3" xfId="26022" xr:uid="{9F71B378-867A-4A38-88FB-198C8281C50F}"/>
    <cellStyle name="Normal 5 5 3 2 2 3" xfId="12506" xr:uid="{DACF9AB6-A873-4A4E-BCB1-217F653DDA6C}"/>
    <cellStyle name="Normal 5 5 3 2 2 4" xfId="21805" xr:uid="{2C860BB3-C488-4279-89DF-E0FBE5F7A575}"/>
    <cellStyle name="Normal 5 5 3 2 3" xfId="5252" xr:uid="{00000000-0005-0000-0000-0000791B0000}"/>
    <cellStyle name="Normal 5 5 3 2 3 2" xfId="14578" xr:uid="{E9F97BE1-663F-447C-B033-9E105846B9C9}"/>
    <cellStyle name="Normal 5 5 3 2 3 3" xfId="23877" xr:uid="{16D7F060-4D47-492D-BB9C-33DBCBEECD25}"/>
    <cellStyle name="Normal 5 5 3 2 4" xfId="9458" xr:uid="{8AD16727-CFBF-4DB5-B58F-04D48E2B564D}"/>
    <cellStyle name="Normal 5 5 3 2 4 2" xfId="18773" xr:uid="{202D914B-205D-4739-87FE-EF1780A2A6AC}"/>
    <cellStyle name="Normal 5 5 3 2 4 3" xfId="28070" xr:uid="{BEC78315-E164-4400-87BE-CD76177FCFA5}"/>
    <cellStyle name="Normal 5 5 3 2 5" xfId="10361" xr:uid="{836FBC3A-A1FD-4DED-AFEC-BCD60CB73B7F}"/>
    <cellStyle name="Normal 5 5 3 2 6" xfId="19660" xr:uid="{C4CC95AC-82AE-407E-85A0-C4EA931BF2BA}"/>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FED08448-C443-4956-AAF9-D55CACDEA0AC}"/>
    <cellStyle name="Normal 5 5 3 3 2 2 3" xfId="26435" xr:uid="{2FB897F8-FF68-4437-B672-97DDED4336D8}"/>
    <cellStyle name="Normal 5 5 3 3 2 3" xfId="12919" xr:uid="{F8F3288F-0E90-40CA-8134-C76A4F29FBDA}"/>
    <cellStyle name="Normal 5 5 3 3 2 4" xfId="22218" xr:uid="{180303FF-4322-4046-A04B-028091DABD23}"/>
    <cellStyle name="Normal 5 5 3 3 3" xfId="5665" xr:uid="{00000000-0005-0000-0000-00007D1B0000}"/>
    <cellStyle name="Normal 5 5 3 3 3 2" xfId="14991" xr:uid="{F1BFE44F-DBA0-416B-83D2-59350397D94D}"/>
    <cellStyle name="Normal 5 5 3 3 3 3" xfId="24290" xr:uid="{630B4138-EC40-4E68-9F9B-7EF5C637FF98}"/>
    <cellStyle name="Normal 5 5 3 3 4" xfId="10774" xr:uid="{ADC78555-A469-411F-A9EC-111AA27C3259}"/>
    <cellStyle name="Normal 5 5 3 3 5" xfId="20073" xr:uid="{98726CEA-14A9-4C0D-A2FE-3C9213827629}"/>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1ED6E921-4C6D-4467-816C-B7D4423F4DE9}"/>
    <cellStyle name="Normal 5 5 3 4 2 2 3" xfId="26848" xr:uid="{0EAC79E6-79C8-41E9-9E67-A133697A6FF4}"/>
    <cellStyle name="Normal 5 5 3 4 2 3" xfId="13332" xr:uid="{F446E202-3941-4449-96E9-3351AE1DFA72}"/>
    <cellStyle name="Normal 5 5 3 4 2 4" xfId="22631" xr:uid="{F83EE807-C56E-4B8C-B418-A8EA3C4D4401}"/>
    <cellStyle name="Normal 5 5 3 4 3" xfId="6078" xr:uid="{00000000-0005-0000-0000-0000811B0000}"/>
    <cellStyle name="Normal 5 5 3 4 3 2" xfId="15404" xr:uid="{28CD776B-3B1F-4B0F-BEFE-0F11D1B0C815}"/>
    <cellStyle name="Normal 5 5 3 4 3 3" xfId="24703" xr:uid="{4E6F0B5E-475C-43B3-8B9E-A13B525BEF4F}"/>
    <cellStyle name="Normal 5 5 3 4 4" xfId="11187" xr:uid="{095A2AD1-4EBE-42EF-87DE-A207CBEDAF76}"/>
    <cellStyle name="Normal 5 5 3 4 5" xfId="20486" xr:uid="{70AAE3BE-FFE8-488D-805A-EEC855B1B7CB}"/>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3CC077F2-7DAA-4D61-BF8C-94EBC7C18965}"/>
    <cellStyle name="Normal 5 5 3 5 2 2 3" xfId="27261" xr:uid="{2F46D070-B25A-4CFE-A675-8786D512E988}"/>
    <cellStyle name="Normal 5 5 3 5 2 3" xfId="13745" xr:uid="{1FB8F86D-9473-45A5-8B54-6778FEB78ED0}"/>
    <cellStyle name="Normal 5 5 3 5 2 4" xfId="23044" xr:uid="{87A103D1-3861-4D0F-8488-6B372534711E}"/>
    <cellStyle name="Normal 5 5 3 5 3" xfId="6491" xr:uid="{00000000-0005-0000-0000-0000851B0000}"/>
    <cellStyle name="Normal 5 5 3 5 3 2" xfId="15817" xr:uid="{0DD7E61E-6265-46A1-86E0-A9279EC70BBC}"/>
    <cellStyle name="Normal 5 5 3 5 3 3" xfId="25116" xr:uid="{5EE157AF-35D0-4661-BCD1-2D91089B63F4}"/>
    <cellStyle name="Normal 5 5 3 5 4" xfId="11600" xr:uid="{F78EDEC3-837B-4C72-8089-B8900FA9349E}"/>
    <cellStyle name="Normal 5 5 3 5 5" xfId="20899" xr:uid="{579DE058-7032-4803-B6B1-143B3C6252DA}"/>
    <cellStyle name="Normal 5 5 3 6" xfId="2621" xr:uid="{00000000-0005-0000-0000-0000861B0000}"/>
    <cellStyle name="Normal 5 5 3 6 2" xfId="6904" xr:uid="{00000000-0005-0000-0000-0000871B0000}"/>
    <cellStyle name="Normal 5 5 3 6 2 2" xfId="16230" xr:uid="{CC3BE2CA-9CD2-411E-82DA-5FD358C48483}"/>
    <cellStyle name="Normal 5 5 3 6 2 3" xfId="25529" xr:uid="{5ED52337-7605-48A8-AE3C-6E63E9A486EF}"/>
    <cellStyle name="Normal 5 5 3 6 3" xfId="12013" xr:uid="{B7CE4A0E-640F-4A4F-BD30-6BCD7B511B73}"/>
    <cellStyle name="Normal 5 5 3 6 4" xfId="21312" xr:uid="{E2FCD167-B78E-4AA8-9B61-27CB31099771}"/>
    <cellStyle name="Normal 5 5 3 7" xfId="4839" xr:uid="{00000000-0005-0000-0000-0000881B0000}"/>
    <cellStyle name="Normal 5 5 3 7 2" xfId="14165" xr:uid="{B432F0C6-BE6B-409C-81D0-16D071554DB7}"/>
    <cellStyle name="Normal 5 5 3 7 3" xfId="23464" xr:uid="{FDB62C5A-9B14-44FB-AE4C-F52A39EF99C6}"/>
    <cellStyle name="Normal 5 5 3 8" xfId="9033" xr:uid="{08F77EF7-8D03-42D9-B538-FE3582C4B971}"/>
    <cellStyle name="Normal 5 5 3 8 2" xfId="18357" xr:uid="{46F76D3A-CA15-45B2-8705-268ACEF7F59C}"/>
    <cellStyle name="Normal 5 5 3 8 3" xfId="27655" xr:uid="{B7FA8838-E8DE-4271-9227-0745D80D4AE3}"/>
    <cellStyle name="Normal 5 5 3 9" xfId="9948" xr:uid="{0A9DE438-14E4-42A7-BDB5-ECC92DAB7719}"/>
    <cellStyle name="Normal 5 5 4" xfId="938" xr:uid="{00000000-0005-0000-0000-0000891B0000}"/>
    <cellStyle name="Normal 5 5 4 2" xfId="3172" xr:uid="{00000000-0005-0000-0000-00008A1B0000}"/>
    <cellStyle name="Normal 5 5 4 2 2" xfId="7394" xr:uid="{00000000-0005-0000-0000-00008B1B0000}"/>
    <cellStyle name="Normal 5 5 4 2 2 2" xfId="16720" xr:uid="{5FF2C71C-309F-4FBC-B36D-FD7B4E95AE00}"/>
    <cellStyle name="Normal 5 5 4 2 2 3" xfId="26019" xr:uid="{25E4C452-9DB1-441D-ACCA-05E940E2F34B}"/>
    <cellStyle name="Normal 5 5 4 2 3" xfId="12503" xr:uid="{16C1F00D-3E3B-4FCD-8416-0218EE9AD86B}"/>
    <cellStyle name="Normal 5 5 4 2 4" xfId="21802" xr:uid="{76132D79-AEFB-40C6-B7E0-842773B7D078}"/>
    <cellStyle name="Normal 5 5 4 3" xfId="5249" xr:uid="{00000000-0005-0000-0000-00008C1B0000}"/>
    <cellStyle name="Normal 5 5 4 3 2" xfId="14575" xr:uid="{CC2A4DE6-DAAD-43FC-913D-A390590CA16C}"/>
    <cellStyle name="Normal 5 5 4 3 3" xfId="23874" xr:uid="{918E3EDC-C289-4505-89BC-540684FEF57C}"/>
    <cellStyle name="Normal 5 5 4 4" xfId="9251" xr:uid="{4EAD9E35-D3C9-46BE-AE4D-29A1C6D5A6F7}"/>
    <cellStyle name="Normal 5 5 4 4 2" xfId="18566" xr:uid="{A7BF539F-E017-4C11-8ECB-DF9306017D52}"/>
    <cellStyle name="Normal 5 5 4 4 3" xfId="27863" xr:uid="{C4BB496B-A6BD-406D-9E43-E32F027AAADE}"/>
    <cellStyle name="Normal 5 5 4 5" xfId="10358" xr:uid="{5E7C1D92-475E-4E48-BEE2-45D1BF2A78E3}"/>
    <cellStyle name="Normal 5 5 4 6" xfId="19657" xr:uid="{742E2182-A5D1-479C-8765-D2C8461C5FC7}"/>
    <cellStyle name="Normal 5 5 5" xfId="1355" xr:uid="{00000000-0005-0000-0000-00008D1B0000}"/>
    <cellStyle name="Normal 5 5 5 2" xfId="3585" xr:uid="{00000000-0005-0000-0000-00008E1B0000}"/>
    <cellStyle name="Normal 5 5 5 2 2" xfId="7807" xr:uid="{00000000-0005-0000-0000-00008F1B0000}"/>
    <cellStyle name="Normal 5 5 5 2 2 2" xfId="17133" xr:uid="{AC910F7D-A012-4B9C-83D3-54D8750AEC0F}"/>
    <cellStyle name="Normal 5 5 5 2 2 3" xfId="26432" xr:uid="{648A02EB-18E6-47E0-A462-E0577816A631}"/>
    <cellStyle name="Normal 5 5 5 2 3" xfId="12916" xr:uid="{2F781C54-566D-49FC-AC00-0679DE6EF93B}"/>
    <cellStyle name="Normal 5 5 5 2 4" xfId="22215" xr:uid="{102CCE03-BB49-4278-AB94-89F9B066F89B}"/>
    <cellStyle name="Normal 5 5 5 3" xfId="5662" xr:uid="{00000000-0005-0000-0000-0000901B0000}"/>
    <cellStyle name="Normal 5 5 5 3 2" xfId="14988" xr:uid="{22C2399E-6993-4011-BB8D-392AF2BB7E56}"/>
    <cellStyle name="Normal 5 5 5 3 3" xfId="24287" xr:uid="{689F0BA8-90A3-4ED9-8BE6-DAAF003D8DD3}"/>
    <cellStyle name="Normal 5 5 5 4" xfId="10771" xr:uid="{764C8674-9FBA-440F-9CEF-C4D3B20B184F}"/>
    <cellStyle name="Normal 5 5 5 5" xfId="20070" xr:uid="{A3327B6F-0486-4BAA-A105-30723ED625CD}"/>
    <cellStyle name="Normal 5 5 6" xfId="1768" xr:uid="{00000000-0005-0000-0000-0000911B0000}"/>
    <cellStyle name="Normal 5 5 6 2" xfId="3998" xr:uid="{00000000-0005-0000-0000-0000921B0000}"/>
    <cellStyle name="Normal 5 5 6 2 2" xfId="8220" xr:uid="{00000000-0005-0000-0000-0000931B0000}"/>
    <cellStyle name="Normal 5 5 6 2 2 2" xfId="17546" xr:uid="{5E93F2FA-0718-4136-8D7D-D613853C2AC9}"/>
    <cellStyle name="Normal 5 5 6 2 2 3" xfId="26845" xr:uid="{A828FD49-44A3-4750-B844-B8AE5C31FEB6}"/>
    <cellStyle name="Normal 5 5 6 2 3" xfId="13329" xr:uid="{4F75B71D-CE81-4341-91D2-3134D3C9F525}"/>
    <cellStyle name="Normal 5 5 6 2 4" xfId="22628" xr:uid="{E54CCFBB-E9A2-4F0E-B319-DDDCBCE6313A}"/>
    <cellStyle name="Normal 5 5 6 3" xfId="6075" xr:uid="{00000000-0005-0000-0000-0000941B0000}"/>
    <cellStyle name="Normal 5 5 6 3 2" xfId="15401" xr:uid="{CFAD9DE1-7CEC-41F1-BADD-36745C949337}"/>
    <cellStyle name="Normal 5 5 6 3 3" xfId="24700" xr:uid="{4C91FF72-9433-41B0-B282-6D19F713AF5B}"/>
    <cellStyle name="Normal 5 5 6 4" xfId="11184" xr:uid="{2A8D28B9-D75C-4698-8DF0-97EDC235FBB8}"/>
    <cellStyle name="Normal 5 5 6 5" xfId="20483" xr:uid="{4A4C41B3-ED04-4986-A7E4-F98B0B81CC63}"/>
    <cellStyle name="Normal 5 5 7" xfId="2182" xr:uid="{00000000-0005-0000-0000-0000951B0000}"/>
    <cellStyle name="Normal 5 5 7 2" xfId="4411" xr:uid="{00000000-0005-0000-0000-0000961B0000}"/>
    <cellStyle name="Normal 5 5 7 2 2" xfId="8633" xr:uid="{00000000-0005-0000-0000-0000971B0000}"/>
    <cellStyle name="Normal 5 5 7 2 2 2" xfId="17959" xr:uid="{B3C2FFCF-2052-4B3C-8BA3-244462079F1F}"/>
    <cellStyle name="Normal 5 5 7 2 2 3" xfId="27258" xr:uid="{B276EABE-5E75-420D-8AD5-833E59D7BBB7}"/>
    <cellStyle name="Normal 5 5 7 2 3" xfId="13742" xr:uid="{3445FCB3-5D90-4477-8953-E0180BFD2326}"/>
    <cellStyle name="Normal 5 5 7 2 4" xfId="23041" xr:uid="{CBD6781A-19EB-4F57-BC81-702C75E9D574}"/>
    <cellStyle name="Normal 5 5 7 3" xfId="6488" xr:uid="{00000000-0005-0000-0000-0000981B0000}"/>
    <cellStyle name="Normal 5 5 7 3 2" xfId="15814" xr:uid="{ACBF2189-6EC2-41F9-B66A-DD782225C37D}"/>
    <cellStyle name="Normal 5 5 7 3 3" xfId="25113" xr:uid="{798ACF17-E6B1-4518-AEA7-4AFEA90458B2}"/>
    <cellStyle name="Normal 5 5 7 4" xfId="11597" xr:uid="{65ADD572-5CE7-481E-B5E9-3D87825B59C9}"/>
    <cellStyle name="Normal 5 5 7 5" xfId="20896" xr:uid="{2B95DD11-BA7D-4C7C-B2A7-916EF110A96A}"/>
    <cellStyle name="Normal 5 5 8" xfId="2618" xr:uid="{00000000-0005-0000-0000-0000991B0000}"/>
    <cellStyle name="Normal 5 5 8 2" xfId="6901" xr:uid="{00000000-0005-0000-0000-00009A1B0000}"/>
    <cellStyle name="Normal 5 5 8 2 2" xfId="16227" xr:uid="{DCF0BF97-5929-4204-B5EC-BB704ACEAF0F}"/>
    <cellStyle name="Normal 5 5 8 2 3" xfId="25526" xr:uid="{B35B5290-AE3C-42C2-B1FC-3024498A6B45}"/>
    <cellStyle name="Normal 5 5 8 3" xfId="12010" xr:uid="{55442395-106D-4947-99BB-2304349464FD}"/>
    <cellStyle name="Normal 5 5 8 4" xfId="21309" xr:uid="{45BF649D-EBE0-4EED-B6A3-60B218FD15E9}"/>
    <cellStyle name="Normal 5 5 9" xfId="4836" xr:uid="{00000000-0005-0000-0000-00009B1B0000}"/>
    <cellStyle name="Normal 5 5 9 2" xfId="14162" xr:uid="{0016DA7A-D6DF-4200-B092-00122A275C78}"/>
    <cellStyle name="Normal 5 5 9 3" xfId="23461" xr:uid="{324EEFD1-883C-4DE5-91CF-A28DF8722214}"/>
    <cellStyle name="Normal 5 6" xfId="468" xr:uid="{00000000-0005-0000-0000-00009C1B0000}"/>
    <cellStyle name="Normal 5 6 10" xfId="9949" xr:uid="{51CD0B0E-5F07-4FA0-8D98-82D6C5A78BDD}"/>
    <cellStyle name="Normal 5 6 11" xfId="19248" xr:uid="{90234159-D4B5-41C5-AAFC-DAC7FCB99EBD}"/>
    <cellStyle name="Normal 5 6 2" xfId="469" xr:uid="{00000000-0005-0000-0000-00009D1B0000}"/>
    <cellStyle name="Normal 5 6 2 10" xfId="19249" xr:uid="{4DE0E730-A00B-4F9B-B6B3-1F79D89061A8}"/>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1D70ED1C-7BDB-4C55-9DB0-AC8548535A6C}"/>
    <cellStyle name="Normal 5 6 2 2 2 2 3" xfId="26024" xr:uid="{9A0BE22F-8C63-4C54-BC2B-91693BDC912C}"/>
    <cellStyle name="Normal 5 6 2 2 2 3" xfId="12508" xr:uid="{54F5B70B-BCA9-48F7-A934-072EA363A81E}"/>
    <cellStyle name="Normal 5 6 2 2 2 4" xfId="21807" xr:uid="{5B0EF94F-974A-4453-8D57-EC9E3D79AE10}"/>
    <cellStyle name="Normal 5 6 2 2 3" xfId="5254" xr:uid="{00000000-0005-0000-0000-0000A11B0000}"/>
    <cellStyle name="Normal 5 6 2 2 3 2" xfId="14580" xr:uid="{4155ADBA-D111-4A55-97D5-7FB9C7E466B6}"/>
    <cellStyle name="Normal 5 6 2 2 3 3" xfId="23879" xr:uid="{955FEB8E-5B81-45D6-B9E5-799C61590CFD}"/>
    <cellStyle name="Normal 5 6 2 2 4" xfId="9476" xr:uid="{3B3E6CA1-4D97-4B11-99D5-4F82314AA0E0}"/>
    <cellStyle name="Normal 5 6 2 2 4 2" xfId="18791" xr:uid="{06AE1B4C-CF23-4AEF-B659-C17E76E4E9D4}"/>
    <cellStyle name="Normal 5 6 2 2 4 3" xfId="28088" xr:uid="{CA7B00A6-DF6D-4E10-9C22-D91823A88EC5}"/>
    <cellStyle name="Normal 5 6 2 2 5" xfId="10363" xr:uid="{FCC5D2D3-2005-4A56-B9A3-E91DD43469D4}"/>
    <cellStyle name="Normal 5 6 2 2 6" xfId="19662" xr:uid="{9EE2502E-0C0C-407E-8B50-AA428A20D940}"/>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C6913931-A077-4772-8549-7B20EF89BE58}"/>
    <cellStyle name="Normal 5 6 2 3 2 2 3" xfId="26437" xr:uid="{38414890-FF5E-4496-BD67-0F2986111502}"/>
    <cellStyle name="Normal 5 6 2 3 2 3" xfId="12921" xr:uid="{47EF9AAB-B07D-4F2E-B233-5BB94CAB018F}"/>
    <cellStyle name="Normal 5 6 2 3 2 4" xfId="22220" xr:uid="{D0446883-3B0A-47C0-9EB2-D27DF1F62B01}"/>
    <cellStyle name="Normal 5 6 2 3 3" xfId="5667" xr:uid="{00000000-0005-0000-0000-0000A51B0000}"/>
    <cellStyle name="Normal 5 6 2 3 3 2" xfId="14993" xr:uid="{85F3718D-BB11-4347-8619-0BFD290F5C1F}"/>
    <cellStyle name="Normal 5 6 2 3 3 3" xfId="24292" xr:uid="{7AEBED0F-825E-4FB4-9524-E40A6592B070}"/>
    <cellStyle name="Normal 5 6 2 3 4" xfId="10776" xr:uid="{151685F9-8BD6-4694-B365-F1E49C02CEB9}"/>
    <cellStyle name="Normal 5 6 2 3 5" xfId="20075" xr:uid="{85560C88-953B-4CC5-8540-BFFF94BD487E}"/>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97014619-4917-40A2-B304-178BA9C94A77}"/>
    <cellStyle name="Normal 5 6 2 4 2 2 3" xfId="26850" xr:uid="{807FCC31-9C8C-47DB-B670-C252BE7D8788}"/>
    <cellStyle name="Normal 5 6 2 4 2 3" xfId="13334" xr:uid="{B2908E9E-FB72-47D6-BE4E-38948DD98FF2}"/>
    <cellStyle name="Normal 5 6 2 4 2 4" xfId="22633" xr:uid="{16865ACE-34BF-4268-AE5B-41F76DCD5C25}"/>
    <cellStyle name="Normal 5 6 2 4 3" xfId="6080" xr:uid="{00000000-0005-0000-0000-0000A91B0000}"/>
    <cellStyle name="Normal 5 6 2 4 3 2" xfId="15406" xr:uid="{11834A84-1995-404E-996A-B02E2AB134F8}"/>
    <cellStyle name="Normal 5 6 2 4 3 3" xfId="24705" xr:uid="{2D8B5F5B-F61D-4C7E-B544-7CB36D52C4ED}"/>
    <cellStyle name="Normal 5 6 2 4 4" xfId="11189" xr:uid="{C6154F2F-67A7-4654-A1EC-222285829A2E}"/>
    <cellStyle name="Normal 5 6 2 4 5" xfId="20488" xr:uid="{90507FB9-73FC-4A5A-A73C-F3E08F3295C0}"/>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8744CD08-29D6-40B4-AB96-3466CFDDBB12}"/>
    <cellStyle name="Normal 5 6 2 5 2 2 3" xfId="27263" xr:uid="{A2437831-22D0-498A-82FB-A9E3ECE0504B}"/>
    <cellStyle name="Normal 5 6 2 5 2 3" xfId="13747" xr:uid="{B210179C-58C7-46E8-96C4-3F2194DEAECA}"/>
    <cellStyle name="Normal 5 6 2 5 2 4" xfId="23046" xr:uid="{7673086A-6955-4C30-B994-A6F9C0C6CF9E}"/>
    <cellStyle name="Normal 5 6 2 5 3" xfId="6493" xr:uid="{00000000-0005-0000-0000-0000AD1B0000}"/>
    <cellStyle name="Normal 5 6 2 5 3 2" xfId="15819" xr:uid="{DD37D8EB-E27A-4436-B826-FCB0E9E84A01}"/>
    <cellStyle name="Normal 5 6 2 5 3 3" xfId="25118" xr:uid="{9AEAE5B0-F2EC-4193-BE5E-8D1C0B8CBD5B}"/>
    <cellStyle name="Normal 5 6 2 5 4" xfId="11602" xr:uid="{A5BFE907-7887-4B2D-8EBC-89A713FD7937}"/>
    <cellStyle name="Normal 5 6 2 5 5" xfId="20901" xr:uid="{F90A69B4-B34D-49CF-8C51-11E6BD02A2B7}"/>
    <cellStyle name="Normal 5 6 2 6" xfId="2623" xr:uid="{00000000-0005-0000-0000-0000AE1B0000}"/>
    <cellStyle name="Normal 5 6 2 6 2" xfId="6906" xr:uid="{00000000-0005-0000-0000-0000AF1B0000}"/>
    <cellStyle name="Normal 5 6 2 6 2 2" xfId="16232" xr:uid="{D81E2D8B-6218-4551-B362-7ABD77B44AD5}"/>
    <cellStyle name="Normal 5 6 2 6 2 3" xfId="25531" xr:uid="{75DB5D6D-80F3-4126-87EF-A7F648CA70F4}"/>
    <cellStyle name="Normal 5 6 2 6 3" xfId="12015" xr:uid="{D394D676-BB90-45D3-B4B4-DD8E229A0151}"/>
    <cellStyle name="Normal 5 6 2 6 4" xfId="21314" xr:uid="{2588C86A-31F9-46B9-B61E-9B93C9E6CC6A}"/>
    <cellStyle name="Normal 5 6 2 7" xfId="4841" xr:uid="{00000000-0005-0000-0000-0000B01B0000}"/>
    <cellStyle name="Normal 5 6 2 7 2" xfId="14167" xr:uid="{CC27C8C4-B016-412B-BFB5-69A0BCAB88FA}"/>
    <cellStyle name="Normal 5 6 2 7 3" xfId="23466" xr:uid="{7481672B-3F9D-4623-9C2B-C61281CD5916}"/>
    <cellStyle name="Normal 5 6 2 8" xfId="9051" xr:uid="{97C72229-9AC1-4DA9-8A0B-8B4B6D970DE8}"/>
    <cellStyle name="Normal 5 6 2 8 2" xfId="18375" xr:uid="{AFB35796-3805-450E-A027-DF5C2FF698B6}"/>
    <cellStyle name="Normal 5 6 2 8 3" xfId="27673" xr:uid="{C113D77E-F5A7-49CA-93F8-7DE90BFB2BAF}"/>
    <cellStyle name="Normal 5 6 2 9" xfId="9950" xr:uid="{58C6387B-2F87-4DB6-B14A-2A0F20129360}"/>
    <cellStyle name="Normal 5 6 3" xfId="942" xr:uid="{00000000-0005-0000-0000-0000B11B0000}"/>
    <cellStyle name="Normal 5 6 3 2" xfId="3176" xr:uid="{00000000-0005-0000-0000-0000B21B0000}"/>
    <cellStyle name="Normal 5 6 3 2 2" xfId="7398" xr:uid="{00000000-0005-0000-0000-0000B31B0000}"/>
    <cellStyle name="Normal 5 6 3 2 2 2" xfId="16724" xr:uid="{F2ADD76B-ECEC-4F4A-AE19-CE3D9C2845C7}"/>
    <cellStyle name="Normal 5 6 3 2 2 3" xfId="26023" xr:uid="{AFA9D9BE-491F-4EAC-BFF7-E7D65620656D}"/>
    <cellStyle name="Normal 5 6 3 2 3" xfId="12507" xr:uid="{567525C0-B94E-43E5-AE66-BCE7BB431B9F}"/>
    <cellStyle name="Normal 5 6 3 2 4" xfId="21806" xr:uid="{8B5EBB9F-03F1-4CBD-BCFB-C3FFC0B331CE}"/>
    <cellStyle name="Normal 5 6 3 3" xfId="5253" xr:uid="{00000000-0005-0000-0000-0000B41B0000}"/>
    <cellStyle name="Normal 5 6 3 3 2" xfId="14579" xr:uid="{7AB9BC3F-2582-468C-BF4E-34EFB57C192A}"/>
    <cellStyle name="Normal 5 6 3 3 3" xfId="23878" xr:uid="{E1EECF6C-5657-4708-917F-98FD997BB2E8}"/>
    <cellStyle name="Normal 5 6 3 4" xfId="9269" xr:uid="{7D6728A0-C210-4F3F-8114-143B9AE0BFB4}"/>
    <cellStyle name="Normal 5 6 3 4 2" xfId="18584" xr:uid="{BA8340FC-ED5A-40D4-BD1E-BEEAD51FADDF}"/>
    <cellStyle name="Normal 5 6 3 4 3" xfId="27881" xr:uid="{E7B3FE8A-DED7-4379-AA62-86198B8395AE}"/>
    <cellStyle name="Normal 5 6 3 5" xfId="10362" xr:uid="{92B31D86-B0ED-4A38-9AC5-9AC993C01B72}"/>
    <cellStyle name="Normal 5 6 3 6" xfId="19661" xr:uid="{D107D0F7-6B0B-46C3-AFC1-07F527C66B86}"/>
    <cellStyle name="Normal 5 6 4" xfId="1359" xr:uid="{00000000-0005-0000-0000-0000B51B0000}"/>
    <cellStyle name="Normal 5 6 4 2" xfId="3589" xr:uid="{00000000-0005-0000-0000-0000B61B0000}"/>
    <cellStyle name="Normal 5 6 4 2 2" xfId="7811" xr:uid="{00000000-0005-0000-0000-0000B71B0000}"/>
    <cellStyle name="Normal 5 6 4 2 2 2" xfId="17137" xr:uid="{ED735A4E-ED19-4754-9258-80235BFB2C53}"/>
    <cellStyle name="Normal 5 6 4 2 2 3" xfId="26436" xr:uid="{2C28366E-0ADE-408E-A6A7-8D23451C431E}"/>
    <cellStyle name="Normal 5 6 4 2 3" xfId="12920" xr:uid="{C6CBC39C-CD20-46FD-B41C-21326026C28D}"/>
    <cellStyle name="Normal 5 6 4 2 4" xfId="22219" xr:uid="{4DB092E1-DD9F-4EDD-B727-2434A859DD10}"/>
    <cellStyle name="Normal 5 6 4 3" xfId="5666" xr:uid="{00000000-0005-0000-0000-0000B81B0000}"/>
    <cellStyle name="Normal 5 6 4 3 2" xfId="14992" xr:uid="{233CF8F7-0571-48A4-89E4-27BDD870EC12}"/>
    <cellStyle name="Normal 5 6 4 3 3" xfId="24291" xr:uid="{11B3100D-6363-4F03-B518-43A7841F67BC}"/>
    <cellStyle name="Normal 5 6 4 4" xfId="10775" xr:uid="{15CBD2D2-0E31-4631-A6C9-EA1D1ADBBE47}"/>
    <cellStyle name="Normal 5 6 4 5" xfId="20074" xr:uid="{AA559BE9-FF87-4DBC-BA72-7FA6DD6678E3}"/>
    <cellStyle name="Normal 5 6 5" xfId="1772" xr:uid="{00000000-0005-0000-0000-0000B91B0000}"/>
    <cellStyle name="Normal 5 6 5 2" xfId="4002" xr:uid="{00000000-0005-0000-0000-0000BA1B0000}"/>
    <cellStyle name="Normal 5 6 5 2 2" xfId="8224" xr:uid="{00000000-0005-0000-0000-0000BB1B0000}"/>
    <cellStyle name="Normal 5 6 5 2 2 2" xfId="17550" xr:uid="{380D60AC-8E87-4127-970A-3214E25C49D8}"/>
    <cellStyle name="Normal 5 6 5 2 2 3" xfId="26849" xr:uid="{FEDA22B7-98B8-47D5-AA14-D6723B61FF76}"/>
    <cellStyle name="Normal 5 6 5 2 3" xfId="13333" xr:uid="{E47ED639-439F-451A-B7C2-09D77CBF661E}"/>
    <cellStyle name="Normal 5 6 5 2 4" xfId="22632" xr:uid="{D352AF44-51BF-4A3A-95CC-B35F23F7CF9A}"/>
    <cellStyle name="Normal 5 6 5 3" xfId="6079" xr:uid="{00000000-0005-0000-0000-0000BC1B0000}"/>
    <cellStyle name="Normal 5 6 5 3 2" xfId="15405" xr:uid="{064D1AE9-D54F-4B52-A672-0A3F29FB1EED}"/>
    <cellStyle name="Normal 5 6 5 3 3" xfId="24704" xr:uid="{77A7E450-4872-4327-A8E7-3A9B02E528F9}"/>
    <cellStyle name="Normal 5 6 5 4" xfId="11188" xr:uid="{63BB263B-6F91-4C9D-AA04-90EDC60E88ED}"/>
    <cellStyle name="Normal 5 6 5 5" xfId="20487" xr:uid="{A1A67807-3667-44D7-BC5F-C79993DD366D}"/>
    <cellStyle name="Normal 5 6 6" xfId="2186" xr:uid="{00000000-0005-0000-0000-0000BD1B0000}"/>
    <cellStyle name="Normal 5 6 6 2" xfId="4415" xr:uid="{00000000-0005-0000-0000-0000BE1B0000}"/>
    <cellStyle name="Normal 5 6 6 2 2" xfId="8637" xr:uid="{00000000-0005-0000-0000-0000BF1B0000}"/>
    <cellStyle name="Normal 5 6 6 2 2 2" xfId="17963" xr:uid="{9CE55C28-6BBC-469C-9A1E-632D092878DE}"/>
    <cellStyle name="Normal 5 6 6 2 2 3" xfId="27262" xr:uid="{C89B1452-3CD4-44D2-B730-1B63E6FFB3D8}"/>
    <cellStyle name="Normal 5 6 6 2 3" xfId="13746" xr:uid="{718EA4DD-5A0B-4842-8114-587D804E8559}"/>
    <cellStyle name="Normal 5 6 6 2 4" xfId="23045" xr:uid="{F6C1E171-1ED5-4187-85CC-5B0C8F6F8089}"/>
    <cellStyle name="Normal 5 6 6 3" xfId="6492" xr:uid="{00000000-0005-0000-0000-0000C01B0000}"/>
    <cellStyle name="Normal 5 6 6 3 2" xfId="15818" xr:uid="{6FC07223-01B2-4018-BF21-E99EB25A1AE9}"/>
    <cellStyle name="Normal 5 6 6 3 3" xfId="25117" xr:uid="{7C2AFB2B-74FB-4D4C-8B27-47D553BB3986}"/>
    <cellStyle name="Normal 5 6 6 4" xfId="11601" xr:uid="{93DB3CBA-208C-4479-BCDF-F40D74597B38}"/>
    <cellStyle name="Normal 5 6 6 5" xfId="20900" xr:uid="{61CD625E-7999-45EB-AD30-296590930121}"/>
    <cellStyle name="Normal 5 6 7" xfId="2622" xr:uid="{00000000-0005-0000-0000-0000C11B0000}"/>
    <cellStyle name="Normal 5 6 7 2" xfId="6905" xr:uid="{00000000-0005-0000-0000-0000C21B0000}"/>
    <cellStyle name="Normal 5 6 7 2 2" xfId="16231" xr:uid="{5E38ECEE-1855-4A70-B7C8-E426B4724EE1}"/>
    <cellStyle name="Normal 5 6 7 2 3" xfId="25530" xr:uid="{4352A650-1949-44A6-B8AF-FAB4BC19A0BA}"/>
    <cellStyle name="Normal 5 6 7 3" xfId="12014" xr:uid="{6507039D-A29F-4AA2-BF4B-D7D743517473}"/>
    <cellStyle name="Normal 5 6 7 4" xfId="21313" xr:uid="{11BBCBAA-6D4B-4440-9457-86D728E4B49B}"/>
    <cellStyle name="Normal 5 6 8" xfId="4840" xr:uid="{00000000-0005-0000-0000-0000C31B0000}"/>
    <cellStyle name="Normal 5 6 8 2" xfId="14166" xr:uid="{1BB1923D-DF6B-496A-991A-FB4E6BADE302}"/>
    <cellStyle name="Normal 5 6 8 3" xfId="23465" xr:uid="{CD77E70A-1D90-4DE3-8562-3BE584E886B6}"/>
    <cellStyle name="Normal 5 6 9" xfId="8844" xr:uid="{91B947E4-8FF0-409F-B157-688724766D9F}"/>
    <cellStyle name="Normal 5 6 9 2" xfId="18168" xr:uid="{F9032284-B728-479D-912E-5FD85124CB1F}"/>
    <cellStyle name="Normal 5 6 9 3" xfId="27466" xr:uid="{32C36BFB-19F1-487D-9BB4-0B0A6B95F4A1}"/>
    <cellStyle name="Normal 5 7" xfId="470" xr:uid="{00000000-0005-0000-0000-0000C41B0000}"/>
    <cellStyle name="Normal 5 7 10" xfId="19250" xr:uid="{46086E6E-E279-4D68-9761-B513B2964ACA}"/>
    <cellStyle name="Normal 5 7 2" xfId="944" xr:uid="{00000000-0005-0000-0000-0000C51B0000}"/>
    <cellStyle name="Normal 5 7 2 2" xfId="3178" xr:uid="{00000000-0005-0000-0000-0000C61B0000}"/>
    <cellStyle name="Normal 5 7 2 2 2" xfId="7400" xr:uid="{00000000-0005-0000-0000-0000C71B0000}"/>
    <cellStyle name="Normal 5 7 2 2 2 2" xfId="16726" xr:uid="{2BA83362-A2D6-4F4C-81CE-40F4779E283C}"/>
    <cellStyle name="Normal 5 7 2 2 2 3" xfId="26025" xr:uid="{5FF3A444-C10F-471B-862F-A3906505925F}"/>
    <cellStyle name="Normal 5 7 2 2 3" xfId="12509" xr:uid="{12AACE1D-4EC3-45A3-B0AF-E2104F36B15F}"/>
    <cellStyle name="Normal 5 7 2 2 4" xfId="21808" xr:uid="{1F67CB6B-DD90-47CA-9871-D095AEC1A19C}"/>
    <cellStyle name="Normal 5 7 2 3" xfId="5255" xr:uid="{00000000-0005-0000-0000-0000C81B0000}"/>
    <cellStyle name="Normal 5 7 2 3 2" xfId="14581" xr:uid="{80F97607-403C-4D4E-9E76-CABAC73926B4}"/>
    <cellStyle name="Normal 5 7 2 3 3" xfId="23880" xr:uid="{970B3529-FF5E-45A0-B12E-ACB6B3ACA4BA}"/>
    <cellStyle name="Normal 5 7 2 4" xfId="9385" xr:uid="{2E4A3B0A-2E42-41AC-9564-09D1598995A2}"/>
    <cellStyle name="Normal 5 7 2 4 2" xfId="18700" xr:uid="{66914DF9-E0B7-4A14-B7D0-A9F7CA7684BE}"/>
    <cellStyle name="Normal 5 7 2 4 3" xfId="27997" xr:uid="{4C34566C-AAA8-41A3-8162-FA10F5DB3A36}"/>
    <cellStyle name="Normal 5 7 2 5" xfId="10364" xr:uid="{8826EAD9-0C5C-435F-9CA9-962DDD34965D}"/>
    <cellStyle name="Normal 5 7 2 6" xfId="19663" xr:uid="{05A2DFAA-B2E4-4531-82F2-2B915A4DE09C}"/>
    <cellStyle name="Normal 5 7 3" xfId="1361" xr:uid="{00000000-0005-0000-0000-0000C91B0000}"/>
    <cellStyle name="Normal 5 7 3 2" xfId="3591" xr:uid="{00000000-0005-0000-0000-0000CA1B0000}"/>
    <cellStyle name="Normal 5 7 3 2 2" xfId="7813" xr:uid="{00000000-0005-0000-0000-0000CB1B0000}"/>
    <cellStyle name="Normal 5 7 3 2 2 2" xfId="17139" xr:uid="{C874800F-8807-4664-BDE3-93AD8AE62CEF}"/>
    <cellStyle name="Normal 5 7 3 2 2 3" xfId="26438" xr:uid="{F1486650-86F7-4DF2-AB0D-EFAF42CCF094}"/>
    <cellStyle name="Normal 5 7 3 2 3" xfId="12922" xr:uid="{E203BD38-1A96-4E25-A4D9-B495F383107A}"/>
    <cellStyle name="Normal 5 7 3 2 4" xfId="22221" xr:uid="{FE840029-398D-4074-82CE-3E8B62E50512}"/>
    <cellStyle name="Normal 5 7 3 3" xfId="5668" xr:uid="{00000000-0005-0000-0000-0000CC1B0000}"/>
    <cellStyle name="Normal 5 7 3 3 2" xfId="14994" xr:uid="{634A4B5A-EFF0-4E23-9682-5C9306CDD3E8}"/>
    <cellStyle name="Normal 5 7 3 3 3" xfId="24293" xr:uid="{83EA780C-FACA-4BD6-97C2-8D2B0AA92A6A}"/>
    <cellStyle name="Normal 5 7 3 4" xfId="10777" xr:uid="{98AD97B3-BF05-4BD6-808C-E1BA75447CD6}"/>
    <cellStyle name="Normal 5 7 3 5" xfId="20076" xr:uid="{60FA7056-7D20-473C-B35B-B239ED37F7E7}"/>
    <cellStyle name="Normal 5 7 4" xfId="1774" xr:uid="{00000000-0005-0000-0000-0000CD1B0000}"/>
    <cellStyle name="Normal 5 7 4 2" xfId="4004" xr:uid="{00000000-0005-0000-0000-0000CE1B0000}"/>
    <cellStyle name="Normal 5 7 4 2 2" xfId="8226" xr:uid="{00000000-0005-0000-0000-0000CF1B0000}"/>
    <cellStyle name="Normal 5 7 4 2 2 2" xfId="17552" xr:uid="{070CEA59-9632-4867-A458-E0A16C197E7C}"/>
    <cellStyle name="Normal 5 7 4 2 2 3" xfId="26851" xr:uid="{5921394D-F16F-4A59-9F7E-804074D847BC}"/>
    <cellStyle name="Normal 5 7 4 2 3" xfId="13335" xr:uid="{EDEC2929-FDF1-4E9F-9C9D-0EA593A5A40C}"/>
    <cellStyle name="Normal 5 7 4 2 4" xfId="22634" xr:uid="{A9CCA044-479E-4BB5-828A-B56BBFF456AF}"/>
    <cellStyle name="Normal 5 7 4 3" xfId="6081" xr:uid="{00000000-0005-0000-0000-0000D01B0000}"/>
    <cellStyle name="Normal 5 7 4 3 2" xfId="15407" xr:uid="{A2AD73EE-C2A1-43F7-B784-ACA5D88669CB}"/>
    <cellStyle name="Normal 5 7 4 3 3" xfId="24706" xr:uid="{AB6F2C98-40B7-4179-9653-89DF09ED1CFC}"/>
    <cellStyle name="Normal 5 7 4 4" xfId="11190" xr:uid="{E8A85D11-916D-4387-9B13-EA6CF229896C}"/>
    <cellStyle name="Normal 5 7 4 5" xfId="20489" xr:uid="{522C1334-CC16-42A8-9022-D7EFF9736AC5}"/>
    <cellStyle name="Normal 5 7 5" xfId="2188" xr:uid="{00000000-0005-0000-0000-0000D11B0000}"/>
    <cellStyle name="Normal 5 7 5 2" xfId="4417" xr:uid="{00000000-0005-0000-0000-0000D21B0000}"/>
    <cellStyle name="Normal 5 7 5 2 2" xfId="8639" xr:uid="{00000000-0005-0000-0000-0000D31B0000}"/>
    <cellStyle name="Normal 5 7 5 2 2 2" xfId="17965" xr:uid="{5C916CBB-5751-4EA4-8D94-95A09CF616E1}"/>
    <cellStyle name="Normal 5 7 5 2 2 3" xfId="27264" xr:uid="{30007ABA-3F6F-459D-8D3D-D860D96BF1C3}"/>
    <cellStyle name="Normal 5 7 5 2 3" xfId="13748" xr:uid="{6812044E-8D06-408B-8FC5-C0E3A4E41708}"/>
    <cellStyle name="Normal 5 7 5 2 4" xfId="23047" xr:uid="{85EE22AB-4188-48CF-B9F7-564C0198453A}"/>
    <cellStyle name="Normal 5 7 5 3" xfId="6494" xr:uid="{00000000-0005-0000-0000-0000D41B0000}"/>
    <cellStyle name="Normal 5 7 5 3 2" xfId="15820" xr:uid="{1B7B753A-72BB-4531-8C0A-5BA3FEA20478}"/>
    <cellStyle name="Normal 5 7 5 3 3" xfId="25119" xr:uid="{DC1619DF-17EE-4A90-A071-7E5E20EE1840}"/>
    <cellStyle name="Normal 5 7 5 4" xfId="11603" xr:uid="{77F9484F-EE41-48D5-92DF-655EA753731E}"/>
    <cellStyle name="Normal 5 7 5 5" xfId="20902" xr:uid="{0770EA23-28F0-4ADD-A001-520AAC674525}"/>
    <cellStyle name="Normal 5 7 6" xfId="2624" xr:uid="{00000000-0005-0000-0000-0000D51B0000}"/>
    <cellStyle name="Normal 5 7 6 2" xfId="6907" xr:uid="{00000000-0005-0000-0000-0000D61B0000}"/>
    <cellStyle name="Normal 5 7 6 2 2" xfId="16233" xr:uid="{189EAFF1-AF72-4495-9262-9CC398773801}"/>
    <cellStyle name="Normal 5 7 6 2 3" xfId="25532" xr:uid="{6A569764-B711-4103-80C6-CC917EA8D0A4}"/>
    <cellStyle name="Normal 5 7 6 3" xfId="12016" xr:uid="{9792041D-98E9-4755-9FFE-07BD046BE89A}"/>
    <cellStyle name="Normal 5 7 6 4" xfId="21315" xr:uid="{D164ECF1-AF35-4D23-948C-46BF59CC5AE3}"/>
    <cellStyle name="Normal 5 7 7" xfId="4842" xr:uid="{00000000-0005-0000-0000-0000D71B0000}"/>
    <cellStyle name="Normal 5 7 7 2" xfId="14168" xr:uid="{AD2CA773-0802-48CD-B576-7E45769A2023}"/>
    <cellStyle name="Normal 5 7 7 3" xfId="23467" xr:uid="{4CA10D2C-F5C5-479F-B35A-86BBCBBC29F0}"/>
    <cellStyle name="Normal 5 7 8" xfId="8960" xr:uid="{F4BEC964-53C9-4393-B7F1-69B47FC1FF25}"/>
    <cellStyle name="Normal 5 7 8 2" xfId="18284" xr:uid="{DE03D0FB-1F0A-4ADC-9962-270C95C82930}"/>
    <cellStyle name="Normal 5 7 8 3" xfId="27582" xr:uid="{2B189556-DBD1-45C8-9805-68B548F0FC0E}"/>
    <cellStyle name="Normal 5 7 9" xfId="9951" xr:uid="{7A10BA80-237B-4282-882D-1B040E64D367}"/>
    <cellStyle name="Normal 5 8" xfId="880" xr:uid="{00000000-0005-0000-0000-0000D81B0000}"/>
    <cellStyle name="Normal 5 8 2" xfId="3115" xr:uid="{00000000-0005-0000-0000-0000D91B0000}"/>
    <cellStyle name="Normal 5 8 2 2" xfId="7337" xr:uid="{00000000-0005-0000-0000-0000DA1B0000}"/>
    <cellStyle name="Normal 5 8 2 2 2" xfId="16663" xr:uid="{37625AF9-01A1-484E-9F95-537C87370676}"/>
    <cellStyle name="Normal 5 8 2 2 3" xfId="25962" xr:uid="{BB10AD96-CE0B-4AEA-926E-8E854B07DED5}"/>
    <cellStyle name="Normal 5 8 2 3" xfId="12446" xr:uid="{888B1B75-FE9A-4026-BDBA-2923A86057D8}"/>
    <cellStyle name="Normal 5 8 2 4" xfId="21745" xr:uid="{073F5EBD-1CF1-49B0-A19A-6BCE5D61F6E9}"/>
    <cellStyle name="Normal 5 8 3" xfId="5192" xr:uid="{00000000-0005-0000-0000-0000DB1B0000}"/>
    <cellStyle name="Normal 5 8 3 2" xfId="14518" xr:uid="{50397200-C001-47A0-9E81-FB932537D56F}"/>
    <cellStyle name="Normal 5 8 3 3" xfId="23817" xr:uid="{4A861E36-E9E2-4A90-8228-7399A705D837}"/>
    <cellStyle name="Normal 5 8 4" xfId="9163" xr:uid="{44C7CAD4-DD7C-48E0-9142-8ED22123C662}"/>
    <cellStyle name="Normal 5 8 4 2" xfId="18481" xr:uid="{A2F60F4F-FF73-4735-AC4C-8628D2356FFF}"/>
    <cellStyle name="Normal 5 8 4 3" xfId="27778" xr:uid="{9845B8EB-07F7-48A6-B49C-852AC368C11F}"/>
    <cellStyle name="Normal 5 8 5" xfId="10301" xr:uid="{C9F1EEC4-7626-425A-A762-4AA66BAB705C}"/>
    <cellStyle name="Normal 5 8 6" xfId="19600" xr:uid="{6B8CBC0B-A122-4397-99C9-92A7B9CD3C2B}"/>
    <cellStyle name="Normal 5 9" xfId="1298" xr:uid="{00000000-0005-0000-0000-0000DC1B0000}"/>
    <cellStyle name="Normal 5 9 2" xfId="3528" xr:uid="{00000000-0005-0000-0000-0000DD1B0000}"/>
    <cellStyle name="Normal 5 9 2 2" xfId="7750" xr:uid="{00000000-0005-0000-0000-0000DE1B0000}"/>
    <cellStyle name="Normal 5 9 2 2 2" xfId="17076" xr:uid="{0116431D-9866-4D30-9562-27857E6438CD}"/>
    <cellStyle name="Normal 5 9 2 2 3" xfId="26375" xr:uid="{31B34846-4098-4DB4-AFB7-3963BA7DCD44}"/>
    <cellStyle name="Normal 5 9 2 3" xfId="12859" xr:uid="{76ADE6F4-EEBE-424F-B444-288DC157FCA2}"/>
    <cellStyle name="Normal 5 9 2 4" xfId="22158" xr:uid="{0F397365-7523-4301-8BBB-315597A1614E}"/>
    <cellStyle name="Normal 5 9 3" xfId="5605" xr:uid="{00000000-0005-0000-0000-0000DF1B0000}"/>
    <cellStyle name="Normal 5 9 3 2" xfId="14931" xr:uid="{4E654D9C-D2D0-4DAD-87A4-18CDA942570D}"/>
    <cellStyle name="Normal 5 9 3 3" xfId="24230" xr:uid="{C632DC8F-0FA5-48EB-B3E8-1AA41CE28D2A}"/>
    <cellStyle name="Normal 5 9 4" xfId="10714" xr:uid="{B11A6155-295E-4429-B43D-405BD03BDDA6}"/>
    <cellStyle name="Normal 5 9 5" xfId="20013" xr:uid="{9268E6B5-B72E-4DEE-B5B4-2562F8E2CE6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6711432D-4C22-4FC5-9A47-00372D671843}"/>
    <cellStyle name="Normal 8 10 2 2 3" xfId="27265" xr:uid="{50E5B793-D7E7-4AE8-AFE6-4E2A6D2DE58F}"/>
    <cellStyle name="Normal 8 10 2 3" xfId="13749" xr:uid="{70F96E5C-8259-4EBE-8904-EBC11D7024F9}"/>
    <cellStyle name="Normal 8 10 2 4" xfId="23048" xr:uid="{5F65E627-7B63-4CB6-B413-2F41DAC257B6}"/>
    <cellStyle name="Normal 8 10 3" xfId="6495" xr:uid="{00000000-0005-0000-0000-0000EB1B0000}"/>
    <cellStyle name="Normal 8 10 3 2" xfId="15821" xr:uid="{2AEBAD78-FAF8-4150-977B-3226DD1B240E}"/>
    <cellStyle name="Normal 8 10 3 3" xfId="25120" xr:uid="{8D974A0C-C253-41C5-8E9D-944D09E20F8C}"/>
    <cellStyle name="Normal 8 10 4" xfId="11604" xr:uid="{6441575D-19E3-47AF-A6A6-B6D2FBBA8C94}"/>
    <cellStyle name="Normal 8 10 5" xfId="20903" xr:uid="{84B15474-4CE7-4A77-B758-CE13F5328A5A}"/>
    <cellStyle name="Normal 8 11" xfId="2625" xr:uid="{00000000-0005-0000-0000-0000EC1B0000}"/>
    <cellStyle name="Normal 8 11 2" xfId="6908" xr:uid="{00000000-0005-0000-0000-0000ED1B0000}"/>
    <cellStyle name="Normal 8 11 2 2" xfId="16234" xr:uid="{AF00A163-9237-47C8-8EED-8666FA09859E}"/>
    <cellStyle name="Normal 8 11 2 3" xfId="25533" xr:uid="{43832CEB-31D3-42AE-A822-7876156DBB99}"/>
    <cellStyle name="Normal 8 11 3" xfId="12017" xr:uid="{62670F07-D695-4BFD-A4FA-6E3743C36946}"/>
    <cellStyle name="Normal 8 11 4" xfId="21316" xr:uid="{E1948D04-2B9A-471D-91EE-A5ABBFB30AF6}"/>
    <cellStyle name="Normal 8 12" xfId="4843" xr:uid="{00000000-0005-0000-0000-0000EE1B0000}"/>
    <cellStyle name="Normal 8 12 2" xfId="14169" xr:uid="{812CB9E3-3B52-4644-B516-7736395F7760}"/>
    <cellStyle name="Normal 8 12 3" xfId="23468" xr:uid="{A9A2F764-9DCE-4F29-851B-30149E241A48}"/>
    <cellStyle name="Normal 8 13" xfId="8742" xr:uid="{AF36CBBC-3EEB-4AC8-923B-65C7C2418AB0}"/>
    <cellStyle name="Normal 8 13 2" xfId="18066" xr:uid="{F9884218-4BB0-4A60-B629-2D5BAE1F9437}"/>
    <cellStyle name="Normal 8 13 3" xfId="27364" xr:uid="{90D92079-B9AF-4284-A33A-4E056ABFFE64}"/>
    <cellStyle name="Normal 8 14" xfId="9952" xr:uid="{DC18D894-6196-4CAC-9BAD-2B1E898F6EB3}"/>
    <cellStyle name="Normal 8 15" xfId="19251" xr:uid="{A1E79E20-CFD4-4E00-8E00-ECA8C4ECAAE5}"/>
    <cellStyle name="Normal 8 2" xfId="479" xr:uid="{00000000-0005-0000-0000-0000EF1B0000}"/>
    <cellStyle name="Normal 8 2 10" xfId="2626" xr:uid="{00000000-0005-0000-0000-0000F01B0000}"/>
    <cellStyle name="Normal 8 2 10 2" xfId="6909" xr:uid="{00000000-0005-0000-0000-0000F11B0000}"/>
    <cellStyle name="Normal 8 2 10 2 2" xfId="16235" xr:uid="{F286038B-B1EF-426F-BC60-3B2350845FC9}"/>
    <cellStyle name="Normal 8 2 10 2 3" xfId="25534" xr:uid="{C838E5E2-BD9B-4213-9873-1F87B5AE1C15}"/>
    <cellStyle name="Normal 8 2 10 3" xfId="12018" xr:uid="{1940AA33-3B8D-4A25-AA53-8367853D816A}"/>
    <cellStyle name="Normal 8 2 10 4" xfId="21317" xr:uid="{9920662B-9906-4759-A1F2-6D31DF0E3304}"/>
    <cellStyle name="Normal 8 2 11" xfId="4844" xr:uid="{00000000-0005-0000-0000-0000F21B0000}"/>
    <cellStyle name="Normal 8 2 11 2" xfId="14170" xr:uid="{4B95894D-DB72-4512-AB60-A596AC0CDBF7}"/>
    <cellStyle name="Normal 8 2 11 3" xfId="23469" xr:uid="{BD229E77-094B-4CB1-9C08-513F0252BD25}"/>
    <cellStyle name="Normal 8 2 12" xfId="8751" xr:uid="{476D0553-3387-4D9F-B05B-56EC7A36F7A1}"/>
    <cellStyle name="Normal 8 2 12 2" xfId="18075" xr:uid="{75D8A0A2-8759-41DD-AD6E-FC1AC4FA6EA5}"/>
    <cellStyle name="Normal 8 2 12 3" xfId="27373" xr:uid="{45CCB489-8978-4884-AC4A-CB080F5C5C9F}"/>
    <cellStyle name="Normal 8 2 13" xfId="9953" xr:uid="{58B0A385-919B-4D76-B15B-60CAE04F64A1}"/>
    <cellStyle name="Normal 8 2 14" xfId="19252" xr:uid="{85EC017A-7F70-44F1-BED6-FDA31347D442}"/>
    <cellStyle name="Normal 8 2 2" xfId="480" xr:uid="{00000000-0005-0000-0000-0000F31B0000}"/>
    <cellStyle name="Normal 8 2 2 10" xfId="4845" xr:uid="{00000000-0005-0000-0000-0000F41B0000}"/>
    <cellStyle name="Normal 8 2 2 10 2" xfId="14171" xr:uid="{27FFAC92-681F-4500-87EC-DF3ABB73190B}"/>
    <cellStyle name="Normal 8 2 2 10 3" xfId="23470" xr:uid="{838F20B4-6B8C-448A-B790-FCDAA0FF6EF2}"/>
    <cellStyle name="Normal 8 2 2 11" xfId="8783" xr:uid="{3C426022-C415-47DA-A8EF-1D6CE72527BD}"/>
    <cellStyle name="Normal 8 2 2 11 2" xfId="18107" xr:uid="{DA3C4B2F-B2AD-4B79-8379-6DEB1DCC41F9}"/>
    <cellStyle name="Normal 8 2 2 11 3" xfId="27405" xr:uid="{41A77526-4BB8-4DC8-95FE-9A5BCA041A4A}"/>
    <cellStyle name="Normal 8 2 2 12" xfId="9954" xr:uid="{0F203244-CF27-46CA-B74C-17AFE10B4035}"/>
    <cellStyle name="Normal 8 2 2 13" xfId="19253" xr:uid="{FA55C41C-5ABE-437C-9DD3-1631FB493B67}"/>
    <cellStyle name="Normal 8 2 2 2" xfId="481" xr:uid="{00000000-0005-0000-0000-0000F51B0000}"/>
    <cellStyle name="Normal 8 2 2 2 10" xfId="8836" xr:uid="{870E50AF-610D-4E0C-BDE0-389D6B32A0FA}"/>
    <cellStyle name="Normal 8 2 2 2 10 2" xfId="18160" xr:uid="{8BEF5400-6AB4-424B-BF28-98EF8868F45F}"/>
    <cellStyle name="Normal 8 2 2 2 10 3" xfId="27458" xr:uid="{BAAE8E94-651A-44C6-A2AA-B5FE60D1FDF0}"/>
    <cellStyle name="Normal 8 2 2 2 11" xfId="9955" xr:uid="{102C39BE-CF63-4D46-890E-F88D528416A1}"/>
    <cellStyle name="Normal 8 2 2 2 12" xfId="19254" xr:uid="{B9D4427C-F024-4D14-9190-0024BCB74883}"/>
    <cellStyle name="Normal 8 2 2 2 2" xfId="482" xr:uid="{00000000-0005-0000-0000-0000F61B0000}"/>
    <cellStyle name="Normal 8 2 2 2 2 10" xfId="9956" xr:uid="{9C184852-E5CE-4F5A-AB2B-25C08B5A86DA}"/>
    <cellStyle name="Normal 8 2 2 2 2 11" xfId="19255" xr:uid="{3BEFACCA-EF69-4CC1-95DC-D37FBADA4CCC}"/>
    <cellStyle name="Normal 8 2 2 2 2 2" xfId="483" xr:uid="{00000000-0005-0000-0000-0000F71B0000}"/>
    <cellStyle name="Normal 8 2 2 2 2 2 10" xfId="19256" xr:uid="{9B628E84-E29E-4518-BBCB-121B1D643B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1E332A98-480B-4DE0-9F71-CA19277AC27E}"/>
    <cellStyle name="Normal 8 2 2 2 2 2 2 2 2 3" xfId="26031" xr:uid="{8097FB45-DED1-4222-B0A8-B40A0A3F4879}"/>
    <cellStyle name="Normal 8 2 2 2 2 2 2 2 3" xfId="12515" xr:uid="{81486559-49AC-40FF-A099-AA1279B4AA02}"/>
    <cellStyle name="Normal 8 2 2 2 2 2 2 2 4" xfId="21814" xr:uid="{6CA415DF-98C0-43FB-8A83-DFF04ABEA471}"/>
    <cellStyle name="Normal 8 2 2 2 2 2 2 3" xfId="5261" xr:uid="{00000000-0005-0000-0000-0000FB1B0000}"/>
    <cellStyle name="Normal 8 2 2 2 2 2 2 3 2" xfId="14587" xr:uid="{AE86EBB8-7F82-437F-94B6-4A5648545214}"/>
    <cellStyle name="Normal 8 2 2 2 2 2 2 3 3" xfId="23886" xr:uid="{AF2A96D7-36C6-4F45-B3D4-3A5DA04D00FC}"/>
    <cellStyle name="Normal 8 2 2 2 2 2 2 4" xfId="9571" xr:uid="{B467C179-FE08-45F9-B1E6-E66379D80EBC}"/>
    <cellStyle name="Normal 8 2 2 2 2 2 2 4 2" xfId="18886" xr:uid="{F7D8F49B-1597-4E6D-B11A-0D273FEEB48E}"/>
    <cellStyle name="Normal 8 2 2 2 2 2 2 4 3" xfId="28183" xr:uid="{7991D929-146B-49AB-9EA2-DC547DBC665E}"/>
    <cellStyle name="Normal 8 2 2 2 2 2 2 5" xfId="10370" xr:uid="{27FDA6DF-D28A-4657-AF7D-4748C16AA345}"/>
    <cellStyle name="Normal 8 2 2 2 2 2 2 6" xfId="19669" xr:uid="{A76ADB8A-7A2A-4EDE-985D-076F15208EA8}"/>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210C117D-26DF-45DB-B395-B0DC5464B1BC}"/>
    <cellStyle name="Normal 8 2 2 2 2 2 3 2 2 3" xfId="26444" xr:uid="{85239B5A-4D81-4D0D-B3E3-C292620A0EF1}"/>
    <cellStyle name="Normal 8 2 2 2 2 2 3 2 3" xfId="12928" xr:uid="{F679DB18-12FB-412B-8ED7-00321616219E}"/>
    <cellStyle name="Normal 8 2 2 2 2 2 3 2 4" xfId="22227" xr:uid="{CA36651C-8B2A-4A68-90BA-09B5BBCDF1D9}"/>
    <cellStyle name="Normal 8 2 2 2 2 2 3 3" xfId="5674" xr:uid="{00000000-0005-0000-0000-0000FF1B0000}"/>
    <cellStyle name="Normal 8 2 2 2 2 2 3 3 2" xfId="15000" xr:uid="{3C7BFA8A-23C7-4D88-96D2-A56DA59A4433}"/>
    <cellStyle name="Normal 8 2 2 2 2 2 3 3 3" xfId="24299" xr:uid="{21AC36EA-03C8-4B6F-B4E6-5F4437445AF4}"/>
    <cellStyle name="Normal 8 2 2 2 2 2 3 4" xfId="10783" xr:uid="{EF3A0B1C-F128-4EE1-A26B-5CEB9B2DAC1E}"/>
    <cellStyle name="Normal 8 2 2 2 2 2 3 5" xfId="20082" xr:uid="{62F611B6-2222-4584-8459-BC840CC2D4FF}"/>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264AB48A-BFA8-4873-B61D-81FC2793FE93}"/>
    <cellStyle name="Normal 8 2 2 2 2 2 4 2 2 3" xfId="26857" xr:uid="{E7506695-6B1F-4043-9AC2-12ED93AAF5AE}"/>
    <cellStyle name="Normal 8 2 2 2 2 2 4 2 3" xfId="13341" xr:uid="{C54C2C4D-11E1-401E-B555-8EB6D95C9919}"/>
    <cellStyle name="Normal 8 2 2 2 2 2 4 2 4" xfId="22640" xr:uid="{8B5E0684-0EA9-4E36-9561-FC8393D32125}"/>
    <cellStyle name="Normal 8 2 2 2 2 2 4 3" xfId="6087" xr:uid="{00000000-0005-0000-0000-0000031C0000}"/>
    <cellStyle name="Normal 8 2 2 2 2 2 4 3 2" xfId="15413" xr:uid="{45453D0A-D932-4127-A041-26B929B15A5A}"/>
    <cellStyle name="Normal 8 2 2 2 2 2 4 3 3" xfId="24712" xr:uid="{2B53B947-46C7-4E73-90F5-C609AF8C5B20}"/>
    <cellStyle name="Normal 8 2 2 2 2 2 4 4" xfId="11196" xr:uid="{229FAB95-20A2-49B9-81D3-15255653B99F}"/>
    <cellStyle name="Normal 8 2 2 2 2 2 4 5" xfId="20495" xr:uid="{8FE046CF-8B01-4952-8CA3-2E422E86A03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AF7447BB-3ADA-44FB-BD66-C5C479AC4A08}"/>
    <cellStyle name="Normal 8 2 2 2 2 2 5 2 2 3" xfId="27270" xr:uid="{60A104B2-74AE-4690-9BDB-50B8A5C97743}"/>
    <cellStyle name="Normal 8 2 2 2 2 2 5 2 3" xfId="13754" xr:uid="{CD2980E4-6015-4022-86FC-98AE68B78128}"/>
    <cellStyle name="Normal 8 2 2 2 2 2 5 2 4" xfId="23053" xr:uid="{B4D1CF31-69AD-45E8-9ECB-BAAA22F6066A}"/>
    <cellStyle name="Normal 8 2 2 2 2 2 5 3" xfId="6500" xr:uid="{00000000-0005-0000-0000-0000071C0000}"/>
    <cellStyle name="Normal 8 2 2 2 2 2 5 3 2" xfId="15826" xr:uid="{E08CAD4A-3662-422E-BD39-DB6E0AD5487B}"/>
    <cellStyle name="Normal 8 2 2 2 2 2 5 3 3" xfId="25125" xr:uid="{59A2FE26-6EEB-44D8-9445-6FEB07774015}"/>
    <cellStyle name="Normal 8 2 2 2 2 2 5 4" xfId="11609" xr:uid="{A415EBDD-9AF0-4A9B-8C7D-22812260FF2D}"/>
    <cellStyle name="Normal 8 2 2 2 2 2 5 5" xfId="20908" xr:uid="{88A18632-8892-4D1F-BB66-AAF284D2A412}"/>
    <cellStyle name="Normal 8 2 2 2 2 2 6" xfId="2630" xr:uid="{00000000-0005-0000-0000-0000081C0000}"/>
    <cellStyle name="Normal 8 2 2 2 2 2 6 2" xfId="6913" xr:uid="{00000000-0005-0000-0000-0000091C0000}"/>
    <cellStyle name="Normal 8 2 2 2 2 2 6 2 2" xfId="16239" xr:uid="{1EB99216-6C25-403D-8A79-C1480E21A48D}"/>
    <cellStyle name="Normal 8 2 2 2 2 2 6 2 3" xfId="25538" xr:uid="{0397F5BB-52F7-4A4D-AD20-B297C8196DB6}"/>
    <cellStyle name="Normal 8 2 2 2 2 2 6 3" xfId="12022" xr:uid="{6E315DBE-D25D-48FE-BCD4-0902979683E7}"/>
    <cellStyle name="Normal 8 2 2 2 2 2 6 4" xfId="21321" xr:uid="{EA3EC33D-D72B-4884-BE1E-BB48683C40BF}"/>
    <cellStyle name="Normal 8 2 2 2 2 2 7" xfId="4848" xr:uid="{00000000-0005-0000-0000-00000A1C0000}"/>
    <cellStyle name="Normal 8 2 2 2 2 2 7 2" xfId="14174" xr:uid="{56DD2222-A322-470F-ABBD-99C2A5322F4D}"/>
    <cellStyle name="Normal 8 2 2 2 2 2 7 3" xfId="23473" xr:uid="{5EBF6897-C747-49A2-A742-6F3F1F79F807}"/>
    <cellStyle name="Normal 8 2 2 2 2 2 8" xfId="9146" xr:uid="{0E570703-055D-406D-8BD9-575AF6037A75}"/>
    <cellStyle name="Normal 8 2 2 2 2 2 8 2" xfId="18470" xr:uid="{A538AA12-00EE-423D-ADC8-06A7270A556F}"/>
    <cellStyle name="Normal 8 2 2 2 2 2 8 3" xfId="27768" xr:uid="{DD9B837F-F785-4403-94B3-AE43C6024F0C}"/>
    <cellStyle name="Normal 8 2 2 2 2 2 9" xfId="9957" xr:uid="{B4A0E638-2342-472A-9AEE-8CFB43360493}"/>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4C9FAF16-AA30-4EA0-A752-E5E315C4A0DF}"/>
    <cellStyle name="Normal 8 2 2 2 2 3 2 2 3" xfId="26030" xr:uid="{2A38E21D-DEDB-4F95-99FE-92D771EC0B18}"/>
    <cellStyle name="Normal 8 2 2 2 2 3 2 3" xfId="12514" xr:uid="{9588271A-047D-474C-B151-D703470C05BB}"/>
    <cellStyle name="Normal 8 2 2 2 2 3 2 4" xfId="21813" xr:uid="{7BE5373B-CFD3-4878-89F4-25D8C890A8A6}"/>
    <cellStyle name="Normal 8 2 2 2 2 3 3" xfId="5260" xr:uid="{00000000-0005-0000-0000-00000E1C0000}"/>
    <cellStyle name="Normal 8 2 2 2 2 3 3 2" xfId="14586" xr:uid="{FAAA06EF-15BA-4704-BAFA-1CEAF1C38B46}"/>
    <cellStyle name="Normal 8 2 2 2 2 3 3 3" xfId="23885" xr:uid="{0DAF7154-E775-46DF-81E2-F109DFD09C44}"/>
    <cellStyle name="Normal 8 2 2 2 2 3 4" xfId="9364" xr:uid="{21426B7C-FC96-483C-B560-AC4767107497}"/>
    <cellStyle name="Normal 8 2 2 2 2 3 4 2" xfId="18679" xr:uid="{93506830-E90D-4C60-B4E3-17A89307B28D}"/>
    <cellStyle name="Normal 8 2 2 2 2 3 4 3" xfId="27976" xr:uid="{E2642202-E9C8-450B-A542-8A4189DC614B}"/>
    <cellStyle name="Normal 8 2 2 2 2 3 5" xfId="10369" xr:uid="{B5B58439-F617-4A1A-A393-C74D49F03929}"/>
    <cellStyle name="Normal 8 2 2 2 2 3 6" xfId="19668" xr:uid="{3DAEE95D-CBCE-4FFB-8A49-744C9CF67DC8}"/>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CEA126CD-52BB-401A-9704-0221C6CB4154}"/>
    <cellStyle name="Normal 8 2 2 2 2 4 2 2 3" xfId="26443" xr:uid="{07AD8885-A79B-4EFC-A13D-DD083EB04189}"/>
    <cellStyle name="Normal 8 2 2 2 2 4 2 3" xfId="12927" xr:uid="{C350316E-CBAC-4ECE-913E-F83DA723DF3C}"/>
    <cellStyle name="Normal 8 2 2 2 2 4 2 4" xfId="22226" xr:uid="{56205F5A-2205-4B8F-950E-7DCD19F2C67D}"/>
    <cellStyle name="Normal 8 2 2 2 2 4 3" xfId="5673" xr:uid="{00000000-0005-0000-0000-0000121C0000}"/>
    <cellStyle name="Normal 8 2 2 2 2 4 3 2" xfId="14999" xr:uid="{659946D3-9743-4613-A098-F3807F4F8D2D}"/>
    <cellStyle name="Normal 8 2 2 2 2 4 3 3" xfId="24298" xr:uid="{A668B928-89D6-4324-9605-A6E0DDDA6B81}"/>
    <cellStyle name="Normal 8 2 2 2 2 4 4" xfId="10782" xr:uid="{BFDB7097-7210-4650-80E6-58F604076978}"/>
    <cellStyle name="Normal 8 2 2 2 2 4 5" xfId="20081" xr:uid="{44EF6D21-21E0-45A2-8EF4-52A26AA22E17}"/>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2875EDF1-5253-4363-B69B-361410132392}"/>
    <cellStyle name="Normal 8 2 2 2 2 5 2 2 3" xfId="26856" xr:uid="{C00F5E5C-9D7F-4BA3-9060-1CEB84586D6D}"/>
    <cellStyle name="Normal 8 2 2 2 2 5 2 3" xfId="13340" xr:uid="{334F5EC8-6BE0-4C73-AA6A-DAC8CDD2F6A9}"/>
    <cellStyle name="Normal 8 2 2 2 2 5 2 4" xfId="22639" xr:uid="{62280C9F-826B-40DF-AAC1-941086C5D4FA}"/>
    <cellStyle name="Normal 8 2 2 2 2 5 3" xfId="6086" xr:uid="{00000000-0005-0000-0000-0000161C0000}"/>
    <cellStyle name="Normal 8 2 2 2 2 5 3 2" xfId="15412" xr:uid="{6D2C703E-8DA7-4EA4-8459-53280B64ACAF}"/>
    <cellStyle name="Normal 8 2 2 2 2 5 3 3" xfId="24711" xr:uid="{2C7226AB-4F93-46A3-B74C-25E235E49E3D}"/>
    <cellStyle name="Normal 8 2 2 2 2 5 4" xfId="11195" xr:uid="{E0868A96-795A-4C68-A590-6D0DF274094C}"/>
    <cellStyle name="Normal 8 2 2 2 2 5 5" xfId="20494" xr:uid="{1E3CC96C-F129-466C-914C-36CED2E3FF4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33E7C2C5-8557-47E3-BD19-CD672DB741D0}"/>
    <cellStyle name="Normal 8 2 2 2 2 6 2 2 3" xfId="27269" xr:uid="{27AB290D-EE8D-4CE1-9E6E-ECEDB5873E8B}"/>
    <cellStyle name="Normal 8 2 2 2 2 6 2 3" xfId="13753" xr:uid="{85ACFC67-AC57-4225-9030-99655266DF87}"/>
    <cellStyle name="Normal 8 2 2 2 2 6 2 4" xfId="23052" xr:uid="{AF171F34-13E8-477C-AF85-861A1566911C}"/>
    <cellStyle name="Normal 8 2 2 2 2 6 3" xfId="6499" xr:uid="{00000000-0005-0000-0000-00001A1C0000}"/>
    <cellStyle name="Normal 8 2 2 2 2 6 3 2" xfId="15825" xr:uid="{0B3F906A-4C14-49F2-A327-8602B0F2222A}"/>
    <cellStyle name="Normal 8 2 2 2 2 6 3 3" xfId="25124" xr:uid="{BDA484C9-5B57-47F7-8DE8-73F7C6CEE471}"/>
    <cellStyle name="Normal 8 2 2 2 2 6 4" xfId="11608" xr:uid="{0DE2FECF-AECC-4CC0-A728-7E0B5F386B1D}"/>
    <cellStyle name="Normal 8 2 2 2 2 6 5" xfId="20907" xr:uid="{E58BBC51-E4A8-4DCC-BAD8-F0B976131749}"/>
    <cellStyle name="Normal 8 2 2 2 2 7" xfId="2629" xr:uid="{00000000-0005-0000-0000-00001B1C0000}"/>
    <cellStyle name="Normal 8 2 2 2 2 7 2" xfId="6912" xr:uid="{00000000-0005-0000-0000-00001C1C0000}"/>
    <cellStyle name="Normal 8 2 2 2 2 7 2 2" xfId="16238" xr:uid="{46360314-4724-41E4-BBCE-57F01A2D2891}"/>
    <cellStyle name="Normal 8 2 2 2 2 7 2 3" xfId="25537" xr:uid="{12FAE08B-16B2-43A1-8AFD-609E8F37F03B}"/>
    <cellStyle name="Normal 8 2 2 2 2 7 3" xfId="12021" xr:uid="{B9C699AF-B4FF-44E6-9E2E-5BCCAA0DD620}"/>
    <cellStyle name="Normal 8 2 2 2 2 7 4" xfId="21320" xr:uid="{7E720096-CFD3-49EE-A3D4-597C8B5C179F}"/>
    <cellStyle name="Normal 8 2 2 2 2 8" xfId="4847" xr:uid="{00000000-0005-0000-0000-00001D1C0000}"/>
    <cellStyle name="Normal 8 2 2 2 2 8 2" xfId="14173" xr:uid="{14C33ECA-E39C-48EF-9024-631CC2E9953F}"/>
    <cellStyle name="Normal 8 2 2 2 2 8 3" xfId="23472" xr:uid="{B37B4612-093D-4EEE-93F9-8B293CA7C1F2}"/>
    <cellStyle name="Normal 8 2 2 2 2 9" xfId="8939" xr:uid="{385BAC75-25D1-414A-8E33-9B6DCCA130DE}"/>
    <cellStyle name="Normal 8 2 2 2 2 9 2" xfId="18263" xr:uid="{E3D3C341-5A2C-4DA8-9A49-CE89AAF82B9A}"/>
    <cellStyle name="Normal 8 2 2 2 2 9 3" xfId="27561" xr:uid="{343BF68A-C77E-4AED-85EE-E9D624EC2CDF}"/>
    <cellStyle name="Normal 8 2 2 2 3" xfId="484" xr:uid="{00000000-0005-0000-0000-00001E1C0000}"/>
    <cellStyle name="Normal 8 2 2 2 3 10" xfId="19257" xr:uid="{C9A14A79-BBB5-4E5F-9EBC-28FC47B8D628}"/>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99BB1CEF-A8A4-41DF-A9D7-2F4F68A23BC6}"/>
    <cellStyle name="Normal 8 2 2 2 3 2 2 2 3" xfId="26032" xr:uid="{0948CE68-7213-48EB-B688-F92C36A7D7E5}"/>
    <cellStyle name="Normal 8 2 2 2 3 2 2 3" xfId="12516" xr:uid="{974A00F1-EE46-4322-964C-EE2C55C4D810}"/>
    <cellStyle name="Normal 8 2 2 2 3 2 2 4" xfId="21815" xr:uid="{9FFD78AE-4538-4CE8-8630-0898CE6B93D8}"/>
    <cellStyle name="Normal 8 2 2 2 3 2 3" xfId="5262" xr:uid="{00000000-0005-0000-0000-0000221C0000}"/>
    <cellStyle name="Normal 8 2 2 2 3 2 3 2" xfId="14588" xr:uid="{44C2ED2E-5ACD-4337-8AE6-27CF8D698087}"/>
    <cellStyle name="Normal 8 2 2 2 3 2 3 3" xfId="23887" xr:uid="{292F300B-73F9-4177-A721-82AE560858BB}"/>
    <cellStyle name="Normal 8 2 2 2 3 2 4" xfId="9468" xr:uid="{8CC4AD0E-72B4-4935-8967-B171D7B5EF8D}"/>
    <cellStyle name="Normal 8 2 2 2 3 2 4 2" xfId="18783" xr:uid="{915D85E4-AE03-4858-B5BB-5B2E0DFB9010}"/>
    <cellStyle name="Normal 8 2 2 2 3 2 4 3" xfId="28080" xr:uid="{60345BEB-3159-4E50-8764-CE7277E99BE6}"/>
    <cellStyle name="Normal 8 2 2 2 3 2 5" xfId="10371" xr:uid="{68B970AC-1CDC-4583-B396-5EC3882140C1}"/>
    <cellStyle name="Normal 8 2 2 2 3 2 6" xfId="19670" xr:uid="{D28C12E2-FAA0-447F-9D5F-A0943FB399B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E59D00DA-A612-440F-AEB9-D1CD20A496FF}"/>
    <cellStyle name="Normal 8 2 2 2 3 3 2 2 3" xfId="26445" xr:uid="{090E41AD-3698-4BC6-864C-3BD85D5C6D2D}"/>
    <cellStyle name="Normal 8 2 2 2 3 3 2 3" xfId="12929" xr:uid="{D749AFEC-AA1D-4E19-8383-42964DE409F8}"/>
    <cellStyle name="Normal 8 2 2 2 3 3 2 4" xfId="22228" xr:uid="{F79E5074-196E-4A19-AC6F-141A2D5CFBB4}"/>
    <cellStyle name="Normal 8 2 2 2 3 3 3" xfId="5675" xr:uid="{00000000-0005-0000-0000-0000261C0000}"/>
    <cellStyle name="Normal 8 2 2 2 3 3 3 2" xfId="15001" xr:uid="{3210796D-1A1E-492B-A8FA-E1D6420B6BA7}"/>
    <cellStyle name="Normal 8 2 2 2 3 3 3 3" xfId="24300" xr:uid="{F504EAEC-8E87-458C-A405-987445DEB4AF}"/>
    <cellStyle name="Normal 8 2 2 2 3 3 4" xfId="10784" xr:uid="{CCE34548-557B-4AAE-A348-EE411B20F8E9}"/>
    <cellStyle name="Normal 8 2 2 2 3 3 5" xfId="20083" xr:uid="{E75AC9B6-72A9-4BC4-8E60-BF23FDB818C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E5AA7551-C162-4EEA-B132-6CED0BFC4DF4}"/>
    <cellStyle name="Normal 8 2 2 2 3 4 2 2 3" xfId="26858" xr:uid="{F53004FC-CA29-445B-B1B4-4D14B542CD08}"/>
    <cellStyle name="Normal 8 2 2 2 3 4 2 3" xfId="13342" xr:uid="{5A8669EE-1116-405B-969F-B86778FDE124}"/>
    <cellStyle name="Normal 8 2 2 2 3 4 2 4" xfId="22641" xr:uid="{21AE057B-33BF-44A4-BE6C-6AE622BF49A6}"/>
    <cellStyle name="Normal 8 2 2 2 3 4 3" xfId="6088" xr:uid="{00000000-0005-0000-0000-00002A1C0000}"/>
    <cellStyle name="Normal 8 2 2 2 3 4 3 2" xfId="15414" xr:uid="{95BE3DE4-95A7-4D61-A0B0-F95C4DCFCC69}"/>
    <cellStyle name="Normal 8 2 2 2 3 4 3 3" xfId="24713" xr:uid="{CAAE17A1-3A99-4C1E-A5AE-67FBB0622FCC}"/>
    <cellStyle name="Normal 8 2 2 2 3 4 4" xfId="11197" xr:uid="{F529A99A-3334-401B-AE2C-AA45995EA455}"/>
    <cellStyle name="Normal 8 2 2 2 3 4 5" xfId="20496" xr:uid="{B82799E5-A249-4F17-81D2-4F246F1EB12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9656A237-14FB-435D-8239-BEB3E0BB5E9C}"/>
    <cellStyle name="Normal 8 2 2 2 3 5 2 2 3" xfId="27271" xr:uid="{122BA5D8-1089-4443-8BB9-63822C645346}"/>
    <cellStyle name="Normal 8 2 2 2 3 5 2 3" xfId="13755" xr:uid="{6BBBD097-E8AF-49FC-AF98-C9F5B3E03D7F}"/>
    <cellStyle name="Normal 8 2 2 2 3 5 2 4" xfId="23054" xr:uid="{72DD72F0-D1A5-4ED7-94CD-00FA287727DB}"/>
    <cellStyle name="Normal 8 2 2 2 3 5 3" xfId="6501" xr:uid="{00000000-0005-0000-0000-00002E1C0000}"/>
    <cellStyle name="Normal 8 2 2 2 3 5 3 2" xfId="15827" xr:uid="{76C7BF1E-969E-41B0-AD17-A2DD70342D79}"/>
    <cellStyle name="Normal 8 2 2 2 3 5 3 3" xfId="25126" xr:uid="{858AAEB3-18D0-4CE1-A8A0-C37985F799D8}"/>
    <cellStyle name="Normal 8 2 2 2 3 5 4" xfId="11610" xr:uid="{F46A495D-8ADC-48BF-98AE-7969C31FE74B}"/>
    <cellStyle name="Normal 8 2 2 2 3 5 5" xfId="20909" xr:uid="{7A67085B-B2CE-4E76-94BF-0751AC2577B2}"/>
    <cellStyle name="Normal 8 2 2 2 3 6" xfId="2631" xr:uid="{00000000-0005-0000-0000-00002F1C0000}"/>
    <cellStyle name="Normal 8 2 2 2 3 6 2" xfId="6914" xr:uid="{00000000-0005-0000-0000-0000301C0000}"/>
    <cellStyle name="Normal 8 2 2 2 3 6 2 2" xfId="16240" xr:uid="{435D3888-8200-4358-A18B-09E67681F9BD}"/>
    <cellStyle name="Normal 8 2 2 2 3 6 2 3" xfId="25539" xr:uid="{95FA28F5-11BA-43EC-B7AD-DD5938883D19}"/>
    <cellStyle name="Normal 8 2 2 2 3 6 3" xfId="12023" xr:uid="{4DE5AFEC-F0C5-40CD-BC49-0EABC7BB1550}"/>
    <cellStyle name="Normal 8 2 2 2 3 6 4" xfId="21322" xr:uid="{8C89A59C-6154-444D-9B21-4786D8C45404}"/>
    <cellStyle name="Normal 8 2 2 2 3 7" xfId="4849" xr:uid="{00000000-0005-0000-0000-0000311C0000}"/>
    <cellStyle name="Normal 8 2 2 2 3 7 2" xfId="14175" xr:uid="{EE64442F-464A-4064-9B56-3F90F6675CEB}"/>
    <cellStyle name="Normal 8 2 2 2 3 7 3" xfId="23474" xr:uid="{7E9B1889-A24C-486D-A646-ABFA588399AB}"/>
    <cellStyle name="Normal 8 2 2 2 3 8" xfId="9043" xr:uid="{BAC463DF-40A7-4F07-ADD3-7274E57F505C}"/>
    <cellStyle name="Normal 8 2 2 2 3 8 2" xfId="18367" xr:uid="{4E61DDC4-23EE-47DE-9FFE-A96420D9C2B5}"/>
    <cellStyle name="Normal 8 2 2 2 3 8 3" xfId="27665" xr:uid="{A3EBAA51-E1DD-48E4-8D9E-C991218908E7}"/>
    <cellStyle name="Normal 8 2 2 2 3 9" xfId="9958" xr:uid="{68D5CDD5-F491-4BF0-A81D-D87CD264CAB9}"/>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7FD65653-C21F-48A3-9275-37158D664C68}"/>
    <cellStyle name="Normal 8 2 2 2 4 2 2 3" xfId="26029" xr:uid="{6895E62C-A26C-474D-A96C-3FFFA0724C76}"/>
    <cellStyle name="Normal 8 2 2 2 4 2 3" xfId="12513" xr:uid="{E2A9F274-5929-496B-B8C0-A568DE235F44}"/>
    <cellStyle name="Normal 8 2 2 2 4 2 4" xfId="21812" xr:uid="{D59AB7A0-15BA-4857-BC99-2136CA5AF773}"/>
    <cellStyle name="Normal 8 2 2 2 4 3" xfId="5259" xr:uid="{00000000-0005-0000-0000-0000351C0000}"/>
    <cellStyle name="Normal 8 2 2 2 4 3 2" xfId="14585" xr:uid="{ACB31721-0CE1-471B-BC9B-234BA23064EF}"/>
    <cellStyle name="Normal 8 2 2 2 4 3 3" xfId="23884" xr:uid="{0E48AA18-E909-4891-B6CF-129413423663}"/>
    <cellStyle name="Normal 8 2 2 2 4 4" xfId="9261" xr:uid="{70C29865-A6DE-4682-9EB1-83E4E07FD0A7}"/>
    <cellStyle name="Normal 8 2 2 2 4 4 2" xfId="18576" xr:uid="{7F0C9E82-553C-481B-8704-E2ED5672C9DB}"/>
    <cellStyle name="Normal 8 2 2 2 4 4 3" xfId="27873" xr:uid="{AFDA3931-AA8C-4434-BC07-CF9FAAEBC5DB}"/>
    <cellStyle name="Normal 8 2 2 2 4 5" xfId="10368" xr:uid="{5BA28DEC-8C22-4C74-B624-BEEEFB2EE638}"/>
    <cellStyle name="Normal 8 2 2 2 4 6" xfId="19667" xr:uid="{B7681E9A-AFE5-43CE-A5FE-3F7258A6CE9B}"/>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8F7E17C3-C68B-4887-9348-6D68A83114E8}"/>
    <cellStyle name="Normal 8 2 2 2 5 2 2 3" xfId="26442" xr:uid="{590D5173-3D06-4B64-ACDD-A0537C2AF82E}"/>
    <cellStyle name="Normal 8 2 2 2 5 2 3" xfId="12926" xr:uid="{76A32607-533F-4763-9027-645062924216}"/>
    <cellStyle name="Normal 8 2 2 2 5 2 4" xfId="22225" xr:uid="{B5D57DD4-F05D-4464-93B0-48AFDBE443F9}"/>
    <cellStyle name="Normal 8 2 2 2 5 3" xfId="5672" xr:uid="{00000000-0005-0000-0000-0000391C0000}"/>
    <cellStyle name="Normal 8 2 2 2 5 3 2" xfId="14998" xr:uid="{6473A7F7-9016-4720-90E3-7C3B4CAFCBAE}"/>
    <cellStyle name="Normal 8 2 2 2 5 3 3" xfId="24297" xr:uid="{1AC1669D-776E-4599-A300-2EBE9A74F007}"/>
    <cellStyle name="Normal 8 2 2 2 5 4" xfId="10781" xr:uid="{1C481EC2-384F-449A-B33D-42A20BF31B4F}"/>
    <cellStyle name="Normal 8 2 2 2 5 5" xfId="20080" xr:uid="{AE48C245-000D-4EA2-BF50-786C30EAAC04}"/>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97333664-D283-4A87-8BEB-FC96348DC7DA}"/>
    <cellStyle name="Normal 8 2 2 2 6 2 2 3" xfId="26855" xr:uid="{909FBF4C-6EC7-4583-82B4-022585B9DEB1}"/>
    <cellStyle name="Normal 8 2 2 2 6 2 3" xfId="13339" xr:uid="{5CCBA6E8-6939-4197-A42C-56C161E6C572}"/>
    <cellStyle name="Normal 8 2 2 2 6 2 4" xfId="22638" xr:uid="{F2AF1FA0-480A-461D-A992-58E2EB95948B}"/>
    <cellStyle name="Normal 8 2 2 2 6 3" xfId="6085" xr:uid="{00000000-0005-0000-0000-00003D1C0000}"/>
    <cellStyle name="Normal 8 2 2 2 6 3 2" xfId="15411" xr:uid="{5F65E61D-DD7E-4658-87DB-02BB553602ED}"/>
    <cellStyle name="Normal 8 2 2 2 6 3 3" xfId="24710" xr:uid="{DE305224-70CC-4D86-9214-14C18B2FB8D4}"/>
    <cellStyle name="Normal 8 2 2 2 6 4" xfId="11194" xr:uid="{B4355E10-A2E2-40D4-9F4D-F86FE51FC6C2}"/>
    <cellStyle name="Normal 8 2 2 2 6 5" xfId="20493" xr:uid="{A0848923-39FF-423B-BDA8-B67304B43E7F}"/>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855EE4D4-EBCF-4011-83D0-81AF1FDEC771}"/>
    <cellStyle name="Normal 8 2 2 2 7 2 2 3" xfId="27268" xr:uid="{7574C35F-6354-453A-9772-4ACF2EE98578}"/>
    <cellStyle name="Normal 8 2 2 2 7 2 3" xfId="13752" xr:uid="{B1F38C0D-6EF6-4ADD-BD7E-ACF890E0FB80}"/>
    <cellStyle name="Normal 8 2 2 2 7 2 4" xfId="23051" xr:uid="{055462B2-5D7A-484D-9D37-924E20408739}"/>
    <cellStyle name="Normal 8 2 2 2 7 3" xfId="6498" xr:uid="{00000000-0005-0000-0000-0000411C0000}"/>
    <cellStyle name="Normal 8 2 2 2 7 3 2" xfId="15824" xr:uid="{3CBB8D1A-2D9F-4643-BB40-FAD2FE886D01}"/>
    <cellStyle name="Normal 8 2 2 2 7 3 3" xfId="25123" xr:uid="{F01D354C-F10E-4AC7-8076-DCACD75EA48F}"/>
    <cellStyle name="Normal 8 2 2 2 7 4" xfId="11607" xr:uid="{A55A97E9-2B44-4647-82FB-15F5FBA01539}"/>
    <cellStyle name="Normal 8 2 2 2 7 5" xfId="20906" xr:uid="{1FDDC16E-15E5-43BC-B927-98C82CD400B5}"/>
    <cellStyle name="Normal 8 2 2 2 8" xfId="2628" xr:uid="{00000000-0005-0000-0000-0000421C0000}"/>
    <cellStyle name="Normal 8 2 2 2 8 2" xfId="6911" xr:uid="{00000000-0005-0000-0000-0000431C0000}"/>
    <cellStyle name="Normal 8 2 2 2 8 2 2" xfId="16237" xr:uid="{12F1CBC2-F846-4483-9369-55F790EE6F9B}"/>
    <cellStyle name="Normal 8 2 2 2 8 2 3" xfId="25536" xr:uid="{20B36482-800E-4DA1-BAE0-0C402A810CF4}"/>
    <cellStyle name="Normal 8 2 2 2 8 3" xfId="12020" xr:uid="{455EAFC2-B6C5-468E-9D7B-396AFAB7BB2E}"/>
    <cellStyle name="Normal 8 2 2 2 8 4" xfId="21319" xr:uid="{5E05DF93-19DE-4083-9F9B-443F8F03F56C}"/>
    <cellStyle name="Normal 8 2 2 2 9" xfId="4846" xr:uid="{00000000-0005-0000-0000-0000441C0000}"/>
    <cellStyle name="Normal 8 2 2 2 9 2" xfId="14172" xr:uid="{9C1008DA-FB67-4C6B-97E5-AF7E2024AAFF}"/>
    <cellStyle name="Normal 8 2 2 2 9 3" xfId="23471" xr:uid="{327A693B-7462-47C1-9051-B420797AC5AC}"/>
    <cellStyle name="Normal 8 2 2 3" xfId="485" xr:uid="{00000000-0005-0000-0000-0000451C0000}"/>
    <cellStyle name="Normal 8 2 2 3 10" xfId="9959" xr:uid="{534311FA-58D8-426C-AD5E-B5AE88AC9AAE}"/>
    <cellStyle name="Normal 8 2 2 3 11" xfId="19258" xr:uid="{1E1C5798-B578-4521-A21F-7C853C236AAD}"/>
    <cellStyle name="Normal 8 2 2 3 2" xfId="486" xr:uid="{00000000-0005-0000-0000-0000461C0000}"/>
    <cellStyle name="Normal 8 2 2 3 2 10" xfId="19259" xr:uid="{76C380D6-12CB-4E5E-8E61-BB3DCB593C83}"/>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E4DFF41D-1739-47C5-B06B-208198BD18CC}"/>
    <cellStyle name="Normal 8 2 2 3 2 2 2 2 3" xfId="26034" xr:uid="{B3C53FA2-0E57-4FA3-A107-DBF09230A181}"/>
    <cellStyle name="Normal 8 2 2 3 2 2 2 3" xfId="12518" xr:uid="{A987AC1B-5E29-432B-B7FD-A1880DA29334}"/>
    <cellStyle name="Normal 8 2 2 3 2 2 2 4" xfId="21817" xr:uid="{40522F2C-7C02-422D-8C6B-10704635CFB5}"/>
    <cellStyle name="Normal 8 2 2 3 2 2 3" xfId="5264" xr:uid="{00000000-0005-0000-0000-00004A1C0000}"/>
    <cellStyle name="Normal 8 2 2 3 2 2 3 2" xfId="14590" xr:uid="{B0841204-CA08-4FF9-8619-D6B90EA89A8E}"/>
    <cellStyle name="Normal 8 2 2 3 2 2 3 3" xfId="23889" xr:uid="{6915D2D1-EF54-45D2-B587-410169F75C2E}"/>
    <cellStyle name="Normal 8 2 2 3 2 2 4" xfId="9518" xr:uid="{FDE93D5E-A6D1-456B-8726-FC2AB8FD16A4}"/>
    <cellStyle name="Normal 8 2 2 3 2 2 4 2" xfId="18833" xr:uid="{6C7D9ECB-BD4D-44D6-A37E-A7824D207F59}"/>
    <cellStyle name="Normal 8 2 2 3 2 2 4 3" xfId="28130" xr:uid="{224119F7-B1F7-4162-8D78-8465FF4ADF73}"/>
    <cellStyle name="Normal 8 2 2 3 2 2 5" xfId="10373" xr:uid="{54B9915F-0094-4777-B049-6B81B8117FD3}"/>
    <cellStyle name="Normal 8 2 2 3 2 2 6" xfId="19672" xr:uid="{F4A74F76-01A5-4B9E-B92E-851CAD23558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4512CE2D-B594-4AB7-811F-6F49EEE53192}"/>
    <cellStyle name="Normal 8 2 2 3 2 3 2 2 3" xfId="26447" xr:uid="{7965A85F-060A-4D57-B8B2-B17AF1F8D692}"/>
    <cellStyle name="Normal 8 2 2 3 2 3 2 3" xfId="12931" xr:uid="{96B0B4C3-0AF6-4226-A584-9B5F3674D172}"/>
    <cellStyle name="Normal 8 2 2 3 2 3 2 4" xfId="22230" xr:uid="{7BE33416-B8D3-4574-BFA3-A954855DE827}"/>
    <cellStyle name="Normal 8 2 2 3 2 3 3" xfId="5677" xr:uid="{00000000-0005-0000-0000-00004E1C0000}"/>
    <cellStyle name="Normal 8 2 2 3 2 3 3 2" xfId="15003" xr:uid="{92482974-1F39-45D2-92C0-3850EB120223}"/>
    <cellStyle name="Normal 8 2 2 3 2 3 3 3" xfId="24302" xr:uid="{1B071906-A799-474B-976B-298DB7EAF01E}"/>
    <cellStyle name="Normal 8 2 2 3 2 3 4" xfId="10786" xr:uid="{AD76FB36-EB4E-4131-BE6A-FB2F0D2645A1}"/>
    <cellStyle name="Normal 8 2 2 3 2 3 5" xfId="20085" xr:uid="{19D698D1-8F9E-420B-8643-E8F6973950C9}"/>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BD8539C8-AEA3-4136-89D5-B83E13850163}"/>
    <cellStyle name="Normal 8 2 2 3 2 4 2 2 3" xfId="26860" xr:uid="{2F41B78C-DF7F-4E81-9457-555594E4DAF3}"/>
    <cellStyle name="Normal 8 2 2 3 2 4 2 3" xfId="13344" xr:uid="{6F2289F7-3F70-4252-98FF-0AB9943CC0C0}"/>
    <cellStyle name="Normal 8 2 2 3 2 4 2 4" xfId="22643" xr:uid="{DCCDF2A7-75EE-48BE-A43C-7D78EE46CBFA}"/>
    <cellStyle name="Normal 8 2 2 3 2 4 3" xfId="6090" xr:uid="{00000000-0005-0000-0000-0000521C0000}"/>
    <cellStyle name="Normal 8 2 2 3 2 4 3 2" xfId="15416" xr:uid="{0F555E05-FD1C-4D4B-BF56-338FF3EF6FEC}"/>
    <cellStyle name="Normal 8 2 2 3 2 4 3 3" xfId="24715" xr:uid="{A33B2792-7C8F-4150-A8E5-FAF0BB17157A}"/>
    <cellStyle name="Normal 8 2 2 3 2 4 4" xfId="11199" xr:uid="{A33D3E89-F837-4050-AAFD-FB4382EAB1CF}"/>
    <cellStyle name="Normal 8 2 2 3 2 4 5" xfId="20498" xr:uid="{8088A6C9-CB5B-4FA0-AB0D-E9C43EE3C74B}"/>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58C687FD-6F7D-42E2-B261-BC3FDF664274}"/>
    <cellStyle name="Normal 8 2 2 3 2 5 2 2 3" xfId="27273" xr:uid="{7E568DCD-3A39-4F51-B08E-8962253FA25C}"/>
    <cellStyle name="Normal 8 2 2 3 2 5 2 3" xfId="13757" xr:uid="{DD69399C-CB66-496A-869A-F031A6804C72}"/>
    <cellStyle name="Normal 8 2 2 3 2 5 2 4" xfId="23056" xr:uid="{A6F74DF8-14B9-40A8-9A5B-E4D688A2BD32}"/>
    <cellStyle name="Normal 8 2 2 3 2 5 3" xfId="6503" xr:uid="{00000000-0005-0000-0000-0000561C0000}"/>
    <cellStyle name="Normal 8 2 2 3 2 5 3 2" xfId="15829" xr:uid="{A00E3EE5-C4B8-4103-8B76-5FBA786D83A3}"/>
    <cellStyle name="Normal 8 2 2 3 2 5 3 3" xfId="25128" xr:uid="{10F22B53-B6A9-46EC-A678-4631713C0FF6}"/>
    <cellStyle name="Normal 8 2 2 3 2 5 4" xfId="11612" xr:uid="{77C33294-4E95-497D-8A93-E60AA9357A35}"/>
    <cellStyle name="Normal 8 2 2 3 2 5 5" xfId="20911" xr:uid="{2DB94243-97D2-4C24-A910-8C15C875E4CD}"/>
    <cellStyle name="Normal 8 2 2 3 2 6" xfId="2633" xr:uid="{00000000-0005-0000-0000-0000571C0000}"/>
    <cellStyle name="Normal 8 2 2 3 2 6 2" xfId="6916" xr:uid="{00000000-0005-0000-0000-0000581C0000}"/>
    <cellStyle name="Normal 8 2 2 3 2 6 2 2" xfId="16242" xr:uid="{5B232D73-C037-4C4C-BA0E-594B1B2D9D20}"/>
    <cellStyle name="Normal 8 2 2 3 2 6 2 3" xfId="25541" xr:uid="{E259D9A7-26C9-4DC7-9A98-BF65990312C3}"/>
    <cellStyle name="Normal 8 2 2 3 2 6 3" xfId="12025" xr:uid="{5AF0600D-0CFE-4B10-84F5-A203B568907C}"/>
    <cellStyle name="Normal 8 2 2 3 2 6 4" xfId="21324" xr:uid="{1468F706-AD7C-4C77-9E3F-FDE806370E8E}"/>
    <cellStyle name="Normal 8 2 2 3 2 7" xfId="4851" xr:uid="{00000000-0005-0000-0000-0000591C0000}"/>
    <cellStyle name="Normal 8 2 2 3 2 7 2" xfId="14177" xr:uid="{DE79A319-942B-48C7-99DB-42FC153F7276}"/>
    <cellStyle name="Normal 8 2 2 3 2 7 3" xfId="23476" xr:uid="{04FB10FE-4477-48AF-B7FD-11793F47E95E}"/>
    <cellStyle name="Normal 8 2 2 3 2 8" xfId="9093" xr:uid="{ADE34C72-BCCB-477C-B66A-BE7159CEB281}"/>
    <cellStyle name="Normal 8 2 2 3 2 8 2" xfId="18417" xr:uid="{79746C99-0E17-4543-BD1F-E4A9C5F0FF90}"/>
    <cellStyle name="Normal 8 2 2 3 2 8 3" xfId="27715" xr:uid="{C2302775-56F1-441B-B950-E12CD3C77776}"/>
    <cellStyle name="Normal 8 2 2 3 2 9" xfId="9960" xr:uid="{BD34A772-E3DD-4307-B9E5-44039A7BD64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744C313B-611F-455C-B000-023915D9B826}"/>
    <cellStyle name="Normal 8 2 2 3 3 2 2 3" xfId="26033" xr:uid="{B8BF769E-E8C2-4769-9C41-ADEF535B4379}"/>
    <cellStyle name="Normal 8 2 2 3 3 2 3" xfId="12517" xr:uid="{79F3B23C-62CF-40E9-A8A0-408856071C80}"/>
    <cellStyle name="Normal 8 2 2 3 3 2 4" xfId="21816" xr:uid="{FFBCE838-E790-4924-A695-C3369CECC42C}"/>
    <cellStyle name="Normal 8 2 2 3 3 3" xfId="5263" xr:uid="{00000000-0005-0000-0000-00005D1C0000}"/>
    <cellStyle name="Normal 8 2 2 3 3 3 2" xfId="14589" xr:uid="{125D2C75-000F-4EB7-A7A1-2BC33873EDAF}"/>
    <cellStyle name="Normal 8 2 2 3 3 3 3" xfId="23888" xr:uid="{6E3A5655-A0F7-4793-93E7-C529B54074F0}"/>
    <cellStyle name="Normal 8 2 2 3 3 4" xfId="9311" xr:uid="{F4618F1E-1235-4269-B5C6-B09BE5034F6C}"/>
    <cellStyle name="Normal 8 2 2 3 3 4 2" xfId="18626" xr:uid="{FC9BC53B-ED16-466E-BB13-C9E71C1875EB}"/>
    <cellStyle name="Normal 8 2 2 3 3 4 3" xfId="27923" xr:uid="{BE80F28D-7F18-4CAE-8B41-D82FB996A25B}"/>
    <cellStyle name="Normal 8 2 2 3 3 5" xfId="10372" xr:uid="{629ED9F2-9FD5-4C21-93C3-BEECA121943E}"/>
    <cellStyle name="Normal 8 2 2 3 3 6" xfId="19671" xr:uid="{97068A8F-B951-4482-A738-9833FDF45C45}"/>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642516E0-66F1-455D-A7C5-516D059021E5}"/>
    <cellStyle name="Normal 8 2 2 3 4 2 2 3" xfId="26446" xr:uid="{479C9497-2D15-410D-BDC6-9FB2AD914AFB}"/>
    <cellStyle name="Normal 8 2 2 3 4 2 3" xfId="12930" xr:uid="{09F3450A-1BC1-4F48-8C15-F0545080A7E5}"/>
    <cellStyle name="Normal 8 2 2 3 4 2 4" xfId="22229" xr:uid="{28CD79A7-E310-4F80-8267-602FEE45D593}"/>
    <cellStyle name="Normal 8 2 2 3 4 3" xfId="5676" xr:uid="{00000000-0005-0000-0000-0000611C0000}"/>
    <cellStyle name="Normal 8 2 2 3 4 3 2" xfId="15002" xr:uid="{A5BB31A5-398C-4F6A-A973-A72BE2D4A024}"/>
    <cellStyle name="Normal 8 2 2 3 4 3 3" xfId="24301" xr:uid="{D93CCBB3-8CC2-4CDD-8C0E-A0D2B2C4FDC5}"/>
    <cellStyle name="Normal 8 2 2 3 4 4" xfId="10785" xr:uid="{BE0E85CD-3683-42BA-AAC5-957D81E22F40}"/>
    <cellStyle name="Normal 8 2 2 3 4 5" xfId="20084" xr:uid="{945B6835-CEF0-40F7-8192-A3BFD284C163}"/>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1A474359-B02F-4097-A48D-F861123AFECA}"/>
    <cellStyle name="Normal 8 2 2 3 5 2 2 3" xfId="26859" xr:uid="{27EBE1A8-51A8-47CB-A9EF-B88B683F474B}"/>
    <cellStyle name="Normal 8 2 2 3 5 2 3" xfId="13343" xr:uid="{AB8E9A14-5D8F-4D3D-BE7F-F3C0136D1C0F}"/>
    <cellStyle name="Normal 8 2 2 3 5 2 4" xfId="22642" xr:uid="{74E288D9-FE65-4085-8BA3-995FFC767290}"/>
    <cellStyle name="Normal 8 2 2 3 5 3" xfId="6089" xr:uid="{00000000-0005-0000-0000-0000651C0000}"/>
    <cellStyle name="Normal 8 2 2 3 5 3 2" xfId="15415" xr:uid="{97453F19-CB84-4AAF-A68B-4B25453A763C}"/>
    <cellStyle name="Normal 8 2 2 3 5 3 3" xfId="24714" xr:uid="{F1DF82C0-0EF4-4285-9181-CDC1A729950A}"/>
    <cellStyle name="Normal 8 2 2 3 5 4" xfId="11198" xr:uid="{4E319904-F05C-40DF-A1BB-F1709E9E1098}"/>
    <cellStyle name="Normal 8 2 2 3 5 5" xfId="20497" xr:uid="{D9DC70DD-45BC-49B2-B88C-AE80175A01C0}"/>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7C36B740-1903-4310-9261-FDA4F6B4E053}"/>
    <cellStyle name="Normal 8 2 2 3 6 2 2 3" xfId="27272" xr:uid="{93A4B03C-F3D2-40FC-B803-CC822F7EA3D5}"/>
    <cellStyle name="Normal 8 2 2 3 6 2 3" xfId="13756" xr:uid="{E06D968A-D87C-4B68-9A0A-8BE3F97B2853}"/>
    <cellStyle name="Normal 8 2 2 3 6 2 4" xfId="23055" xr:uid="{EA5ACF9E-71BB-48FC-BC8F-683B0558C922}"/>
    <cellStyle name="Normal 8 2 2 3 6 3" xfId="6502" xr:uid="{00000000-0005-0000-0000-0000691C0000}"/>
    <cellStyle name="Normal 8 2 2 3 6 3 2" xfId="15828" xr:uid="{0E5AF889-9C34-4734-B7F5-C7B30C384E16}"/>
    <cellStyle name="Normal 8 2 2 3 6 3 3" xfId="25127" xr:uid="{D77CF188-86F4-4225-8242-038730CA4D7D}"/>
    <cellStyle name="Normal 8 2 2 3 6 4" xfId="11611" xr:uid="{9A17FFAD-A8D4-4F22-A077-77C4B83C873B}"/>
    <cellStyle name="Normal 8 2 2 3 6 5" xfId="20910" xr:uid="{927273FF-5D13-45CC-9EC0-B0FF6CD74FA0}"/>
    <cellStyle name="Normal 8 2 2 3 7" xfId="2632" xr:uid="{00000000-0005-0000-0000-00006A1C0000}"/>
    <cellStyle name="Normal 8 2 2 3 7 2" xfId="6915" xr:uid="{00000000-0005-0000-0000-00006B1C0000}"/>
    <cellStyle name="Normal 8 2 2 3 7 2 2" xfId="16241" xr:uid="{2AD5F767-0BA2-454C-A976-BFBE41DDE420}"/>
    <cellStyle name="Normal 8 2 2 3 7 2 3" xfId="25540" xr:uid="{57320BBE-9A16-4FBD-BB7C-9B027BF2916C}"/>
    <cellStyle name="Normal 8 2 2 3 7 3" xfId="12024" xr:uid="{8846310E-614C-4A94-99EF-EDE92FAB8959}"/>
    <cellStyle name="Normal 8 2 2 3 7 4" xfId="21323" xr:uid="{13D58A49-02AF-4140-AF67-58EA7A73C0FB}"/>
    <cellStyle name="Normal 8 2 2 3 8" xfId="4850" xr:uid="{00000000-0005-0000-0000-00006C1C0000}"/>
    <cellStyle name="Normal 8 2 2 3 8 2" xfId="14176" xr:uid="{6F1BC101-8DB4-4658-A8E2-C8EE47D0D270}"/>
    <cellStyle name="Normal 8 2 2 3 8 3" xfId="23475" xr:uid="{17D683A2-29E4-411A-8DCC-C128D7926397}"/>
    <cellStyle name="Normal 8 2 2 3 9" xfId="8886" xr:uid="{B2A45ACA-2377-4A40-A818-E7106AD46E30}"/>
    <cellStyle name="Normal 8 2 2 3 9 2" xfId="18210" xr:uid="{4DF9ADB2-D78E-47FE-83A8-F6E67E264242}"/>
    <cellStyle name="Normal 8 2 2 3 9 3" xfId="27508" xr:uid="{7FC16BDB-71DB-4D80-B444-8F3651072276}"/>
    <cellStyle name="Normal 8 2 2 4" xfId="487" xr:uid="{00000000-0005-0000-0000-00006D1C0000}"/>
    <cellStyle name="Normal 8 2 2 4 10" xfId="19260" xr:uid="{4E14BB65-6C0D-40DC-A618-6A23296340ED}"/>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BE824335-55B3-468A-AB56-D2696D285E36}"/>
    <cellStyle name="Normal 8 2 2 4 2 2 2 3" xfId="26035" xr:uid="{CA477C9B-A374-4597-946B-572D158D067F}"/>
    <cellStyle name="Normal 8 2 2 4 2 2 3" xfId="12519" xr:uid="{5990531F-75B5-4141-9AF1-1EC74CD3F844}"/>
    <cellStyle name="Normal 8 2 2 4 2 2 4" xfId="21818" xr:uid="{DFF61E77-6961-4C94-93B1-508B9E0CEB13}"/>
    <cellStyle name="Normal 8 2 2 4 2 3" xfId="5265" xr:uid="{00000000-0005-0000-0000-0000711C0000}"/>
    <cellStyle name="Normal 8 2 2 4 2 3 2" xfId="14591" xr:uid="{870631EF-9C9C-4BF3-9936-37052870E011}"/>
    <cellStyle name="Normal 8 2 2 4 2 3 3" xfId="23890" xr:uid="{7DEAEE03-AB4F-40C8-957C-1534587B9421}"/>
    <cellStyle name="Normal 8 2 2 4 2 4" xfId="9415" xr:uid="{88D7FF95-DEA9-4369-BE01-487FC7B2B7E8}"/>
    <cellStyle name="Normal 8 2 2 4 2 4 2" xfId="18730" xr:uid="{AD65CAE6-9CF0-432F-A135-0FB6B7954AFE}"/>
    <cellStyle name="Normal 8 2 2 4 2 4 3" xfId="28027" xr:uid="{0F7EFD40-5026-429A-BFC7-82BB13EF4FEB}"/>
    <cellStyle name="Normal 8 2 2 4 2 5" xfId="10374" xr:uid="{CCCBC199-6401-4290-9CC4-6A26035EB3C8}"/>
    <cellStyle name="Normal 8 2 2 4 2 6" xfId="19673" xr:uid="{6D1ECD1A-06B8-4085-B708-13E6F66558A6}"/>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0F228230-DDB2-4723-88AC-40F40868B5FB}"/>
    <cellStyle name="Normal 8 2 2 4 3 2 2 3" xfId="26448" xr:uid="{AE86A293-DB59-4BEF-8186-7347621F83C7}"/>
    <cellStyle name="Normal 8 2 2 4 3 2 3" xfId="12932" xr:uid="{86940528-6065-4CC0-B4FE-191A7EC306CB}"/>
    <cellStyle name="Normal 8 2 2 4 3 2 4" xfId="22231" xr:uid="{91E9CB40-D52E-45EF-8AB2-B32C622D67B5}"/>
    <cellStyle name="Normal 8 2 2 4 3 3" xfId="5678" xr:uid="{00000000-0005-0000-0000-0000751C0000}"/>
    <cellStyle name="Normal 8 2 2 4 3 3 2" xfId="15004" xr:uid="{449EBB64-4C01-4A53-B93C-9E264EEE0993}"/>
    <cellStyle name="Normal 8 2 2 4 3 3 3" xfId="24303" xr:uid="{88F7AD5F-4BF3-4E3F-9740-B2CD6656C3FB}"/>
    <cellStyle name="Normal 8 2 2 4 3 4" xfId="10787" xr:uid="{D24E4FA1-6B3A-4F8C-9473-025D62222EF2}"/>
    <cellStyle name="Normal 8 2 2 4 3 5" xfId="20086" xr:uid="{0FC4AF25-F2E7-4A83-B8D4-D18C673B363C}"/>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7B9B1E2A-2639-4278-8B01-38187C596AF1}"/>
    <cellStyle name="Normal 8 2 2 4 4 2 2 3" xfId="26861" xr:uid="{88FC9495-3E27-46B1-8FD0-6B79DBE2902A}"/>
    <cellStyle name="Normal 8 2 2 4 4 2 3" xfId="13345" xr:uid="{CB328FEB-62CD-4D99-9F3C-C745E3F216D5}"/>
    <cellStyle name="Normal 8 2 2 4 4 2 4" xfId="22644" xr:uid="{FFCF7DD5-A7A7-4E2E-A333-E270E996429F}"/>
    <cellStyle name="Normal 8 2 2 4 4 3" xfId="6091" xr:uid="{00000000-0005-0000-0000-0000791C0000}"/>
    <cellStyle name="Normal 8 2 2 4 4 3 2" xfId="15417" xr:uid="{CED112DC-9911-4E55-AA59-25D10A0CBD69}"/>
    <cellStyle name="Normal 8 2 2 4 4 3 3" xfId="24716" xr:uid="{932C3969-6B62-4011-8718-68C1EEF3E942}"/>
    <cellStyle name="Normal 8 2 2 4 4 4" xfId="11200" xr:uid="{E061AAAE-7942-4674-8E98-03155A9F2A2F}"/>
    <cellStyle name="Normal 8 2 2 4 4 5" xfId="20499" xr:uid="{F24B5E8D-29F4-4F65-8DA4-871DBD3518EB}"/>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5E683442-5559-41AE-A006-9B1D2E01DAED}"/>
    <cellStyle name="Normal 8 2 2 4 5 2 2 3" xfId="27274" xr:uid="{5EA0BABC-045D-47B9-9140-42CB99D9B8E5}"/>
    <cellStyle name="Normal 8 2 2 4 5 2 3" xfId="13758" xr:uid="{8C9F59BD-3E37-44EB-B5E0-CF8FB11F0D8B}"/>
    <cellStyle name="Normal 8 2 2 4 5 2 4" xfId="23057" xr:uid="{726B6C47-0B9C-4FC6-B1F8-98CADDB57774}"/>
    <cellStyle name="Normal 8 2 2 4 5 3" xfId="6504" xr:uid="{00000000-0005-0000-0000-00007D1C0000}"/>
    <cellStyle name="Normal 8 2 2 4 5 3 2" xfId="15830" xr:uid="{5840473B-4AEB-4372-9DAF-AC22D0698C88}"/>
    <cellStyle name="Normal 8 2 2 4 5 3 3" xfId="25129" xr:uid="{2F7413F3-BF1E-4109-919F-35A02A452E5A}"/>
    <cellStyle name="Normal 8 2 2 4 5 4" xfId="11613" xr:uid="{0930110A-0EE9-4EAF-9BAB-A1A8AC722A8B}"/>
    <cellStyle name="Normal 8 2 2 4 5 5" xfId="20912" xr:uid="{444C52BD-A7BA-4B41-8E9F-F07EFEA1C99B}"/>
    <cellStyle name="Normal 8 2 2 4 6" xfId="2634" xr:uid="{00000000-0005-0000-0000-00007E1C0000}"/>
    <cellStyle name="Normal 8 2 2 4 6 2" xfId="6917" xr:uid="{00000000-0005-0000-0000-00007F1C0000}"/>
    <cellStyle name="Normal 8 2 2 4 6 2 2" xfId="16243" xr:uid="{A6F12361-84E2-4176-9BF9-B32BDB1ADA46}"/>
    <cellStyle name="Normal 8 2 2 4 6 2 3" xfId="25542" xr:uid="{B50C40E7-A456-4584-AA3D-29360AB41515}"/>
    <cellStyle name="Normal 8 2 2 4 6 3" xfId="12026" xr:uid="{D80F554F-0C20-4FAF-B0CD-6BEDBBB2C77A}"/>
    <cellStyle name="Normal 8 2 2 4 6 4" xfId="21325" xr:uid="{C748D3FA-CE4D-4B8B-9763-CE07D2EB123A}"/>
    <cellStyle name="Normal 8 2 2 4 7" xfId="4852" xr:uid="{00000000-0005-0000-0000-0000801C0000}"/>
    <cellStyle name="Normal 8 2 2 4 7 2" xfId="14178" xr:uid="{ECADB710-120D-49FE-9218-5BF6DFCCB1E5}"/>
    <cellStyle name="Normal 8 2 2 4 7 3" xfId="23477" xr:uid="{E3D27D34-686C-4599-A3A6-20B21C663862}"/>
    <cellStyle name="Normal 8 2 2 4 8" xfId="8990" xr:uid="{F08D85C9-EB04-4227-BEA0-1B51DDB63DFA}"/>
    <cellStyle name="Normal 8 2 2 4 8 2" xfId="18314" xr:uid="{6E425B16-A490-432C-B484-AB08A2BA60D8}"/>
    <cellStyle name="Normal 8 2 2 4 8 3" xfId="27612" xr:uid="{6B9DCF3E-0183-46E8-9496-ABB201CD3A57}"/>
    <cellStyle name="Normal 8 2 2 4 9" xfId="9961" xr:uid="{BE50AB14-BD7E-40CA-8336-7C8E809C7185}"/>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E3A5EC5A-076C-4B04-B31F-0BC2CA1D647D}"/>
    <cellStyle name="Normal 8 2 2 5 2 2 3" xfId="26028" xr:uid="{8D4B62A4-9A63-48C0-A88E-AB7CBDCF09DF}"/>
    <cellStyle name="Normal 8 2 2 5 2 3" xfId="12512" xr:uid="{0AB6F49A-8A77-445E-B6B6-4272123DA107}"/>
    <cellStyle name="Normal 8 2 2 5 2 4" xfId="21811" xr:uid="{0FC87A17-952D-4569-8EF3-C4B46A7DB44F}"/>
    <cellStyle name="Normal 8 2 2 5 3" xfId="5258" xr:uid="{00000000-0005-0000-0000-0000841C0000}"/>
    <cellStyle name="Normal 8 2 2 5 3 2" xfId="14584" xr:uid="{D5048672-0064-4E3A-8FB6-5AE2A55D272E}"/>
    <cellStyle name="Normal 8 2 2 5 3 3" xfId="23883" xr:uid="{25A8018E-71BF-4B48-B96C-764F3CF6CD0D}"/>
    <cellStyle name="Normal 8 2 2 5 4" xfId="9207" xr:uid="{D4CDC4D2-5794-400F-B850-1B259D26C1FE}"/>
    <cellStyle name="Normal 8 2 2 5 4 2" xfId="18523" xr:uid="{6C23EC89-1CC3-45F0-B0CA-37F606228D09}"/>
    <cellStyle name="Normal 8 2 2 5 4 3" xfId="27820" xr:uid="{6949C7A4-B90A-4401-9BE6-15056979514A}"/>
    <cellStyle name="Normal 8 2 2 5 5" xfId="10367" xr:uid="{3A37D3CE-B4C5-4BC4-A5BA-2181EF06D3A5}"/>
    <cellStyle name="Normal 8 2 2 5 6" xfId="19666" xr:uid="{F0D763D8-5161-44E3-8BE6-D01361FB907E}"/>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D6200D07-ABB1-4A73-8BE8-00A14001E6F7}"/>
    <cellStyle name="Normal 8 2 2 6 2 2 3" xfId="26441" xr:uid="{A07425A4-FB3C-47D7-B35C-1CE01B064833}"/>
    <cellStyle name="Normal 8 2 2 6 2 3" xfId="12925" xr:uid="{C8F40F56-0E7C-40E8-AF85-37E7FFC62D97}"/>
    <cellStyle name="Normal 8 2 2 6 2 4" xfId="22224" xr:uid="{A02683D6-9A6B-44BD-A40D-69F330E4F891}"/>
    <cellStyle name="Normal 8 2 2 6 3" xfId="5671" xr:uid="{00000000-0005-0000-0000-0000881C0000}"/>
    <cellStyle name="Normal 8 2 2 6 3 2" xfId="14997" xr:uid="{3D835E9F-12B9-4100-B536-EECC82AEAE33}"/>
    <cellStyle name="Normal 8 2 2 6 3 3" xfId="24296" xr:uid="{B5A10F8F-8A6F-47C5-9B56-C7B55CB68F35}"/>
    <cellStyle name="Normal 8 2 2 6 4" xfId="10780" xr:uid="{0D1EF0D4-8748-446F-81AF-024C0DB96AA5}"/>
    <cellStyle name="Normal 8 2 2 6 5" xfId="20079" xr:uid="{CB71AB64-5A0F-4357-834A-5E6D2669FD4D}"/>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B6255889-8521-4879-B19A-D03884F24A63}"/>
    <cellStyle name="Normal 8 2 2 7 2 2 3" xfId="26854" xr:uid="{28046B60-A0A4-408F-ADE6-E232FD1E3A18}"/>
    <cellStyle name="Normal 8 2 2 7 2 3" xfId="13338" xr:uid="{0E0EF03A-20DC-4FA6-B88B-51E1D6C31D61}"/>
    <cellStyle name="Normal 8 2 2 7 2 4" xfId="22637" xr:uid="{B1088D71-25A7-48C6-A28F-5F7C4F4A3B3F}"/>
    <cellStyle name="Normal 8 2 2 7 3" xfId="6084" xr:uid="{00000000-0005-0000-0000-00008C1C0000}"/>
    <cellStyle name="Normal 8 2 2 7 3 2" xfId="15410" xr:uid="{718C61C9-3809-4F3A-BC1B-F19BC69F2421}"/>
    <cellStyle name="Normal 8 2 2 7 3 3" xfId="24709" xr:uid="{13097454-CB52-497C-80FD-169D4010C26E}"/>
    <cellStyle name="Normal 8 2 2 7 4" xfId="11193" xr:uid="{C210FC44-1024-4021-A4A9-5BE331343276}"/>
    <cellStyle name="Normal 8 2 2 7 5" xfId="20492" xr:uid="{093495E6-FE86-43B8-8EEB-B4A00B21F624}"/>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51D14BB1-5CAF-4EB5-A49C-DB5F0CD3622D}"/>
    <cellStyle name="Normal 8 2 2 8 2 2 3" xfId="27267" xr:uid="{AD9DE149-5C21-4BB5-A709-677435D79CD5}"/>
    <cellStyle name="Normal 8 2 2 8 2 3" xfId="13751" xr:uid="{CDD62B7F-E2A4-4145-A7A3-3A0DAC15490E}"/>
    <cellStyle name="Normal 8 2 2 8 2 4" xfId="23050" xr:uid="{2C17DF63-6275-4A48-9932-5463CCA04510}"/>
    <cellStyle name="Normal 8 2 2 8 3" xfId="6497" xr:uid="{00000000-0005-0000-0000-0000901C0000}"/>
    <cellStyle name="Normal 8 2 2 8 3 2" xfId="15823" xr:uid="{41174549-1198-4334-A13A-50A9E105C8CC}"/>
    <cellStyle name="Normal 8 2 2 8 3 3" xfId="25122" xr:uid="{EEC711E4-9986-4449-958E-1F45C3122311}"/>
    <cellStyle name="Normal 8 2 2 8 4" xfId="11606" xr:uid="{4D72A95D-8DFE-4CDD-B53C-A3811EA8CC1B}"/>
    <cellStyle name="Normal 8 2 2 8 5" xfId="20905" xr:uid="{738069B6-FBEE-4717-8D60-E94BDFD511E6}"/>
    <cellStyle name="Normal 8 2 2 9" xfId="2627" xr:uid="{00000000-0005-0000-0000-0000911C0000}"/>
    <cellStyle name="Normal 8 2 2 9 2" xfId="6910" xr:uid="{00000000-0005-0000-0000-0000921C0000}"/>
    <cellStyle name="Normal 8 2 2 9 2 2" xfId="16236" xr:uid="{AC2EC3CF-1DFB-46A3-A144-CD5267198808}"/>
    <cellStyle name="Normal 8 2 2 9 2 3" xfId="25535" xr:uid="{C469A8F0-6A98-4A9D-B603-467AEC1C4662}"/>
    <cellStyle name="Normal 8 2 2 9 3" xfId="12019" xr:uid="{EE1A5A18-AFFB-4B9B-AF4D-6385A0AF9684}"/>
    <cellStyle name="Normal 8 2 2 9 4" xfId="21318" xr:uid="{1E9AD982-9500-47E2-BEE4-723AE3C0191F}"/>
    <cellStyle name="Normal 8 2 3" xfId="488" xr:uid="{00000000-0005-0000-0000-0000931C0000}"/>
    <cellStyle name="Normal 8 2 3 10" xfId="8835" xr:uid="{2F0FB8B3-D08B-41EB-93AB-2D83A1BD6036}"/>
    <cellStyle name="Normal 8 2 3 10 2" xfId="18159" xr:uid="{E85F2B10-2A69-42A3-8545-E509DD2DA756}"/>
    <cellStyle name="Normal 8 2 3 10 3" xfId="27457" xr:uid="{83AF08A7-63CF-492A-8560-B380326AACB8}"/>
    <cellStyle name="Normal 8 2 3 11" xfId="9962" xr:uid="{1CB1A09D-C755-41F6-BA2E-0E5C4A66AE4A}"/>
    <cellStyle name="Normal 8 2 3 12" xfId="19261" xr:uid="{F9F1FBFD-3235-43AA-9D0E-8CCBD2537EBF}"/>
    <cellStyle name="Normal 8 2 3 2" xfId="489" xr:uid="{00000000-0005-0000-0000-0000941C0000}"/>
    <cellStyle name="Normal 8 2 3 2 10" xfId="9963" xr:uid="{A5A71D40-29DF-4D34-B52D-ADCE36D8B136}"/>
    <cellStyle name="Normal 8 2 3 2 11" xfId="19262" xr:uid="{9C49657B-5067-4AC3-9497-A526C7E3C3BA}"/>
    <cellStyle name="Normal 8 2 3 2 2" xfId="490" xr:uid="{00000000-0005-0000-0000-0000951C0000}"/>
    <cellStyle name="Normal 8 2 3 2 2 10" xfId="19263" xr:uid="{3CBD2B2D-58A3-47B9-92E8-3196160662D5}"/>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26991A4B-173F-4413-A45E-A4D0F88327B3}"/>
    <cellStyle name="Normal 8 2 3 2 2 2 2 2 3" xfId="26038" xr:uid="{7BB5DCF7-24E9-47AE-A01C-1DDF1E5212D7}"/>
    <cellStyle name="Normal 8 2 3 2 2 2 2 3" xfId="12522" xr:uid="{D29F3077-21F3-4878-9DCE-46AD2842445A}"/>
    <cellStyle name="Normal 8 2 3 2 2 2 2 4" xfId="21821" xr:uid="{9B429ADF-A181-4C4B-896F-B03B7CB964DA}"/>
    <cellStyle name="Normal 8 2 3 2 2 2 3" xfId="5268" xr:uid="{00000000-0005-0000-0000-0000991C0000}"/>
    <cellStyle name="Normal 8 2 3 2 2 2 3 2" xfId="14594" xr:uid="{196CC971-E0B6-42A0-8682-98661415A057}"/>
    <cellStyle name="Normal 8 2 3 2 2 2 3 3" xfId="23893" xr:uid="{17FAF6FC-04F1-4FC1-87E2-09D61EB9BF23}"/>
    <cellStyle name="Normal 8 2 3 2 2 2 4" xfId="9570" xr:uid="{BA9732E0-D9E4-47DB-882D-D871A821FA55}"/>
    <cellStyle name="Normal 8 2 3 2 2 2 4 2" xfId="18885" xr:uid="{4EECF100-DB38-4295-8472-B117F4E195EA}"/>
    <cellStyle name="Normal 8 2 3 2 2 2 4 3" xfId="28182" xr:uid="{CE05B627-AD96-49F8-9F31-06D4BF6C6553}"/>
    <cellStyle name="Normal 8 2 3 2 2 2 5" xfId="10377" xr:uid="{1C403086-C39A-4A60-8F99-7FCE0FDEBE7A}"/>
    <cellStyle name="Normal 8 2 3 2 2 2 6" xfId="19676" xr:uid="{5AC933B4-DD17-47FD-B98F-5D99BEACA10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F385F921-750E-4108-A741-13906ABC464F}"/>
    <cellStyle name="Normal 8 2 3 2 2 3 2 2 3" xfId="26451" xr:uid="{1C0825CA-3C82-495A-BFCE-DB29499C3DED}"/>
    <cellStyle name="Normal 8 2 3 2 2 3 2 3" xfId="12935" xr:uid="{7E9B8B7F-355E-4776-B4B0-64FEFC887635}"/>
    <cellStyle name="Normal 8 2 3 2 2 3 2 4" xfId="22234" xr:uid="{AF5A1BAD-AC3E-4942-91A6-529A27419E12}"/>
    <cellStyle name="Normal 8 2 3 2 2 3 3" xfId="5681" xr:uid="{00000000-0005-0000-0000-00009D1C0000}"/>
    <cellStyle name="Normal 8 2 3 2 2 3 3 2" xfId="15007" xr:uid="{81EBDABA-A2A5-4811-A4C2-921795ED459F}"/>
    <cellStyle name="Normal 8 2 3 2 2 3 3 3" xfId="24306" xr:uid="{36A094F5-5B40-496A-8A32-5C272AB32D5A}"/>
    <cellStyle name="Normal 8 2 3 2 2 3 4" xfId="10790" xr:uid="{D04710DC-7456-426B-9ACA-32ABBEA3EBC4}"/>
    <cellStyle name="Normal 8 2 3 2 2 3 5" xfId="20089" xr:uid="{D8285363-40CD-4C2E-8988-B8A870584095}"/>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BB770C22-DFEF-4A09-9B1A-4F5AA8CD2CA2}"/>
    <cellStyle name="Normal 8 2 3 2 2 4 2 2 3" xfId="26864" xr:uid="{C68DDB9D-FA8B-4C86-9A81-66178A5815AF}"/>
    <cellStyle name="Normal 8 2 3 2 2 4 2 3" xfId="13348" xr:uid="{2E8D8252-9489-4BA4-9388-981DB0BD2B5A}"/>
    <cellStyle name="Normal 8 2 3 2 2 4 2 4" xfId="22647" xr:uid="{EAD2AC9B-5704-4A87-859A-4AA9356B6A76}"/>
    <cellStyle name="Normal 8 2 3 2 2 4 3" xfId="6094" xr:uid="{00000000-0005-0000-0000-0000A11C0000}"/>
    <cellStyle name="Normal 8 2 3 2 2 4 3 2" xfId="15420" xr:uid="{C3BEDAD5-14F5-440D-BC86-4140B5BE1FC5}"/>
    <cellStyle name="Normal 8 2 3 2 2 4 3 3" xfId="24719" xr:uid="{866BDB8C-B3C9-44C8-A74F-88CE2DAFA983}"/>
    <cellStyle name="Normal 8 2 3 2 2 4 4" xfId="11203" xr:uid="{10B004B9-9564-46B3-9E81-FF2B980EB9C9}"/>
    <cellStyle name="Normal 8 2 3 2 2 4 5" xfId="20502" xr:uid="{2D9AD203-464F-4A83-9DC3-3CB1B380C765}"/>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0202F0A0-6AC1-4DEF-AE85-5C203C14A345}"/>
    <cellStyle name="Normal 8 2 3 2 2 5 2 2 3" xfId="27277" xr:uid="{F9958CAA-2C17-454D-8623-E2EF20DE7B8C}"/>
    <cellStyle name="Normal 8 2 3 2 2 5 2 3" xfId="13761" xr:uid="{05E10106-E986-4FC4-ACE9-1EE6D957F457}"/>
    <cellStyle name="Normal 8 2 3 2 2 5 2 4" xfId="23060" xr:uid="{654C3185-3455-4404-8CCB-5A29F25F61A5}"/>
    <cellStyle name="Normal 8 2 3 2 2 5 3" xfId="6507" xr:uid="{00000000-0005-0000-0000-0000A51C0000}"/>
    <cellStyle name="Normal 8 2 3 2 2 5 3 2" xfId="15833" xr:uid="{4E6B3943-0CC8-49EC-A7D8-15F4E4D97DDE}"/>
    <cellStyle name="Normal 8 2 3 2 2 5 3 3" xfId="25132" xr:uid="{8CDC1E4F-75E3-4599-A946-767FF02ADF06}"/>
    <cellStyle name="Normal 8 2 3 2 2 5 4" xfId="11616" xr:uid="{06D8EDCF-5090-487C-B9A7-A1603A2D31EA}"/>
    <cellStyle name="Normal 8 2 3 2 2 5 5" xfId="20915" xr:uid="{6EA61179-BB6C-4114-8CF6-2664D0581E50}"/>
    <cellStyle name="Normal 8 2 3 2 2 6" xfId="2637" xr:uid="{00000000-0005-0000-0000-0000A61C0000}"/>
    <cellStyle name="Normal 8 2 3 2 2 6 2" xfId="6920" xr:uid="{00000000-0005-0000-0000-0000A71C0000}"/>
    <cellStyle name="Normal 8 2 3 2 2 6 2 2" xfId="16246" xr:uid="{DA84F3CE-E505-4B32-B9FF-1CF312280563}"/>
    <cellStyle name="Normal 8 2 3 2 2 6 2 3" xfId="25545" xr:uid="{1976BBC1-713F-4B32-B18A-C9D6E66BB28A}"/>
    <cellStyle name="Normal 8 2 3 2 2 6 3" xfId="12029" xr:uid="{722C1391-5C7E-48E4-860F-E92D852F472D}"/>
    <cellStyle name="Normal 8 2 3 2 2 6 4" xfId="21328" xr:uid="{F47DFF81-6CC5-468E-AB33-0A25651CCA60}"/>
    <cellStyle name="Normal 8 2 3 2 2 7" xfId="4855" xr:uid="{00000000-0005-0000-0000-0000A81C0000}"/>
    <cellStyle name="Normal 8 2 3 2 2 7 2" xfId="14181" xr:uid="{DC5442A8-4F58-4BD4-BE42-C2904F0B4986}"/>
    <cellStyle name="Normal 8 2 3 2 2 7 3" xfId="23480" xr:uid="{FE6002B5-F91A-4183-BA2A-19367624B01F}"/>
    <cellStyle name="Normal 8 2 3 2 2 8" xfId="9145" xr:uid="{C71E6005-187D-4837-92B4-619AF06B3A3B}"/>
    <cellStyle name="Normal 8 2 3 2 2 8 2" xfId="18469" xr:uid="{0C8EC7B6-9817-420E-A468-96E28DD69E24}"/>
    <cellStyle name="Normal 8 2 3 2 2 8 3" xfId="27767" xr:uid="{2480C018-6C84-4588-80BD-A531B155E899}"/>
    <cellStyle name="Normal 8 2 3 2 2 9" xfId="9964" xr:uid="{66222864-4EE9-404E-8328-D2B356C539AA}"/>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4F206755-6DFF-43B6-8DF8-733B90FABD91}"/>
    <cellStyle name="Normal 8 2 3 2 3 2 2 3" xfId="26037" xr:uid="{CBCEE86F-5B65-4EFE-B57B-F3EAE4E59D22}"/>
    <cellStyle name="Normal 8 2 3 2 3 2 3" xfId="12521" xr:uid="{B35CB53F-D77E-4C59-A3DB-B415495DD1F7}"/>
    <cellStyle name="Normal 8 2 3 2 3 2 4" xfId="21820" xr:uid="{6033FD29-CFC9-4E67-936D-831F79373C30}"/>
    <cellStyle name="Normal 8 2 3 2 3 3" xfId="5267" xr:uid="{00000000-0005-0000-0000-0000AC1C0000}"/>
    <cellStyle name="Normal 8 2 3 2 3 3 2" xfId="14593" xr:uid="{9ADFAAC7-A00E-4961-BBCF-C633A9096BDF}"/>
    <cellStyle name="Normal 8 2 3 2 3 3 3" xfId="23892" xr:uid="{A2A57BB0-0D1E-4074-BE7A-F746CAD24236}"/>
    <cellStyle name="Normal 8 2 3 2 3 4" xfId="9363" xr:uid="{C94C6C98-A8BC-4AC9-B084-0D2219E89AA8}"/>
    <cellStyle name="Normal 8 2 3 2 3 4 2" xfId="18678" xr:uid="{57DCB7E2-C671-476D-B6FA-AA932ED79D16}"/>
    <cellStyle name="Normal 8 2 3 2 3 4 3" xfId="27975" xr:uid="{2E40C069-7927-4B95-9AEC-7CEA663104A1}"/>
    <cellStyle name="Normal 8 2 3 2 3 5" xfId="10376" xr:uid="{2428B286-F901-4F02-814F-630713584F0A}"/>
    <cellStyle name="Normal 8 2 3 2 3 6" xfId="19675" xr:uid="{34356884-50DA-4E3A-BF2A-8DE0EBC6C62A}"/>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5FF00C0D-26A8-40C8-AF43-F33683213913}"/>
    <cellStyle name="Normal 8 2 3 2 4 2 2 3" xfId="26450" xr:uid="{0A720E2F-F8EE-46FC-89AD-023E3EDB0FF6}"/>
    <cellStyle name="Normal 8 2 3 2 4 2 3" xfId="12934" xr:uid="{BA226A1E-E9D5-495C-A5D9-68AA823DAAA9}"/>
    <cellStyle name="Normal 8 2 3 2 4 2 4" xfId="22233" xr:uid="{C9048772-4981-4D8D-9066-840CC641F682}"/>
    <cellStyle name="Normal 8 2 3 2 4 3" xfId="5680" xr:uid="{00000000-0005-0000-0000-0000B01C0000}"/>
    <cellStyle name="Normal 8 2 3 2 4 3 2" xfId="15006" xr:uid="{71B2DA4D-48D2-49BC-A45F-D8111EF16A38}"/>
    <cellStyle name="Normal 8 2 3 2 4 3 3" xfId="24305" xr:uid="{C83D7442-75F8-4C35-A0B2-D67D5074BFB7}"/>
    <cellStyle name="Normal 8 2 3 2 4 4" xfId="10789" xr:uid="{EFAA0359-B561-4C39-83D7-0FD58E104EAA}"/>
    <cellStyle name="Normal 8 2 3 2 4 5" xfId="20088" xr:uid="{B437FC75-B5A0-49C8-AC45-BA6AB7981878}"/>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4DA2A259-EA21-46B3-B35D-88D217E3FFD8}"/>
    <cellStyle name="Normal 8 2 3 2 5 2 2 3" xfId="26863" xr:uid="{BD77E56E-A364-478E-B092-7DCB2BA874AB}"/>
    <cellStyle name="Normal 8 2 3 2 5 2 3" xfId="13347" xr:uid="{5C7CA7FC-5A6F-4E1D-8CA8-A161A10E0E19}"/>
    <cellStyle name="Normal 8 2 3 2 5 2 4" xfId="22646" xr:uid="{8340C25F-BF99-4A29-B2DA-333FF94AA814}"/>
    <cellStyle name="Normal 8 2 3 2 5 3" xfId="6093" xr:uid="{00000000-0005-0000-0000-0000B41C0000}"/>
    <cellStyle name="Normal 8 2 3 2 5 3 2" xfId="15419" xr:uid="{705C6459-5D59-44D2-9439-7C2DFB2D1AAA}"/>
    <cellStyle name="Normal 8 2 3 2 5 3 3" xfId="24718" xr:uid="{7FF35E6A-4E68-4A27-AF2D-B91288840F3F}"/>
    <cellStyle name="Normal 8 2 3 2 5 4" xfId="11202" xr:uid="{A71023CC-CC4A-435F-8CD1-FE130D3F7D3F}"/>
    <cellStyle name="Normal 8 2 3 2 5 5" xfId="20501" xr:uid="{AAFAFE94-DF8F-441B-8216-DA096B199FCD}"/>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66D7CED3-13EC-46E0-ABAB-9A3137A6DE71}"/>
    <cellStyle name="Normal 8 2 3 2 6 2 2 3" xfId="27276" xr:uid="{4E70A550-70AF-4544-B702-256F554E925A}"/>
    <cellStyle name="Normal 8 2 3 2 6 2 3" xfId="13760" xr:uid="{2329CDDB-9310-4D85-8033-ECB26D294AF7}"/>
    <cellStyle name="Normal 8 2 3 2 6 2 4" xfId="23059" xr:uid="{EE59915A-A5A6-44B7-AF5E-33C9EFCD7A1E}"/>
    <cellStyle name="Normal 8 2 3 2 6 3" xfId="6506" xr:uid="{00000000-0005-0000-0000-0000B81C0000}"/>
    <cellStyle name="Normal 8 2 3 2 6 3 2" xfId="15832" xr:uid="{FCC98D59-68AF-4337-9A7F-214B06E0D1D2}"/>
    <cellStyle name="Normal 8 2 3 2 6 3 3" xfId="25131" xr:uid="{8C3AC23B-CB5E-4159-8305-6107EC107990}"/>
    <cellStyle name="Normal 8 2 3 2 6 4" xfId="11615" xr:uid="{79B5516B-5550-4649-8268-947EB37C1442}"/>
    <cellStyle name="Normal 8 2 3 2 6 5" xfId="20914" xr:uid="{F84C0F65-B9ED-47AF-A80A-9A0C69066F3F}"/>
    <cellStyle name="Normal 8 2 3 2 7" xfId="2636" xr:uid="{00000000-0005-0000-0000-0000B91C0000}"/>
    <cellStyle name="Normal 8 2 3 2 7 2" xfId="6919" xr:uid="{00000000-0005-0000-0000-0000BA1C0000}"/>
    <cellStyle name="Normal 8 2 3 2 7 2 2" xfId="16245" xr:uid="{24B939F3-A43C-470F-8814-B62FEBC9D218}"/>
    <cellStyle name="Normal 8 2 3 2 7 2 3" xfId="25544" xr:uid="{5A62D00D-77A5-4D22-8272-10BAB35B3880}"/>
    <cellStyle name="Normal 8 2 3 2 7 3" xfId="12028" xr:uid="{80CE81EE-F1FC-4F93-8CC1-52381572EEFF}"/>
    <cellStyle name="Normal 8 2 3 2 7 4" xfId="21327" xr:uid="{60723826-EA2D-497E-9AFA-CF3E3D7B837D}"/>
    <cellStyle name="Normal 8 2 3 2 8" xfId="4854" xr:uid="{00000000-0005-0000-0000-0000BB1C0000}"/>
    <cellStyle name="Normal 8 2 3 2 8 2" xfId="14180" xr:uid="{7DFA6E06-1A02-4C1B-9605-D5FB63027C94}"/>
    <cellStyle name="Normal 8 2 3 2 8 3" xfId="23479" xr:uid="{CCC95DF5-7E1E-4CFA-BB64-B394CB621800}"/>
    <cellStyle name="Normal 8 2 3 2 9" xfId="8938" xr:uid="{1EAF77CE-4DC3-40DC-AA9D-31320D478EE9}"/>
    <cellStyle name="Normal 8 2 3 2 9 2" xfId="18262" xr:uid="{FABAF21C-281B-474D-ABF9-834FCDB283DB}"/>
    <cellStyle name="Normal 8 2 3 2 9 3" xfId="27560" xr:uid="{0E976E0A-7D05-45AE-8740-1BD85EB6C8CF}"/>
    <cellStyle name="Normal 8 2 3 3" xfId="491" xr:uid="{00000000-0005-0000-0000-0000BC1C0000}"/>
    <cellStyle name="Normal 8 2 3 3 10" xfId="19264" xr:uid="{DB73399D-3006-4F0B-A501-D332B915CAA3}"/>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1EC3FA06-FC39-4BB8-BC8D-ECDC4B5062A8}"/>
    <cellStyle name="Normal 8 2 3 3 2 2 2 3" xfId="26039" xr:uid="{874A73BC-AB1A-4BF3-8694-6C80D22FAC61}"/>
    <cellStyle name="Normal 8 2 3 3 2 2 3" xfId="12523" xr:uid="{C4CF2D9D-382E-4318-9465-E89FDF32D2F3}"/>
    <cellStyle name="Normal 8 2 3 3 2 2 4" xfId="21822" xr:uid="{2BFDCC3D-466C-4943-9DD2-4734DB510562}"/>
    <cellStyle name="Normal 8 2 3 3 2 3" xfId="5269" xr:uid="{00000000-0005-0000-0000-0000C01C0000}"/>
    <cellStyle name="Normal 8 2 3 3 2 3 2" xfId="14595" xr:uid="{804BB66E-B020-4A8A-B480-35CB0AAF8834}"/>
    <cellStyle name="Normal 8 2 3 3 2 3 3" xfId="23894" xr:uid="{49256D01-98A1-47EF-9B57-CB909EFFE461}"/>
    <cellStyle name="Normal 8 2 3 3 2 4" xfId="9467" xr:uid="{C16001D7-8508-4511-808F-E990F8EA0FE3}"/>
    <cellStyle name="Normal 8 2 3 3 2 4 2" xfId="18782" xr:uid="{8E6A355E-09A2-4485-BA4E-3B6FE49E38A8}"/>
    <cellStyle name="Normal 8 2 3 3 2 4 3" xfId="28079" xr:uid="{1472CB06-AAD6-4543-96B8-82924B359DD4}"/>
    <cellStyle name="Normal 8 2 3 3 2 5" xfId="10378" xr:uid="{B02F766A-DF2A-4046-B6CC-CA95AA283BF3}"/>
    <cellStyle name="Normal 8 2 3 3 2 6" xfId="19677" xr:uid="{C4FB06B1-6D16-4B9E-9D23-779CC4057970}"/>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BDBCFA0E-C710-441B-9F64-42A028DB7D3D}"/>
    <cellStyle name="Normal 8 2 3 3 3 2 2 3" xfId="26452" xr:uid="{A7A92902-56AA-4777-9B35-894D6E3A125E}"/>
    <cellStyle name="Normal 8 2 3 3 3 2 3" xfId="12936" xr:uid="{27E93DA8-57FD-46E5-B5F3-CE98C0C128B7}"/>
    <cellStyle name="Normal 8 2 3 3 3 2 4" xfId="22235" xr:uid="{B0A0BEE6-53BB-40E7-9605-641DA1417350}"/>
    <cellStyle name="Normal 8 2 3 3 3 3" xfId="5682" xr:uid="{00000000-0005-0000-0000-0000C41C0000}"/>
    <cellStyle name="Normal 8 2 3 3 3 3 2" xfId="15008" xr:uid="{0E90C3C0-090F-46ED-BC7B-0B8A0BD215D8}"/>
    <cellStyle name="Normal 8 2 3 3 3 3 3" xfId="24307" xr:uid="{D27E8487-F1A7-4DD1-9030-18CA6076F05F}"/>
    <cellStyle name="Normal 8 2 3 3 3 4" xfId="10791" xr:uid="{6650907C-F3F7-47C0-AF57-500637C08605}"/>
    <cellStyle name="Normal 8 2 3 3 3 5" xfId="20090" xr:uid="{261E3C60-10B0-4D04-86BD-DACD84F0255B}"/>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184590BA-077E-4727-9636-EA5C6A73A647}"/>
    <cellStyle name="Normal 8 2 3 3 4 2 2 3" xfId="26865" xr:uid="{50A26EB7-E599-4FF0-9B73-0A55BE39788F}"/>
    <cellStyle name="Normal 8 2 3 3 4 2 3" xfId="13349" xr:uid="{85C18CB5-A77E-4FA9-AD25-3F513FB9A53E}"/>
    <cellStyle name="Normal 8 2 3 3 4 2 4" xfId="22648" xr:uid="{3768896D-51D8-4415-848E-9F795167031C}"/>
    <cellStyle name="Normal 8 2 3 3 4 3" xfId="6095" xr:uid="{00000000-0005-0000-0000-0000C81C0000}"/>
    <cellStyle name="Normal 8 2 3 3 4 3 2" xfId="15421" xr:uid="{F50E6C61-63A4-43E0-83D2-5D12E145AE15}"/>
    <cellStyle name="Normal 8 2 3 3 4 3 3" xfId="24720" xr:uid="{1D3B4D42-5E43-4C17-A998-95B258D48AA2}"/>
    <cellStyle name="Normal 8 2 3 3 4 4" xfId="11204" xr:uid="{63E29545-32E4-47C9-9147-1F8A9EF5742A}"/>
    <cellStyle name="Normal 8 2 3 3 4 5" xfId="20503" xr:uid="{273DB6FA-AC21-42D3-8719-7E839979EEED}"/>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73834C05-4759-457E-ACA1-CBA89581FE64}"/>
    <cellStyle name="Normal 8 2 3 3 5 2 2 3" xfId="27278" xr:uid="{67231B5C-55D3-4716-ACC5-092480F9D933}"/>
    <cellStyle name="Normal 8 2 3 3 5 2 3" xfId="13762" xr:uid="{DD794505-7EA1-4211-9B0A-8DC4F510590E}"/>
    <cellStyle name="Normal 8 2 3 3 5 2 4" xfId="23061" xr:uid="{3F6AB362-0C2E-461A-A54A-B8923523C51C}"/>
    <cellStyle name="Normal 8 2 3 3 5 3" xfId="6508" xr:uid="{00000000-0005-0000-0000-0000CC1C0000}"/>
    <cellStyle name="Normal 8 2 3 3 5 3 2" xfId="15834" xr:uid="{6DD7F069-C86F-4853-B2EF-03CF0AAB59E7}"/>
    <cellStyle name="Normal 8 2 3 3 5 3 3" xfId="25133" xr:uid="{5A6707DB-EAFA-48F3-9E45-72B2F0FF3E07}"/>
    <cellStyle name="Normal 8 2 3 3 5 4" xfId="11617" xr:uid="{C9FFEB70-F5F9-4AFB-95B0-747505702337}"/>
    <cellStyle name="Normal 8 2 3 3 5 5" xfId="20916" xr:uid="{47124F7C-FF75-4586-A3E1-2EA16F45FDC8}"/>
    <cellStyle name="Normal 8 2 3 3 6" xfId="2638" xr:uid="{00000000-0005-0000-0000-0000CD1C0000}"/>
    <cellStyle name="Normal 8 2 3 3 6 2" xfId="6921" xr:uid="{00000000-0005-0000-0000-0000CE1C0000}"/>
    <cellStyle name="Normal 8 2 3 3 6 2 2" xfId="16247" xr:uid="{84C26703-D305-4DE6-BA51-DAEA73D566DA}"/>
    <cellStyle name="Normal 8 2 3 3 6 2 3" xfId="25546" xr:uid="{BE12CABA-06E3-41C7-B69A-0545AAFD2CF3}"/>
    <cellStyle name="Normal 8 2 3 3 6 3" xfId="12030" xr:uid="{F1F62023-477C-44FF-B935-9F43E50708CC}"/>
    <cellStyle name="Normal 8 2 3 3 6 4" xfId="21329" xr:uid="{EEC79451-BC48-40CB-B198-34F17F208F9B}"/>
    <cellStyle name="Normal 8 2 3 3 7" xfId="4856" xr:uid="{00000000-0005-0000-0000-0000CF1C0000}"/>
    <cellStyle name="Normal 8 2 3 3 7 2" xfId="14182" xr:uid="{4995720C-2BD1-42BE-962D-51BFBFA21305}"/>
    <cellStyle name="Normal 8 2 3 3 7 3" xfId="23481" xr:uid="{C6C1E17D-5B79-4173-A630-849F2DA55E89}"/>
    <cellStyle name="Normal 8 2 3 3 8" xfId="9042" xr:uid="{D820ED39-BAB1-48C1-A68D-2017E247E432}"/>
    <cellStyle name="Normal 8 2 3 3 8 2" xfId="18366" xr:uid="{2BB52B2C-AF8C-4DC4-BA11-DC59098EE4F5}"/>
    <cellStyle name="Normal 8 2 3 3 8 3" xfId="27664" xr:uid="{448CED4D-DBD7-43CB-B2E7-9AAEC141BB3F}"/>
    <cellStyle name="Normal 8 2 3 3 9" xfId="9965" xr:uid="{5229B699-CFCB-4032-BCFB-5AAF888618E4}"/>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21EC5F34-178C-4E9D-8AEA-7819B92C6669}"/>
    <cellStyle name="Normal 8 2 3 4 2 2 3" xfId="26036" xr:uid="{525ED95C-171A-4A90-AF6B-EC807FADC525}"/>
    <cellStyle name="Normal 8 2 3 4 2 3" xfId="12520" xr:uid="{E041C09D-84DC-4656-8D18-BBCEE75D645C}"/>
    <cellStyle name="Normal 8 2 3 4 2 4" xfId="21819" xr:uid="{24E84523-DD0C-46DC-AF56-71FEF70B3DEC}"/>
    <cellStyle name="Normal 8 2 3 4 3" xfId="5266" xr:uid="{00000000-0005-0000-0000-0000D31C0000}"/>
    <cellStyle name="Normal 8 2 3 4 3 2" xfId="14592" xr:uid="{5C114D51-FCE3-45C0-AE92-F154C90100A5}"/>
    <cellStyle name="Normal 8 2 3 4 3 3" xfId="23891" xr:uid="{D3732449-D20D-428F-9262-41254D93DE41}"/>
    <cellStyle name="Normal 8 2 3 4 4" xfId="9260" xr:uid="{70FF5A16-C89A-42B7-A603-E23A7C2F443C}"/>
    <cellStyle name="Normal 8 2 3 4 4 2" xfId="18575" xr:uid="{BAD4A7A6-A0F7-4020-9751-1A52CF5ECA40}"/>
    <cellStyle name="Normal 8 2 3 4 4 3" xfId="27872" xr:uid="{70F85C17-8385-4A6F-8697-A0D055518B36}"/>
    <cellStyle name="Normal 8 2 3 4 5" xfId="10375" xr:uid="{7263683D-D086-433D-8205-926EB05AACA7}"/>
    <cellStyle name="Normal 8 2 3 4 6" xfId="19674" xr:uid="{DC3D66E1-C807-4D8E-A81F-47A08411A709}"/>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3DF72AA7-007B-4BEE-95AA-8D8ACF4E5433}"/>
    <cellStyle name="Normal 8 2 3 5 2 2 3" xfId="26449" xr:uid="{531A8706-1555-45C1-8174-564647E1ADDB}"/>
    <cellStyle name="Normal 8 2 3 5 2 3" xfId="12933" xr:uid="{48D176BD-6432-418D-94B5-1DA8A841CC5F}"/>
    <cellStyle name="Normal 8 2 3 5 2 4" xfId="22232" xr:uid="{30DAF3C9-1995-4E76-BD31-38DAB0D36195}"/>
    <cellStyle name="Normal 8 2 3 5 3" xfId="5679" xr:uid="{00000000-0005-0000-0000-0000D71C0000}"/>
    <cellStyle name="Normal 8 2 3 5 3 2" xfId="15005" xr:uid="{0E5EF84B-C832-4DDB-ADA6-C9C21617419E}"/>
    <cellStyle name="Normal 8 2 3 5 3 3" xfId="24304" xr:uid="{D9C4ED85-8289-438B-8DAC-471FC499CF99}"/>
    <cellStyle name="Normal 8 2 3 5 4" xfId="10788" xr:uid="{9A8EC3E7-6334-4443-8212-8E683AF6E62F}"/>
    <cellStyle name="Normal 8 2 3 5 5" xfId="20087" xr:uid="{30FAEA39-6FFB-4267-8C93-547C8AC6169D}"/>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0FCECF5B-AC18-4F02-A381-D3154CD47442}"/>
    <cellStyle name="Normal 8 2 3 6 2 2 3" xfId="26862" xr:uid="{CE0A84A0-357A-4BF8-9F28-D78E4349EA76}"/>
    <cellStyle name="Normal 8 2 3 6 2 3" xfId="13346" xr:uid="{5DF45BF3-9E9E-4246-AAEA-A4DD04E5A9C8}"/>
    <cellStyle name="Normal 8 2 3 6 2 4" xfId="22645" xr:uid="{6F13C7F3-DDC2-4ED8-8397-7D6048B3DF09}"/>
    <cellStyle name="Normal 8 2 3 6 3" xfId="6092" xr:uid="{00000000-0005-0000-0000-0000DB1C0000}"/>
    <cellStyle name="Normal 8 2 3 6 3 2" xfId="15418" xr:uid="{ECBC1309-E7EF-48FF-B81B-0F08BF3762CE}"/>
    <cellStyle name="Normal 8 2 3 6 3 3" xfId="24717" xr:uid="{B354CA2D-A2B0-40D2-8D6C-DF1523BB0E85}"/>
    <cellStyle name="Normal 8 2 3 6 4" xfId="11201" xr:uid="{31F8F799-A6CC-49DC-8FE7-3618B8D15AD5}"/>
    <cellStyle name="Normal 8 2 3 6 5" xfId="20500" xr:uid="{A772804B-DF1B-4276-8759-09F801B59D15}"/>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42E81F21-9AA8-49BE-9F8F-5C274625F2E5}"/>
    <cellStyle name="Normal 8 2 3 7 2 2 3" xfId="27275" xr:uid="{C2B1A58B-35A8-4CA9-AA3A-D2780AD1171F}"/>
    <cellStyle name="Normal 8 2 3 7 2 3" xfId="13759" xr:uid="{762216AF-9F00-4E6F-9B54-8499BFFCDA65}"/>
    <cellStyle name="Normal 8 2 3 7 2 4" xfId="23058" xr:uid="{053EBA4A-A84B-4238-B921-20F57FD5DFC0}"/>
    <cellStyle name="Normal 8 2 3 7 3" xfId="6505" xr:uid="{00000000-0005-0000-0000-0000DF1C0000}"/>
    <cellStyle name="Normal 8 2 3 7 3 2" xfId="15831" xr:uid="{C6E97DB5-45CF-41C2-94B2-A6A04F52AB55}"/>
    <cellStyle name="Normal 8 2 3 7 3 3" xfId="25130" xr:uid="{B1D50043-4328-4BB9-941D-D3D1689AF7F4}"/>
    <cellStyle name="Normal 8 2 3 7 4" xfId="11614" xr:uid="{E9F89402-9B0D-4068-A068-10B192BF7595}"/>
    <cellStyle name="Normal 8 2 3 7 5" xfId="20913" xr:uid="{AFE7357F-F324-4E1B-A497-301A0E0EC08B}"/>
    <cellStyle name="Normal 8 2 3 8" xfId="2635" xr:uid="{00000000-0005-0000-0000-0000E01C0000}"/>
    <cellStyle name="Normal 8 2 3 8 2" xfId="6918" xr:uid="{00000000-0005-0000-0000-0000E11C0000}"/>
    <cellStyle name="Normal 8 2 3 8 2 2" xfId="16244" xr:uid="{F56F9DDA-C963-4EC9-B970-E327C1821663}"/>
    <cellStyle name="Normal 8 2 3 8 2 3" xfId="25543" xr:uid="{728D5386-28BC-46A9-B778-6EC007FAA82B}"/>
    <cellStyle name="Normal 8 2 3 8 3" xfId="12027" xr:uid="{30780862-30C4-45AE-B0F3-5A19C8193B0D}"/>
    <cellStyle name="Normal 8 2 3 8 4" xfId="21326" xr:uid="{BF5C7EE6-70AD-46BD-AFC3-4AAE14F7276B}"/>
    <cellStyle name="Normal 8 2 3 9" xfId="4853" xr:uid="{00000000-0005-0000-0000-0000E21C0000}"/>
    <cellStyle name="Normal 8 2 3 9 2" xfId="14179" xr:uid="{8DA53408-A57C-4A2C-9069-449FFAC479EA}"/>
    <cellStyle name="Normal 8 2 3 9 3" xfId="23478" xr:uid="{D4355F03-07BB-403D-99CF-89525CB4031D}"/>
    <cellStyle name="Normal 8 2 4" xfId="492" xr:uid="{00000000-0005-0000-0000-0000E31C0000}"/>
    <cellStyle name="Normal 8 2 4 10" xfId="9966" xr:uid="{F977C80B-5DF2-46A7-8C03-3C59CB41B63D}"/>
    <cellStyle name="Normal 8 2 4 11" xfId="19265" xr:uid="{9892C359-A4AB-4235-9C05-EDA48CDEAD3C}"/>
    <cellStyle name="Normal 8 2 4 2" xfId="493" xr:uid="{00000000-0005-0000-0000-0000E41C0000}"/>
    <cellStyle name="Normal 8 2 4 2 10" xfId="19266" xr:uid="{636BF87A-F6EF-45AD-BA7C-4D897A321906}"/>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3C71F0D9-CFCD-40D3-A5E5-4E1BC1BF4900}"/>
    <cellStyle name="Normal 8 2 4 2 2 2 2 3" xfId="26041" xr:uid="{3C401700-6CC2-4CD6-B91A-5C1F57A7275D}"/>
    <cellStyle name="Normal 8 2 4 2 2 2 3" xfId="12525" xr:uid="{B46A887A-BE75-43B4-94D6-D13AFACEA25F}"/>
    <cellStyle name="Normal 8 2 4 2 2 2 4" xfId="21824" xr:uid="{4F9501D7-2EA6-49BA-A53A-5D7493D30D5D}"/>
    <cellStyle name="Normal 8 2 4 2 2 3" xfId="5271" xr:uid="{00000000-0005-0000-0000-0000E81C0000}"/>
    <cellStyle name="Normal 8 2 4 2 2 3 2" xfId="14597" xr:uid="{70150EEE-ED47-44B8-9FB7-5464D3EEBEE4}"/>
    <cellStyle name="Normal 8 2 4 2 2 3 3" xfId="23896" xr:uid="{062D2EA9-3DFD-4E59-9819-0C19ED66267A}"/>
    <cellStyle name="Normal 8 2 4 2 2 4" xfId="9486" xr:uid="{9F6EBE4C-F02F-43A6-A388-D5EACB1B3099}"/>
    <cellStyle name="Normal 8 2 4 2 2 4 2" xfId="18801" xr:uid="{E7189559-34E0-47A8-9BDE-6DB2B86FED31}"/>
    <cellStyle name="Normal 8 2 4 2 2 4 3" xfId="28098" xr:uid="{5E418A3A-6D52-4714-A0F7-3FA382206B6A}"/>
    <cellStyle name="Normal 8 2 4 2 2 5" xfId="10380" xr:uid="{4FAE9BB0-AC9B-4061-B9E5-EB971F14287F}"/>
    <cellStyle name="Normal 8 2 4 2 2 6" xfId="19679" xr:uid="{910B0BFF-53F0-4D82-B52A-C93D6408CD62}"/>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75046E49-A292-4618-BD31-1EE4B4DABF4F}"/>
    <cellStyle name="Normal 8 2 4 2 3 2 2 3" xfId="26454" xr:uid="{06CCA509-D4AD-4AEB-8AFE-CA05A4247646}"/>
    <cellStyle name="Normal 8 2 4 2 3 2 3" xfId="12938" xr:uid="{4268D898-9714-4A08-AB45-C1975D2B649B}"/>
    <cellStyle name="Normal 8 2 4 2 3 2 4" xfId="22237" xr:uid="{B150163B-99F0-45C6-9AF4-5E6298092472}"/>
    <cellStyle name="Normal 8 2 4 2 3 3" xfId="5684" xr:uid="{00000000-0005-0000-0000-0000EC1C0000}"/>
    <cellStyle name="Normal 8 2 4 2 3 3 2" xfId="15010" xr:uid="{768DD4C2-FF7D-4A16-820B-0A2B8E0E0C1C}"/>
    <cellStyle name="Normal 8 2 4 2 3 3 3" xfId="24309" xr:uid="{278E6AC0-B0F3-4ABB-A8B7-642C822C12F8}"/>
    <cellStyle name="Normal 8 2 4 2 3 4" xfId="10793" xr:uid="{8F5E0573-012B-4AA3-8A9C-D51BF2CD8A5F}"/>
    <cellStyle name="Normal 8 2 4 2 3 5" xfId="20092" xr:uid="{354190F8-6C9F-4153-9D1B-52C18E328BC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7D8C2B98-0C3A-4891-B5D3-93FAF23015A7}"/>
    <cellStyle name="Normal 8 2 4 2 4 2 2 3" xfId="26867" xr:uid="{78799BF2-0B8F-48C0-B268-3EB850F2CECC}"/>
    <cellStyle name="Normal 8 2 4 2 4 2 3" xfId="13351" xr:uid="{40E1D706-2AB6-480E-9FF7-581AF3F456A4}"/>
    <cellStyle name="Normal 8 2 4 2 4 2 4" xfId="22650" xr:uid="{FA7E970F-3992-4B6E-8EAC-3CAE8D4B1F32}"/>
    <cellStyle name="Normal 8 2 4 2 4 3" xfId="6097" xr:uid="{00000000-0005-0000-0000-0000F01C0000}"/>
    <cellStyle name="Normal 8 2 4 2 4 3 2" xfId="15423" xr:uid="{0CBF0260-F5B9-4718-B138-A076534EE7CA}"/>
    <cellStyle name="Normal 8 2 4 2 4 3 3" xfId="24722" xr:uid="{87935A94-C59A-4123-B6CA-FC11E798454C}"/>
    <cellStyle name="Normal 8 2 4 2 4 4" xfId="11206" xr:uid="{ABD60971-8EE5-41C8-8501-D82E8427AD4E}"/>
    <cellStyle name="Normal 8 2 4 2 4 5" xfId="20505" xr:uid="{76C71350-C5F8-4C25-9858-82A7106FE8E1}"/>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92935372-F9AE-4727-A0A3-687E6C43BF06}"/>
    <cellStyle name="Normal 8 2 4 2 5 2 2 3" xfId="27280" xr:uid="{74B47B06-6952-4591-990E-6B8DDD21CF09}"/>
    <cellStyle name="Normal 8 2 4 2 5 2 3" xfId="13764" xr:uid="{D0B3A697-283A-43A3-BF1B-F68893B34E36}"/>
    <cellStyle name="Normal 8 2 4 2 5 2 4" xfId="23063" xr:uid="{8B457965-F24A-4749-8FCB-97350E5BD66D}"/>
    <cellStyle name="Normal 8 2 4 2 5 3" xfId="6510" xr:uid="{00000000-0005-0000-0000-0000F41C0000}"/>
    <cellStyle name="Normal 8 2 4 2 5 3 2" xfId="15836" xr:uid="{E574C768-4B08-4DA2-9EEB-469F7E66B355}"/>
    <cellStyle name="Normal 8 2 4 2 5 3 3" xfId="25135" xr:uid="{98A726D7-8702-472F-BF81-26E1D1ABCFD2}"/>
    <cellStyle name="Normal 8 2 4 2 5 4" xfId="11619" xr:uid="{DC8F4E4E-036C-46BC-B9BF-A83C7C127F2C}"/>
    <cellStyle name="Normal 8 2 4 2 5 5" xfId="20918" xr:uid="{00948294-1AE3-4906-859A-C98713D9D702}"/>
    <cellStyle name="Normal 8 2 4 2 6" xfId="2640" xr:uid="{00000000-0005-0000-0000-0000F51C0000}"/>
    <cellStyle name="Normal 8 2 4 2 6 2" xfId="6923" xr:uid="{00000000-0005-0000-0000-0000F61C0000}"/>
    <cellStyle name="Normal 8 2 4 2 6 2 2" xfId="16249" xr:uid="{B3820783-BEB1-41A4-A300-8C0502F5F125}"/>
    <cellStyle name="Normal 8 2 4 2 6 2 3" xfId="25548" xr:uid="{67C081EA-BDF5-4657-A684-254351842157}"/>
    <cellStyle name="Normal 8 2 4 2 6 3" xfId="12032" xr:uid="{F9E9FA85-A190-4AFB-945D-7FEDD4B4CA89}"/>
    <cellStyle name="Normal 8 2 4 2 6 4" xfId="21331" xr:uid="{ACA05327-DD58-43A6-8999-5A1F202934A2}"/>
    <cellStyle name="Normal 8 2 4 2 7" xfId="4858" xr:uid="{00000000-0005-0000-0000-0000F71C0000}"/>
    <cellStyle name="Normal 8 2 4 2 7 2" xfId="14184" xr:uid="{DFB62630-9F97-48C5-959A-1264138A4DBB}"/>
    <cellStyle name="Normal 8 2 4 2 7 3" xfId="23483" xr:uid="{7831D372-7739-432A-B3B7-E43F966D55BA}"/>
    <cellStyle name="Normal 8 2 4 2 8" xfId="9061" xr:uid="{7295DB82-9441-436C-AA3E-91B68F6E59B3}"/>
    <cellStyle name="Normal 8 2 4 2 8 2" xfId="18385" xr:uid="{B83C706A-DBB0-4DDF-8FEE-366CF17BCB84}"/>
    <cellStyle name="Normal 8 2 4 2 8 3" xfId="27683" xr:uid="{74082E14-094E-4BD6-AF93-822A6B654AF0}"/>
    <cellStyle name="Normal 8 2 4 2 9" xfId="9967" xr:uid="{9274A64A-8473-4F6E-8575-407C829E1B73}"/>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5566A922-8000-47C8-80D6-25D1C15EA36A}"/>
    <cellStyle name="Normal 8 2 4 3 2 2 3" xfId="26040" xr:uid="{5D2E5250-A96B-450C-AC89-CB2FB1D80428}"/>
    <cellStyle name="Normal 8 2 4 3 2 3" xfId="12524" xr:uid="{73C74003-1A64-47F1-9049-8225EF0698A9}"/>
    <cellStyle name="Normal 8 2 4 3 2 4" xfId="21823" xr:uid="{CE95A3C8-64B3-4215-879E-57BE3BFA9EE4}"/>
    <cellStyle name="Normal 8 2 4 3 3" xfId="5270" xr:uid="{00000000-0005-0000-0000-0000FB1C0000}"/>
    <cellStyle name="Normal 8 2 4 3 3 2" xfId="14596" xr:uid="{6DE71A16-E4F0-40D9-AC36-4DEA7B027186}"/>
    <cellStyle name="Normal 8 2 4 3 3 3" xfId="23895" xr:uid="{4BF4701B-A92A-4543-8D0D-F051DE1DD58A}"/>
    <cellStyle name="Normal 8 2 4 3 4" xfId="9279" xr:uid="{BA09D30D-BEBA-4223-83E6-57FB46A1EFA8}"/>
    <cellStyle name="Normal 8 2 4 3 4 2" xfId="18594" xr:uid="{69BB71CF-4F34-4E1B-B7FE-8CA904834611}"/>
    <cellStyle name="Normal 8 2 4 3 4 3" xfId="27891" xr:uid="{E9653952-CCC2-4BEC-BEAB-874FB90D0C13}"/>
    <cellStyle name="Normal 8 2 4 3 5" xfId="10379" xr:uid="{27A10AF7-7DAB-4296-917F-9E45F0B08235}"/>
    <cellStyle name="Normal 8 2 4 3 6" xfId="19678" xr:uid="{C5109394-101C-4342-A6BC-E59D8FEF5EFA}"/>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B2591527-7017-4411-A7B3-B1ED72D4D016}"/>
    <cellStyle name="Normal 8 2 4 4 2 2 3" xfId="26453" xr:uid="{0243DAFA-D45C-4BB5-AC5F-3B88191867C4}"/>
    <cellStyle name="Normal 8 2 4 4 2 3" xfId="12937" xr:uid="{21B19048-254B-4192-B277-46CD6BC7F2D5}"/>
    <cellStyle name="Normal 8 2 4 4 2 4" xfId="22236" xr:uid="{D4434C4D-28E1-47DF-A6DE-62ADEA69BA79}"/>
    <cellStyle name="Normal 8 2 4 4 3" xfId="5683" xr:uid="{00000000-0005-0000-0000-0000FF1C0000}"/>
    <cellStyle name="Normal 8 2 4 4 3 2" xfId="15009" xr:uid="{5BAA6923-29F5-431A-877D-68EB201626C8}"/>
    <cellStyle name="Normal 8 2 4 4 3 3" xfId="24308" xr:uid="{1EE0D700-5CD2-4FA7-97B0-018780D5CB85}"/>
    <cellStyle name="Normal 8 2 4 4 4" xfId="10792" xr:uid="{D3150FE6-8E48-4B6C-9D6C-A1054D70B397}"/>
    <cellStyle name="Normal 8 2 4 4 5" xfId="20091" xr:uid="{0123C31D-DBF0-4E00-93BA-6C14BA939C99}"/>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AB0C4AF3-C3B8-40A9-AA44-7CE47D72AAC2}"/>
    <cellStyle name="Normal 8 2 4 5 2 2 3" xfId="26866" xr:uid="{D64047E6-0FFC-4F84-AC57-4C2FE20E75DB}"/>
    <cellStyle name="Normal 8 2 4 5 2 3" xfId="13350" xr:uid="{2AF130DF-9009-4A9C-ACE6-887612225D75}"/>
    <cellStyle name="Normal 8 2 4 5 2 4" xfId="22649" xr:uid="{A1BB659E-4ECC-427C-9380-BA8972F05366}"/>
    <cellStyle name="Normal 8 2 4 5 3" xfId="6096" xr:uid="{00000000-0005-0000-0000-0000031D0000}"/>
    <cellStyle name="Normal 8 2 4 5 3 2" xfId="15422" xr:uid="{FE214A29-9330-4AC0-9837-34D84CBA3796}"/>
    <cellStyle name="Normal 8 2 4 5 3 3" xfId="24721" xr:uid="{F3A28CDC-BBD9-4C4E-B2DD-3F6ED980D3BF}"/>
    <cellStyle name="Normal 8 2 4 5 4" xfId="11205" xr:uid="{7D966715-F897-4613-9055-7CF397A5F2E0}"/>
    <cellStyle name="Normal 8 2 4 5 5" xfId="20504" xr:uid="{041D25D4-4965-4015-BB6A-CEC99EE529FE}"/>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E3E97C61-FBA9-47AA-8E83-DE3E130D8B42}"/>
    <cellStyle name="Normal 8 2 4 6 2 2 3" xfId="27279" xr:uid="{98A78DF9-F77C-4106-A773-37FE4DBBE67C}"/>
    <cellStyle name="Normal 8 2 4 6 2 3" xfId="13763" xr:uid="{D6157DC4-8964-4D06-A3C0-039E8C2E52C3}"/>
    <cellStyle name="Normal 8 2 4 6 2 4" xfId="23062" xr:uid="{B0357C86-9A22-4670-A180-CC255ABBEF44}"/>
    <cellStyle name="Normal 8 2 4 6 3" xfId="6509" xr:uid="{00000000-0005-0000-0000-0000071D0000}"/>
    <cellStyle name="Normal 8 2 4 6 3 2" xfId="15835" xr:uid="{B070F787-2092-4AB2-8653-E7E648353CF4}"/>
    <cellStyle name="Normal 8 2 4 6 3 3" xfId="25134" xr:uid="{C67D8665-F2D4-4C53-915E-7FF40D6D6FEE}"/>
    <cellStyle name="Normal 8 2 4 6 4" xfId="11618" xr:uid="{FE610C6A-F5C1-402C-8DF7-ABB8B186C68C}"/>
    <cellStyle name="Normal 8 2 4 6 5" xfId="20917" xr:uid="{6BD3C575-E87C-4CD1-BCBD-AE46E5961B6F}"/>
    <cellStyle name="Normal 8 2 4 7" xfId="2639" xr:uid="{00000000-0005-0000-0000-0000081D0000}"/>
    <cellStyle name="Normal 8 2 4 7 2" xfId="6922" xr:uid="{00000000-0005-0000-0000-0000091D0000}"/>
    <cellStyle name="Normal 8 2 4 7 2 2" xfId="16248" xr:uid="{B7B8043C-73C3-4E04-8A71-60AF1A135250}"/>
    <cellStyle name="Normal 8 2 4 7 2 3" xfId="25547" xr:uid="{41A6B18B-23CE-4DBE-BD51-7A54CAAEE6B3}"/>
    <cellStyle name="Normal 8 2 4 7 3" xfId="12031" xr:uid="{5A3C217B-1BB7-4FDE-BF3E-B72B1232A729}"/>
    <cellStyle name="Normal 8 2 4 7 4" xfId="21330" xr:uid="{02E0FC19-1766-4FBD-941D-16CE778FBEA4}"/>
    <cellStyle name="Normal 8 2 4 8" xfId="4857" xr:uid="{00000000-0005-0000-0000-00000A1D0000}"/>
    <cellStyle name="Normal 8 2 4 8 2" xfId="14183" xr:uid="{69C7A213-F3D2-47C6-BB8B-10A54B79B874}"/>
    <cellStyle name="Normal 8 2 4 8 3" xfId="23482" xr:uid="{32A3E62F-33C1-46C9-B375-CF8E6BD3BD3F}"/>
    <cellStyle name="Normal 8 2 4 9" xfId="8854" xr:uid="{F1F9C500-F3E2-475A-983E-BD697F4BACD1}"/>
    <cellStyle name="Normal 8 2 4 9 2" xfId="18178" xr:uid="{9A8CF5BC-6916-4AB7-B072-AB1C18F20C71}"/>
    <cellStyle name="Normal 8 2 4 9 3" xfId="27476" xr:uid="{F9931B05-2B45-4584-BACB-B916D6BC51F3}"/>
    <cellStyle name="Normal 8 2 5" xfId="494" xr:uid="{00000000-0005-0000-0000-00000B1D0000}"/>
    <cellStyle name="Normal 8 2 5 10" xfId="19267" xr:uid="{21A9A1D9-096E-4BA7-B89C-7CB7A95A3FDF}"/>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5C1AE0CD-9913-4E88-901F-E20052BC2C5B}"/>
    <cellStyle name="Normal 8 2 5 2 2 2 3" xfId="26042" xr:uid="{55C8A979-72A3-4314-BC3D-28CA58FC8382}"/>
    <cellStyle name="Normal 8 2 5 2 2 3" xfId="12526" xr:uid="{3BA7EA7A-E1A9-47E4-92AB-674762E9AA61}"/>
    <cellStyle name="Normal 8 2 5 2 2 4" xfId="21825" xr:uid="{D39DA7C6-1393-438A-B333-E7F8EBA4633B}"/>
    <cellStyle name="Normal 8 2 5 2 3" xfId="5272" xr:uid="{00000000-0005-0000-0000-00000F1D0000}"/>
    <cellStyle name="Normal 8 2 5 2 3 2" xfId="14598" xr:uid="{E9FAEEB5-3BD6-428E-8D51-9A75290146F3}"/>
    <cellStyle name="Normal 8 2 5 2 3 3" xfId="23897" xr:uid="{D81BFA7B-722A-467B-A77F-8AD83CD7F849}"/>
    <cellStyle name="Normal 8 2 5 2 4" xfId="9395" xr:uid="{D5766EF3-6042-484F-B510-7448518CF571}"/>
    <cellStyle name="Normal 8 2 5 2 4 2" xfId="18710" xr:uid="{356DF969-CF9F-46E1-B46E-04BF27FBF60D}"/>
    <cellStyle name="Normal 8 2 5 2 4 3" xfId="28007" xr:uid="{7C096781-EDFC-468A-9BAC-CFC571EA0AFE}"/>
    <cellStyle name="Normal 8 2 5 2 5" xfId="10381" xr:uid="{030691D6-B10B-40C4-8036-E44DCEA502B1}"/>
    <cellStyle name="Normal 8 2 5 2 6" xfId="19680" xr:uid="{5D56A4D9-DFC7-4305-BC04-ABDF4A48E488}"/>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28CBC0B1-253D-4CC7-ADBB-4D11B92A11EB}"/>
    <cellStyle name="Normal 8 2 5 3 2 2 3" xfId="26455" xr:uid="{E2E6CF75-10F4-4FC5-AABD-5262CFFDA7F3}"/>
    <cellStyle name="Normal 8 2 5 3 2 3" xfId="12939" xr:uid="{2BFE20A9-9228-4408-99EC-188C23173D78}"/>
    <cellStyle name="Normal 8 2 5 3 2 4" xfId="22238" xr:uid="{E4B2CFC7-03C7-4FB4-92CD-D8AFDCA45E1E}"/>
    <cellStyle name="Normal 8 2 5 3 3" xfId="5685" xr:uid="{00000000-0005-0000-0000-0000131D0000}"/>
    <cellStyle name="Normal 8 2 5 3 3 2" xfId="15011" xr:uid="{3A4C4FD7-3488-476F-B9D4-DCFF7107D989}"/>
    <cellStyle name="Normal 8 2 5 3 3 3" xfId="24310" xr:uid="{AD0B7E94-32D5-4CD1-B2EF-248BC606765B}"/>
    <cellStyle name="Normal 8 2 5 3 4" xfId="10794" xr:uid="{059B899B-007E-4DF4-AF8F-2823712ADEAE}"/>
    <cellStyle name="Normal 8 2 5 3 5" xfId="20093" xr:uid="{7B3EBFF9-5A75-4F4C-98AC-D1D793C721AB}"/>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CE6B2B57-95F0-4753-AA24-AA073088782C}"/>
    <cellStyle name="Normal 8 2 5 4 2 2 3" xfId="26868" xr:uid="{476086A1-A003-4EAD-AB52-4D6223EB9CAD}"/>
    <cellStyle name="Normal 8 2 5 4 2 3" xfId="13352" xr:uid="{FCD673B7-58D4-421E-AE0B-F307F91364F4}"/>
    <cellStyle name="Normal 8 2 5 4 2 4" xfId="22651" xr:uid="{B06F078E-56C3-44F3-8EEE-F3573E8457D0}"/>
    <cellStyle name="Normal 8 2 5 4 3" xfId="6098" xr:uid="{00000000-0005-0000-0000-0000171D0000}"/>
    <cellStyle name="Normal 8 2 5 4 3 2" xfId="15424" xr:uid="{3AAB4C85-92E0-4157-B617-F064622188D3}"/>
    <cellStyle name="Normal 8 2 5 4 3 3" xfId="24723" xr:uid="{55C4A73C-5773-419C-890D-25F85D762B3E}"/>
    <cellStyle name="Normal 8 2 5 4 4" xfId="11207" xr:uid="{2ECDF1FB-DAEB-4B6A-8D7A-FA74EE2B3A05}"/>
    <cellStyle name="Normal 8 2 5 4 5" xfId="20506" xr:uid="{FBFE94F9-CEEE-4AC2-BA2C-760C1FA594EE}"/>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18BDC131-B3F7-4AC5-8BF7-FAF472D3960F}"/>
    <cellStyle name="Normal 8 2 5 5 2 2 3" xfId="27281" xr:uid="{7AF0FDA0-132F-48FE-8DF9-2E8501B0C773}"/>
    <cellStyle name="Normal 8 2 5 5 2 3" xfId="13765" xr:uid="{BE5D49A3-4784-4963-80C7-69738CC9B289}"/>
    <cellStyle name="Normal 8 2 5 5 2 4" xfId="23064" xr:uid="{27F97AA7-421D-4C13-90D5-8C68DE3F7B24}"/>
    <cellStyle name="Normal 8 2 5 5 3" xfId="6511" xr:uid="{00000000-0005-0000-0000-00001B1D0000}"/>
    <cellStyle name="Normal 8 2 5 5 3 2" xfId="15837" xr:uid="{00531D00-4BA4-4C88-BF2E-57B2DAF8A0FD}"/>
    <cellStyle name="Normal 8 2 5 5 3 3" xfId="25136" xr:uid="{92C1B566-9F73-4BC4-B1EB-35166F9ACA56}"/>
    <cellStyle name="Normal 8 2 5 5 4" xfId="11620" xr:uid="{3D6AB74E-2BCF-46ED-A62A-5CBFBBCF04B3}"/>
    <cellStyle name="Normal 8 2 5 5 5" xfId="20919" xr:uid="{30394D79-16A7-431E-A308-22801DD5D9C1}"/>
    <cellStyle name="Normal 8 2 5 6" xfId="2641" xr:uid="{00000000-0005-0000-0000-00001C1D0000}"/>
    <cellStyle name="Normal 8 2 5 6 2" xfId="6924" xr:uid="{00000000-0005-0000-0000-00001D1D0000}"/>
    <cellStyle name="Normal 8 2 5 6 2 2" xfId="16250" xr:uid="{2D4515BE-83CB-4A42-8810-BD037459B66E}"/>
    <cellStyle name="Normal 8 2 5 6 2 3" xfId="25549" xr:uid="{B4D31CA0-7947-4B6D-BFDB-FE278A8577F2}"/>
    <cellStyle name="Normal 8 2 5 6 3" xfId="12033" xr:uid="{ABAD5FF8-84B4-4F43-8C46-373B67126E04}"/>
    <cellStyle name="Normal 8 2 5 6 4" xfId="21332" xr:uid="{506547EF-4873-492F-A2D6-0702672F86DB}"/>
    <cellStyle name="Normal 8 2 5 7" xfId="4859" xr:uid="{00000000-0005-0000-0000-00001E1D0000}"/>
    <cellStyle name="Normal 8 2 5 7 2" xfId="14185" xr:uid="{460B9C67-B606-4E3D-ABBF-A25410E01D59}"/>
    <cellStyle name="Normal 8 2 5 7 3" xfId="23484" xr:uid="{FFCB007F-4B8E-4353-8FB9-FD09D0FB3DAB}"/>
    <cellStyle name="Normal 8 2 5 8" xfId="8970" xr:uid="{7E9ACEFF-1680-45D8-BC32-8CA9BA1D63D4}"/>
    <cellStyle name="Normal 8 2 5 8 2" xfId="18294" xr:uid="{D8F38FED-5F22-416F-9A47-6DFDCDF293D8}"/>
    <cellStyle name="Normal 8 2 5 8 3" xfId="27592" xr:uid="{FB8D20E0-2B0A-450D-93B5-D4E757AA1AC6}"/>
    <cellStyle name="Normal 8 2 5 9" xfId="9968" xr:uid="{B8CC7344-FE52-4F36-B50D-4CB61578B1CF}"/>
    <cellStyle name="Normal 8 2 6" xfId="946" xr:uid="{00000000-0005-0000-0000-00001F1D0000}"/>
    <cellStyle name="Normal 8 2 6 2" xfId="3180" xr:uid="{00000000-0005-0000-0000-0000201D0000}"/>
    <cellStyle name="Normal 8 2 6 2 2" xfId="7402" xr:uid="{00000000-0005-0000-0000-0000211D0000}"/>
    <cellStyle name="Normal 8 2 6 2 2 2" xfId="16728" xr:uid="{D299A9A0-FF54-4870-89A5-E22D2C6A1E62}"/>
    <cellStyle name="Normal 8 2 6 2 2 3" xfId="26027" xr:uid="{60F37496-9D7A-46F4-BBDA-CACF534B4E12}"/>
    <cellStyle name="Normal 8 2 6 2 3" xfId="12511" xr:uid="{F197B913-DE6F-498A-810B-454949B3EB17}"/>
    <cellStyle name="Normal 8 2 6 2 4" xfId="21810" xr:uid="{6A8114ED-532A-4E69-A5A2-CDC5BACA3899}"/>
    <cellStyle name="Normal 8 2 6 3" xfId="5257" xr:uid="{00000000-0005-0000-0000-0000221D0000}"/>
    <cellStyle name="Normal 8 2 6 3 2" xfId="14583" xr:uid="{0B7E685B-DC16-4F68-BC17-F41E5D2C73EC}"/>
    <cellStyle name="Normal 8 2 6 3 3" xfId="23882" xr:uid="{52E06A15-C0C4-4361-8506-B49BCA02CC5A}"/>
    <cellStyle name="Normal 8 2 6 4" xfId="9173" xr:uid="{C36295B3-E6F0-4A6D-AEE5-72C8177C13EE}"/>
    <cellStyle name="Normal 8 2 6 4 2" xfId="18491" xr:uid="{FF1AFB42-3A6C-4E16-9705-BF7AD0C76797}"/>
    <cellStyle name="Normal 8 2 6 4 3" xfId="27788" xr:uid="{5616CB2B-3922-4121-8CB2-82C7D22C3595}"/>
    <cellStyle name="Normal 8 2 6 5" xfId="10366" xr:uid="{9F4D0946-B0B2-4B2C-8335-BAAB06E695D1}"/>
    <cellStyle name="Normal 8 2 6 6" xfId="19665" xr:uid="{AE017978-142A-46A1-B06F-D36FBEEAF360}"/>
    <cellStyle name="Normal 8 2 7" xfId="1363" xr:uid="{00000000-0005-0000-0000-0000231D0000}"/>
    <cellStyle name="Normal 8 2 7 2" xfId="3593" xr:uid="{00000000-0005-0000-0000-0000241D0000}"/>
    <cellStyle name="Normal 8 2 7 2 2" xfId="7815" xr:uid="{00000000-0005-0000-0000-0000251D0000}"/>
    <cellStyle name="Normal 8 2 7 2 2 2" xfId="17141" xr:uid="{32DA0A1F-38AB-4B30-AB4C-9C768D53C754}"/>
    <cellStyle name="Normal 8 2 7 2 2 3" xfId="26440" xr:uid="{AE5DD064-F8A4-41D1-AD1D-819428397084}"/>
    <cellStyle name="Normal 8 2 7 2 3" xfId="12924" xr:uid="{F4067837-AA0E-41E7-A945-F1DDEF4ABCCC}"/>
    <cellStyle name="Normal 8 2 7 2 4" xfId="22223" xr:uid="{7B92F6FD-0E0A-4929-B66A-F152E3B35E0B}"/>
    <cellStyle name="Normal 8 2 7 3" xfId="5670" xr:uid="{00000000-0005-0000-0000-0000261D0000}"/>
    <cellStyle name="Normal 8 2 7 3 2" xfId="14996" xr:uid="{311C80EF-A44E-44C5-8CA6-9316CBD3C10E}"/>
    <cellStyle name="Normal 8 2 7 3 3" xfId="24295" xr:uid="{121352BA-A9A7-48B2-BC03-CFA693AC6725}"/>
    <cellStyle name="Normal 8 2 7 4" xfId="10779" xr:uid="{40954C44-8D0A-4CC5-83F3-EE3C49BBF946}"/>
    <cellStyle name="Normal 8 2 7 5" xfId="20078" xr:uid="{8461CB49-0174-4CCC-A36F-5421FDEC36F8}"/>
    <cellStyle name="Normal 8 2 8" xfId="1776" xr:uid="{00000000-0005-0000-0000-0000271D0000}"/>
    <cellStyle name="Normal 8 2 8 2" xfId="4006" xr:uid="{00000000-0005-0000-0000-0000281D0000}"/>
    <cellStyle name="Normal 8 2 8 2 2" xfId="8228" xr:uid="{00000000-0005-0000-0000-0000291D0000}"/>
    <cellStyle name="Normal 8 2 8 2 2 2" xfId="17554" xr:uid="{BECB8B38-3B0A-4FAB-8523-E548689CD90E}"/>
    <cellStyle name="Normal 8 2 8 2 2 3" xfId="26853" xr:uid="{742780A5-77E7-462B-8FB5-A28A0172006F}"/>
    <cellStyle name="Normal 8 2 8 2 3" xfId="13337" xr:uid="{A3C4310E-FA98-4F11-95A6-DAEC0DA4987C}"/>
    <cellStyle name="Normal 8 2 8 2 4" xfId="22636" xr:uid="{F854F48B-D766-4BF4-9797-AB7F0FEA6D94}"/>
    <cellStyle name="Normal 8 2 8 3" xfId="6083" xr:uid="{00000000-0005-0000-0000-00002A1D0000}"/>
    <cellStyle name="Normal 8 2 8 3 2" xfId="15409" xr:uid="{EB02F799-8E57-4727-9D53-D46D1BA17A11}"/>
    <cellStyle name="Normal 8 2 8 3 3" xfId="24708" xr:uid="{1544B525-059F-4682-A567-2BDFAEC51104}"/>
    <cellStyle name="Normal 8 2 8 4" xfId="11192" xr:uid="{E6837C38-00E2-46A3-9BC0-098B2A9EF0F3}"/>
    <cellStyle name="Normal 8 2 8 5" xfId="20491" xr:uid="{73FBF46B-45F0-45B3-9EF1-8DA67A234EF2}"/>
    <cellStyle name="Normal 8 2 9" xfId="2190" xr:uid="{00000000-0005-0000-0000-00002B1D0000}"/>
    <cellStyle name="Normal 8 2 9 2" xfId="4419" xr:uid="{00000000-0005-0000-0000-00002C1D0000}"/>
    <cellStyle name="Normal 8 2 9 2 2" xfId="8641" xr:uid="{00000000-0005-0000-0000-00002D1D0000}"/>
    <cellStyle name="Normal 8 2 9 2 2 2" xfId="17967" xr:uid="{3CB40E11-533F-49E9-A3BB-ECB763C499C7}"/>
    <cellStyle name="Normal 8 2 9 2 2 3" xfId="27266" xr:uid="{53656835-8C0E-49C8-8FD6-E35F2BB4FE6F}"/>
    <cellStyle name="Normal 8 2 9 2 3" xfId="13750" xr:uid="{C9FC05D7-C6EE-4651-9266-14CAE63BD776}"/>
    <cellStyle name="Normal 8 2 9 2 4" xfId="23049" xr:uid="{35933892-8F4D-4E85-A866-AE0D9EDC32BB}"/>
    <cellStyle name="Normal 8 2 9 3" xfId="6496" xr:uid="{00000000-0005-0000-0000-00002E1D0000}"/>
    <cellStyle name="Normal 8 2 9 3 2" xfId="15822" xr:uid="{A14C5D78-12AA-48A7-BE47-EB467884577C}"/>
    <cellStyle name="Normal 8 2 9 3 3" xfId="25121" xr:uid="{F9967A76-BAE6-4BE2-BCE8-CA87D2F2A6DC}"/>
    <cellStyle name="Normal 8 2 9 4" xfId="11605" xr:uid="{611CC546-0779-416E-8DB6-2EAE954FB66D}"/>
    <cellStyle name="Normal 8 2 9 5" xfId="20904" xr:uid="{F82E5165-FA25-4A93-A5A4-51E509639EC5}"/>
    <cellStyle name="Normal 8 3" xfId="495" xr:uid="{00000000-0005-0000-0000-00002F1D0000}"/>
    <cellStyle name="Normal 8 3 10" xfId="4860" xr:uid="{00000000-0005-0000-0000-0000301D0000}"/>
    <cellStyle name="Normal 8 3 10 2" xfId="14186" xr:uid="{8E67B774-9256-4003-A141-D7993C2C8968}"/>
    <cellStyle name="Normal 8 3 10 3" xfId="23485" xr:uid="{07490CA0-31FF-47EB-BBB3-446F496A8816}"/>
    <cellStyle name="Normal 8 3 11" xfId="8774" xr:uid="{81BDDADD-940D-4F3A-BD6C-7E4719C8A3D2}"/>
    <cellStyle name="Normal 8 3 11 2" xfId="18098" xr:uid="{AACB0A24-C40A-4414-8589-0B268191C268}"/>
    <cellStyle name="Normal 8 3 11 3" xfId="27396" xr:uid="{44E2E874-2EA7-4850-A63A-F7FEB0A20E16}"/>
    <cellStyle name="Normal 8 3 12" xfId="9969" xr:uid="{CA73F8B7-B620-4A87-B9CE-47675A1AA8BE}"/>
    <cellStyle name="Normal 8 3 13" xfId="19268" xr:uid="{E2E6ABAF-A8D2-4FCC-84D1-CD583E9BCA33}"/>
    <cellStyle name="Normal 8 3 2" xfId="496" xr:uid="{00000000-0005-0000-0000-0000311D0000}"/>
    <cellStyle name="Normal 8 3 2 10" xfId="8837" xr:uid="{392842AA-84B1-4A71-AE94-A1B631487B7E}"/>
    <cellStyle name="Normal 8 3 2 10 2" xfId="18161" xr:uid="{BBB490D3-81B1-4F06-B20B-F32257F40AC0}"/>
    <cellStyle name="Normal 8 3 2 10 3" xfId="27459" xr:uid="{8B0F7B5A-2995-496F-82BA-4FA91BABD36E}"/>
    <cellStyle name="Normal 8 3 2 11" xfId="9970" xr:uid="{F52B3365-7C9B-4A9B-B1A3-F74BCF17773B}"/>
    <cellStyle name="Normal 8 3 2 12" xfId="19269" xr:uid="{0976B2C0-A3F9-4646-95EC-914B9159D58C}"/>
    <cellStyle name="Normal 8 3 2 2" xfId="497" xr:uid="{00000000-0005-0000-0000-0000321D0000}"/>
    <cellStyle name="Normal 8 3 2 2 10" xfId="9971" xr:uid="{688C05B5-FB81-4E1C-A628-AA4DA86D3B9D}"/>
    <cellStyle name="Normal 8 3 2 2 11" xfId="19270" xr:uid="{1ACAA487-5A97-4052-9D49-19702C06DF81}"/>
    <cellStyle name="Normal 8 3 2 2 2" xfId="498" xr:uid="{00000000-0005-0000-0000-0000331D0000}"/>
    <cellStyle name="Normal 8 3 2 2 2 10" xfId="19271" xr:uid="{46BAEE52-7ECD-4BCB-9522-13D99DD0261E}"/>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ED133230-B715-4FD7-8303-380077E95931}"/>
    <cellStyle name="Normal 8 3 2 2 2 2 2 2 3" xfId="26046" xr:uid="{D92B2569-6DFB-49A2-A686-C07BDCD1EA35}"/>
    <cellStyle name="Normal 8 3 2 2 2 2 2 3" xfId="12530" xr:uid="{52FBB400-E333-4705-9457-7F603A4295A5}"/>
    <cellStyle name="Normal 8 3 2 2 2 2 2 4" xfId="21829" xr:uid="{C7E988AB-22D4-4F70-BEBB-44FB13CC6062}"/>
    <cellStyle name="Normal 8 3 2 2 2 2 3" xfId="5276" xr:uid="{00000000-0005-0000-0000-0000371D0000}"/>
    <cellStyle name="Normal 8 3 2 2 2 2 3 2" xfId="14602" xr:uid="{97DDE56B-5AD9-4FBC-8874-57C043855A83}"/>
    <cellStyle name="Normal 8 3 2 2 2 2 3 3" xfId="23901" xr:uid="{A13A9885-C424-4073-854B-686A3A836001}"/>
    <cellStyle name="Normal 8 3 2 2 2 2 4" xfId="9572" xr:uid="{83269435-2305-4677-BD8B-8CB801DC108A}"/>
    <cellStyle name="Normal 8 3 2 2 2 2 4 2" xfId="18887" xr:uid="{B4CB098D-E378-4D47-8684-6A0FAB108D9B}"/>
    <cellStyle name="Normal 8 3 2 2 2 2 4 3" xfId="28184" xr:uid="{28B41B7A-2033-42AB-9F47-8CCEB01AD22F}"/>
    <cellStyle name="Normal 8 3 2 2 2 2 5" xfId="10385" xr:uid="{88F02811-3B6F-4B8B-8DBB-F0D9F7E8196F}"/>
    <cellStyle name="Normal 8 3 2 2 2 2 6" xfId="19684" xr:uid="{E404AD96-57FA-4D8C-8A85-12883655AD32}"/>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A4B6332C-5C1A-43A7-BE5F-1A7BF1526801}"/>
    <cellStyle name="Normal 8 3 2 2 2 3 2 2 3" xfId="26459" xr:uid="{F522AA1E-8B10-443A-A8C1-A0AA3DDA11A0}"/>
    <cellStyle name="Normal 8 3 2 2 2 3 2 3" xfId="12943" xr:uid="{B312E37B-2A47-420D-92FE-21F87BAE67B4}"/>
    <cellStyle name="Normal 8 3 2 2 2 3 2 4" xfId="22242" xr:uid="{BB6C2BBC-6A98-4276-A43A-879A0731BA8C}"/>
    <cellStyle name="Normal 8 3 2 2 2 3 3" xfId="5689" xr:uid="{00000000-0005-0000-0000-00003B1D0000}"/>
    <cellStyle name="Normal 8 3 2 2 2 3 3 2" xfId="15015" xr:uid="{3ECD49E5-898D-40C0-A5E4-9F8DCC0D46B5}"/>
    <cellStyle name="Normal 8 3 2 2 2 3 3 3" xfId="24314" xr:uid="{7FA6A232-F9F6-42F8-976D-844ECD118484}"/>
    <cellStyle name="Normal 8 3 2 2 2 3 4" xfId="10798" xr:uid="{54C610F4-7EE0-4432-8F54-A42FEFDF3D6A}"/>
    <cellStyle name="Normal 8 3 2 2 2 3 5" xfId="20097" xr:uid="{D756E9EB-04D1-4C72-9A56-C3F613D23134}"/>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B853452A-CBF8-4C8A-8486-144C536DBF7B}"/>
    <cellStyle name="Normal 8 3 2 2 2 4 2 2 3" xfId="26872" xr:uid="{2F6A09CF-4882-40F5-915D-445316CB5AD4}"/>
    <cellStyle name="Normal 8 3 2 2 2 4 2 3" xfId="13356" xr:uid="{915B7E2B-714D-4725-A06A-21B6A3946447}"/>
    <cellStyle name="Normal 8 3 2 2 2 4 2 4" xfId="22655" xr:uid="{3E64C2AA-2F7C-4471-BDE5-DF3B8BDA8FCC}"/>
    <cellStyle name="Normal 8 3 2 2 2 4 3" xfId="6102" xr:uid="{00000000-0005-0000-0000-00003F1D0000}"/>
    <cellStyle name="Normal 8 3 2 2 2 4 3 2" xfId="15428" xr:uid="{3AC93A8A-F219-4CA3-B969-CD46D3F4C057}"/>
    <cellStyle name="Normal 8 3 2 2 2 4 3 3" xfId="24727" xr:uid="{2209F029-15D3-44F2-8F98-50AB3DC2D0E6}"/>
    <cellStyle name="Normal 8 3 2 2 2 4 4" xfId="11211" xr:uid="{5C65B58F-31EA-4441-8B62-B68A5EC42503}"/>
    <cellStyle name="Normal 8 3 2 2 2 4 5" xfId="20510" xr:uid="{AE0DE3F1-774C-48CA-9784-418AC81FAE93}"/>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7BBEC94F-2D76-4357-BD20-D218B6918C9A}"/>
    <cellStyle name="Normal 8 3 2 2 2 5 2 2 3" xfId="27285" xr:uid="{6DABC020-C61C-4EDC-A5B5-F3644D6B72B7}"/>
    <cellStyle name="Normal 8 3 2 2 2 5 2 3" xfId="13769" xr:uid="{2EB96315-5C8C-481B-AB54-B84B312B02C3}"/>
    <cellStyle name="Normal 8 3 2 2 2 5 2 4" xfId="23068" xr:uid="{27F9FF59-E023-40E9-839F-D483AA6E08C4}"/>
    <cellStyle name="Normal 8 3 2 2 2 5 3" xfId="6515" xr:uid="{00000000-0005-0000-0000-0000431D0000}"/>
    <cellStyle name="Normal 8 3 2 2 2 5 3 2" xfId="15841" xr:uid="{06975122-5F22-4AA8-8D61-826F6567C096}"/>
    <cellStyle name="Normal 8 3 2 2 2 5 3 3" xfId="25140" xr:uid="{F427A01F-0839-4463-88A5-E60F83B8D85F}"/>
    <cellStyle name="Normal 8 3 2 2 2 5 4" xfId="11624" xr:uid="{22039B9D-F58A-4362-ABD4-5B13670BC9D2}"/>
    <cellStyle name="Normal 8 3 2 2 2 5 5" xfId="20923" xr:uid="{9859D9B7-1074-4BAA-92D8-534B6B1EE6FF}"/>
    <cellStyle name="Normal 8 3 2 2 2 6" xfId="2645" xr:uid="{00000000-0005-0000-0000-0000441D0000}"/>
    <cellStyle name="Normal 8 3 2 2 2 6 2" xfId="6928" xr:uid="{00000000-0005-0000-0000-0000451D0000}"/>
    <cellStyle name="Normal 8 3 2 2 2 6 2 2" xfId="16254" xr:uid="{C10576C1-1893-4750-BAF4-78E7BFC9EE09}"/>
    <cellStyle name="Normal 8 3 2 2 2 6 2 3" xfId="25553" xr:uid="{BDD001A5-07E2-431A-87AD-5285DC68BC7A}"/>
    <cellStyle name="Normal 8 3 2 2 2 6 3" xfId="12037" xr:uid="{999650D9-9AD0-4598-892D-4359F0C6CA3E}"/>
    <cellStyle name="Normal 8 3 2 2 2 6 4" xfId="21336" xr:uid="{88656EFE-7EE6-468A-A6AD-9EC4105E98F0}"/>
    <cellStyle name="Normal 8 3 2 2 2 7" xfId="4863" xr:uid="{00000000-0005-0000-0000-0000461D0000}"/>
    <cellStyle name="Normal 8 3 2 2 2 7 2" xfId="14189" xr:uid="{67678FA5-2EB0-4696-952B-5300FB869A8D}"/>
    <cellStyle name="Normal 8 3 2 2 2 7 3" xfId="23488" xr:uid="{EB762818-DA51-43B9-91D9-62F3D06A6433}"/>
    <cellStyle name="Normal 8 3 2 2 2 8" xfId="9147" xr:uid="{16780743-13F5-44BF-919B-157B86988913}"/>
    <cellStyle name="Normal 8 3 2 2 2 8 2" xfId="18471" xr:uid="{A08D8709-B8FE-4CAB-8593-56E51E1BD48C}"/>
    <cellStyle name="Normal 8 3 2 2 2 8 3" xfId="27769" xr:uid="{670A03CD-C83F-4419-9D7B-5B36EEE02090}"/>
    <cellStyle name="Normal 8 3 2 2 2 9" xfId="9972" xr:uid="{DD89B99C-3AB0-4EE2-AB13-0879E45873F7}"/>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5ACC6EF7-B986-4FC1-B9DC-69D9C9C0ADE6}"/>
    <cellStyle name="Normal 8 3 2 2 3 2 2 3" xfId="26045" xr:uid="{63E580FA-2F08-4FC0-8329-29DE845FACE9}"/>
    <cellStyle name="Normal 8 3 2 2 3 2 3" xfId="12529" xr:uid="{5E1F1D6D-432D-49F9-8EF5-D705C63DC6B6}"/>
    <cellStyle name="Normal 8 3 2 2 3 2 4" xfId="21828" xr:uid="{790A452E-68FA-4AD0-8B2E-2573BD903B06}"/>
    <cellStyle name="Normal 8 3 2 2 3 3" xfId="5275" xr:uid="{00000000-0005-0000-0000-00004A1D0000}"/>
    <cellStyle name="Normal 8 3 2 2 3 3 2" xfId="14601" xr:uid="{41DE36ED-FC8C-40E2-9F14-A6FAEB8F7D80}"/>
    <cellStyle name="Normal 8 3 2 2 3 3 3" xfId="23900" xr:uid="{FE97F6E9-A721-4F87-A092-31221B5F168E}"/>
    <cellStyle name="Normal 8 3 2 2 3 4" xfId="9365" xr:uid="{47FF7C14-7484-41B9-856F-11398F7B2C7C}"/>
    <cellStyle name="Normal 8 3 2 2 3 4 2" xfId="18680" xr:uid="{B1469028-156F-4805-B2DC-E0C5B265054B}"/>
    <cellStyle name="Normal 8 3 2 2 3 4 3" xfId="27977" xr:uid="{909E52DE-B884-4752-99F0-B5AEBE1EBB64}"/>
    <cellStyle name="Normal 8 3 2 2 3 5" xfId="10384" xr:uid="{DED52515-FC2A-43A7-A521-61F0AF4928C4}"/>
    <cellStyle name="Normal 8 3 2 2 3 6" xfId="19683" xr:uid="{96ADD1DF-FEB3-4D9F-BA9E-784748FFB8DE}"/>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8D40BF81-987D-4923-A893-4E727D1F1B97}"/>
    <cellStyle name="Normal 8 3 2 2 4 2 2 3" xfId="26458" xr:uid="{4A742F60-5224-4893-A6C1-2A4C6B3C0572}"/>
    <cellStyle name="Normal 8 3 2 2 4 2 3" xfId="12942" xr:uid="{D5292C10-7CC2-4511-AE0B-4819B4D05B8F}"/>
    <cellStyle name="Normal 8 3 2 2 4 2 4" xfId="22241" xr:uid="{1D2A3799-79AB-4956-AD06-8D4ED9E4A40D}"/>
    <cellStyle name="Normal 8 3 2 2 4 3" xfId="5688" xr:uid="{00000000-0005-0000-0000-00004E1D0000}"/>
    <cellStyle name="Normal 8 3 2 2 4 3 2" xfId="15014" xr:uid="{E154559B-1651-4F31-9B97-6156119F582E}"/>
    <cellStyle name="Normal 8 3 2 2 4 3 3" xfId="24313" xr:uid="{EF458296-8FDF-4520-BAD1-D437A32C193E}"/>
    <cellStyle name="Normal 8 3 2 2 4 4" xfId="10797" xr:uid="{CB7D9A56-EFE6-4EEB-B174-AD70583E90DE}"/>
    <cellStyle name="Normal 8 3 2 2 4 5" xfId="20096" xr:uid="{29935A45-5DCF-46FE-9189-8284D160F874}"/>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D0DEE38B-5DFB-49F6-BF41-381F05B46CCD}"/>
    <cellStyle name="Normal 8 3 2 2 5 2 2 3" xfId="26871" xr:uid="{CAE7E492-1635-4F4C-9107-D29C53FB1C71}"/>
    <cellStyle name="Normal 8 3 2 2 5 2 3" xfId="13355" xr:uid="{08BBAE55-9B75-4A7A-9A57-31707FB2C474}"/>
    <cellStyle name="Normal 8 3 2 2 5 2 4" xfId="22654" xr:uid="{748E7684-91A1-4D4A-9304-A92B30BA19DD}"/>
    <cellStyle name="Normal 8 3 2 2 5 3" xfId="6101" xr:uid="{00000000-0005-0000-0000-0000521D0000}"/>
    <cellStyle name="Normal 8 3 2 2 5 3 2" xfId="15427" xr:uid="{185E284A-F3F7-45E7-AAF3-BE93A18BF18E}"/>
    <cellStyle name="Normal 8 3 2 2 5 3 3" xfId="24726" xr:uid="{D10898ED-D49A-4958-8F7E-D61A76100EED}"/>
    <cellStyle name="Normal 8 3 2 2 5 4" xfId="11210" xr:uid="{A3FAD42D-9439-4785-B929-634FB0046C05}"/>
    <cellStyle name="Normal 8 3 2 2 5 5" xfId="20509" xr:uid="{F69F1A0E-9101-446D-9929-930B1CDA895D}"/>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77CB6800-0C5E-4BF9-8B56-8B719B12BB48}"/>
    <cellStyle name="Normal 8 3 2 2 6 2 2 3" xfId="27284" xr:uid="{D9AAC08A-E083-4167-8A22-942BFD8AF146}"/>
    <cellStyle name="Normal 8 3 2 2 6 2 3" xfId="13768" xr:uid="{9413B3D1-43F7-4DDD-8D04-99E1BDA8D4A7}"/>
    <cellStyle name="Normal 8 3 2 2 6 2 4" xfId="23067" xr:uid="{96A79685-AA4B-4889-B787-0D1A253EE1D6}"/>
    <cellStyle name="Normal 8 3 2 2 6 3" xfId="6514" xr:uid="{00000000-0005-0000-0000-0000561D0000}"/>
    <cellStyle name="Normal 8 3 2 2 6 3 2" xfId="15840" xr:uid="{065E2635-C371-4E16-B448-6FC2CBE0AE34}"/>
    <cellStyle name="Normal 8 3 2 2 6 3 3" xfId="25139" xr:uid="{2E557E2F-19AC-4507-A35F-2900527FD33D}"/>
    <cellStyle name="Normal 8 3 2 2 6 4" xfId="11623" xr:uid="{DA076BF6-1202-49A3-9EBA-3D3441A2977F}"/>
    <cellStyle name="Normal 8 3 2 2 6 5" xfId="20922" xr:uid="{4DB8B6DD-26E5-47E2-A681-AF12BB77011B}"/>
    <cellStyle name="Normal 8 3 2 2 7" xfId="2644" xr:uid="{00000000-0005-0000-0000-0000571D0000}"/>
    <cellStyle name="Normal 8 3 2 2 7 2" xfId="6927" xr:uid="{00000000-0005-0000-0000-0000581D0000}"/>
    <cellStyle name="Normal 8 3 2 2 7 2 2" xfId="16253" xr:uid="{3BC912DB-184F-4965-AF2F-C9DA07FF4659}"/>
    <cellStyle name="Normal 8 3 2 2 7 2 3" xfId="25552" xr:uid="{BE651553-7A5B-494B-A11D-EEAAA95AF003}"/>
    <cellStyle name="Normal 8 3 2 2 7 3" xfId="12036" xr:uid="{C8E504EC-C2C3-478C-AD13-402939944221}"/>
    <cellStyle name="Normal 8 3 2 2 7 4" xfId="21335" xr:uid="{329AC324-36B6-4F8B-9E21-754F6D228D82}"/>
    <cellStyle name="Normal 8 3 2 2 8" xfId="4862" xr:uid="{00000000-0005-0000-0000-0000591D0000}"/>
    <cellStyle name="Normal 8 3 2 2 8 2" xfId="14188" xr:uid="{6E0FB8BD-F279-4897-8A6B-0CE6F61AD298}"/>
    <cellStyle name="Normal 8 3 2 2 8 3" xfId="23487" xr:uid="{CF565F90-F8B7-42DD-BACA-3D6B9FBAFC66}"/>
    <cellStyle name="Normal 8 3 2 2 9" xfId="8940" xr:uid="{63944EF0-E10A-4406-A758-3BD135650136}"/>
    <cellStyle name="Normal 8 3 2 2 9 2" xfId="18264" xr:uid="{EBF34D90-A473-4ECF-9877-8C05B8933BA7}"/>
    <cellStyle name="Normal 8 3 2 2 9 3" xfId="27562" xr:uid="{1B221FE3-96A5-4A6F-BD9C-C6E4E6424D8A}"/>
    <cellStyle name="Normal 8 3 2 3" xfId="499" xr:uid="{00000000-0005-0000-0000-00005A1D0000}"/>
    <cellStyle name="Normal 8 3 2 3 10" xfId="19272" xr:uid="{DAEB428A-F14E-4CB9-ADD7-DB8729A397CC}"/>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93486615-9977-4A08-A8B2-61F29D495C42}"/>
    <cellStyle name="Normal 8 3 2 3 2 2 2 3" xfId="26047" xr:uid="{C15F62CC-0458-44F1-916F-90EF4B530081}"/>
    <cellStyle name="Normal 8 3 2 3 2 2 3" xfId="12531" xr:uid="{E62E14D5-7FC9-4D21-A393-B29CD098B1E1}"/>
    <cellStyle name="Normal 8 3 2 3 2 2 4" xfId="21830" xr:uid="{4075A0FD-61E9-465A-B004-8950D7CA4556}"/>
    <cellStyle name="Normal 8 3 2 3 2 3" xfId="5277" xr:uid="{00000000-0005-0000-0000-00005E1D0000}"/>
    <cellStyle name="Normal 8 3 2 3 2 3 2" xfId="14603" xr:uid="{0C524260-BDBF-4B35-B922-72BCDF51C096}"/>
    <cellStyle name="Normal 8 3 2 3 2 3 3" xfId="23902" xr:uid="{0885017E-F3D9-479F-9649-945DDF5737CD}"/>
    <cellStyle name="Normal 8 3 2 3 2 4" xfId="9469" xr:uid="{7CA6C380-A6E9-4AF4-A29A-E40C8E9B5B5F}"/>
    <cellStyle name="Normal 8 3 2 3 2 4 2" xfId="18784" xr:uid="{4A96F5D5-39EE-4246-97AF-23E4EFD646CC}"/>
    <cellStyle name="Normal 8 3 2 3 2 4 3" xfId="28081" xr:uid="{B8F39CCE-0398-49EB-8EB8-543AE655A379}"/>
    <cellStyle name="Normal 8 3 2 3 2 5" xfId="10386" xr:uid="{886A662E-CF9F-43C4-BA22-C937DACCDC2A}"/>
    <cellStyle name="Normal 8 3 2 3 2 6" xfId="19685" xr:uid="{BF7C5A80-D8E0-45CE-8091-7442DD4A84FC}"/>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20188CB4-3C2F-4A29-B5E9-1FDDEC57CF0B}"/>
    <cellStyle name="Normal 8 3 2 3 3 2 2 3" xfId="26460" xr:uid="{882B80EE-FB73-4C3B-95E8-A69F68336EB5}"/>
    <cellStyle name="Normal 8 3 2 3 3 2 3" xfId="12944" xr:uid="{CCA72743-4262-4724-8EB2-2B4EB29CD161}"/>
    <cellStyle name="Normal 8 3 2 3 3 2 4" xfId="22243" xr:uid="{AACE2B30-E472-4AAB-B829-20880E9745DD}"/>
    <cellStyle name="Normal 8 3 2 3 3 3" xfId="5690" xr:uid="{00000000-0005-0000-0000-0000621D0000}"/>
    <cellStyle name="Normal 8 3 2 3 3 3 2" xfId="15016" xr:uid="{F5E09F99-D481-4BC5-A5C6-2E1E396D1AB6}"/>
    <cellStyle name="Normal 8 3 2 3 3 3 3" xfId="24315" xr:uid="{9C7FA0FE-4B24-4BDE-85A1-5742CD45D205}"/>
    <cellStyle name="Normal 8 3 2 3 3 4" xfId="10799" xr:uid="{0280B484-864A-4FDC-9B60-95BC40C7A041}"/>
    <cellStyle name="Normal 8 3 2 3 3 5" xfId="20098" xr:uid="{70F2AE47-B798-4543-AB82-FE0129029B1F}"/>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CDB674B7-DD01-467E-9489-4B760C5C171F}"/>
    <cellStyle name="Normal 8 3 2 3 4 2 2 3" xfId="26873" xr:uid="{9518688C-A576-420C-981E-C78EAAE9A9C6}"/>
    <cellStyle name="Normal 8 3 2 3 4 2 3" xfId="13357" xr:uid="{E54CB906-4185-475A-A840-901470EF588F}"/>
    <cellStyle name="Normal 8 3 2 3 4 2 4" xfId="22656" xr:uid="{B2318FF0-EB06-4EBA-AB41-2C757C0F219F}"/>
    <cellStyle name="Normal 8 3 2 3 4 3" xfId="6103" xr:uid="{00000000-0005-0000-0000-0000661D0000}"/>
    <cellStyle name="Normal 8 3 2 3 4 3 2" xfId="15429" xr:uid="{3AA00336-177E-4152-B131-B328788753A8}"/>
    <cellStyle name="Normal 8 3 2 3 4 3 3" xfId="24728" xr:uid="{BC9077E3-29BC-42BA-B70E-13FA04C16862}"/>
    <cellStyle name="Normal 8 3 2 3 4 4" xfId="11212" xr:uid="{4ECC03AD-18DC-4894-8B68-94C4B3AD206D}"/>
    <cellStyle name="Normal 8 3 2 3 4 5" xfId="20511" xr:uid="{D0DC2493-D026-4FA8-ABE4-AC70082FAA5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307B57B6-1B15-4084-A78F-7B806CC9A5C6}"/>
    <cellStyle name="Normal 8 3 2 3 5 2 2 3" xfId="27286" xr:uid="{E9040CD1-0B7C-4304-8B61-8D10F8A235A2}"/>
    <cellStyle name="Normal 8 3 2 3 5 2 3" xfId="13770" xr:uid="{FA5B4417-AFA0-433B-A789-B1F12FBA3B5D}"/>
    <cellStyle name="Normal 8 3 2 3 5 2 4" xfId="23069" xr:uid="{A034C577-F74B-41E0-A437-A0EC69D250AB}"/>
    <cellStyle name="Normal 8 3 2 3 5 3" xfId="6516" xr:uid="{00000000-0005-0000-0000-00006A1D0000}"/>
    <cellStyle name="Normal 8 3 2 3 5 3 2" xfId="15842" xr:uid="{A41BC593-26F1-4B1D-887E-79C349C79392}"/>
    <cellStyle name="Normal 8 3 2 3 5 3 3" xfId="25141" xr:uid="{18A5AB62-67A0-4487-813A-9905FC5E4227}"/>
    <cellStyle name="Normal 8 3 2 3 5 4" xfId="11625" xr:uid="{10C3BE1F-4ABD-401A-843F-363C7E824E24}"/>
    <cellStyle name="Normal 8 3 2 3 5 5" xfId="20924" xr:uid="{B8C2533E-6AC7-4BC2-9701-D66862C931B5}"/>
    <cellStyle name="Normal 8 3 2 3 6" xfId="2646" xr:uid="{00000000-0005-0000-0000-00006B1D0000}"/>
    <cellStyle name="Normal 8 3 2 3 6 2" xfId="6929" xr:uid="{00000000-0005-0000-0000-00006C1D0000}"/>
    <cellStyle name="Normal 8 3 2 3 6 2 2" xfId="16255" xr:uid="{DF2E8BA1-43D4-4953-A959-371362F5C910}"/>
    <cellStyle name="Normal 8 3 2 3 6 2 3" xfId="25554" xr:uid="{17307E3D-0A7B-4858-8D0E-1A59242B98DD}"/>
    <cellStyle name="Normal 8 3 2 3 6 3" xfId="12038" xr:uid="{8B312C46-F0F4-45AA-9E16-01E60B171638}"/>
    <cellStyle name="Normal 8 3 2 3 6 4" xfId="21337" xr:uid="{B2C58690-88F1-4467-B22C-A6CF8BB736AB}"/>
    <cellStyle name="Normal 8 3 2 3 7" xfId="4864" xr:uid="{00000000-0005-0000-0000-00006D1D0000}"/>
    <cellStyle name="Normal 8 3 2 3 7 2" xfId="14190" xr:uid="{B2A9D31C-7DB1-4EE8-BAB2-D613805BEA7D}"/>
    <cellStyle name="Normal 8 3 2 3 7 3" xfId="23489" xr:uid="{2C368567-82CF-445E-9513-6A51D71BA322}"/>
    <cellStyle name="Normal 8 3 2 3 8" xfId="9044" xr:uid="{5ED49706-9CA9-4EE9-B01D-112CD1DB587C}"/>
    <cellStyle name="Normal 8 3 2 3 8 2" xfId="18368" xr:uid="{B34DD34E-67B9-4D67-AE79-76305F9AA42A}"/>
    <cellStyle name="Normal 8 3 2 3 8 3" xfId="27666" xr:uid="{A13DAE51-818E-48F6-A13C-307B0DCBAC0F}"/>
    <cellStyle name="Normal 8 3 2 3 9" xfId="9973" xr:uid="{F9AF231E-44F6-4D26-8976-813CBFB3B782}"/>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E067B8FD-60A1-47B5-BF90-4843021A2F53}"/>
    <cellStyle name="Normal 8 3 2 4 2 2 3" xfId="26044" xr:uid="{A9B077F4-7737-4617-8FE6-439BB5C282E2}"/>
    <cellStyle name="Normal 8 3 2 4 2 3" xfId="12528" xr:uid="{3EA7C545-E9EC-4A85-BA21-A44AFAE7A3AD}"/>
    <cellStyle name="Normal 8 3 2 4 2 4" xfId="21827" xr:uid="{2E04727A-221D-445F-AADD-BBF5DB0469DC}"/>
    <cellStyle name="Normal 8 3 2 4 3" xfId="5274" xr:uid="{00000000-0005-0000-0000-0000711D0000}"/>
    <cellStyle name="Normal 8 3 2 4 3 2" xfId="14600" xr:uid="{DEB0A2CE-AE7D-4A8B-8A6F-899050F0854C}"/>
    <cellStyle name="Normal 8 3 2 4 3 3" xfId="23899" xr:uid="{36FE5FE8-FA46-4D19-8367-02025AA0699F}"/>
    <cellStyle name="Normal 8 3 2 4 4" xfId="9262" xr:uid="{8842595C-CD28-4B10-9BE6-37883B4C2AA9}"/>
    <cellStyle name="Normal 8 3 2 4 4 2" xfId="18577" xr:uid="{B8986598-4483-48F8-8D4C-DE5333B4E1F2}"/>
    <cellStyle name="Normal 8 3 2 4 4 3" xfId="27874" xr:uid="{BE05060B-4CD8-47FF-A3D3-28F9FFB2258E}"/>
    <cellStyle name="Normal 8 3 2 4 5" xfId="10383" xr:uid="{87FDD86C-3C09-458C-BCAC-BAFA5D531F92}"/>
    <cellStyle name="Normal 8 3 2 4 6" xfId="19682" xr:uid="{6E7E851A-F025-489D-B14C-31C8CFED6AA1}"/>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ACE2F3C6-CD23-4E26-8459-32BF0704ACAA}"/>
    <cellStyle name="Normal 8 3 2 5 2 2 3" xfId="26457" xr:uid="{6727B38E-C121-4EA1-A38B-8D5822E622A8}"/>
    <cellStyle name="Normal 8 3 2 5 2 3" xfId="12941" xr:uid="{8D49275F-E988-4171-9899-EE43F7242201}"/>
    <cellStyle name="Normal 8 3 2 5 2 4" xfId="22240" xr:uid="{56596847-201E-4D0F-911D-1E795F6A1A0D}"/>
    <cellStyle name="Normal 8 3 2 5 3" xfId="5687" xr:uid="{00000000-0005-0000-0000-0000751D0000}"/>
    <cellStyle name="Normal 8 3 2 5 3 2" xfId="15013" xr:uid="{2129ED9F-4764-4820-B6BB-C18C2D445238}"/>
    <cellStyle name="Normal 8 3 2 5 3 3" xfId="24312" xr:uid="{4BD420E7-55EF-4E9C-BC18-DABBA80D1EA3}"/>
    <cellStyle name="Normal 8 3 2 5 4" xfId="10796" xr:uid="{D8BB7371-450B-4AB3-94BC-91FC6ED3349F}"/>
    <cellStyle name="Normal 8 3 2 5 5" xfId="20095" xr:uid="{3F894FAF-ECDB-4A4D-B172-194E331F5DC1}"/>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5B9E2EE6-B742-4849-90F0-E072F9C96074}"/>
    <cellStyle name="Normal 8 3 2 6 2 2 3" xfId="26870" xr:uid="{1363F952-C5C9-46D2-8847-B9C000E1743F}"/>
    <cellStyle name="Normal 8 3 2 6 2 3" xfId="13354" xr:uid="{359F3F5E-937C-42C1-AEEC-499AAF59D979}"/>
    <cellStyle name="Normal 8 3 2 6 2 4" xfId="22653" xr:uid="{3CC1DB9D-B147-4E63-BA2F-3F3B4BD3EA5D}"/>
    <cellStyle name="Normal 8 3 2 6 3" xfId="6100" xr:uid="{00000000-0005-0000-0000-0000791D0000}"/>
    <cellStyle name="Normal 8 3 2 6 3 2" xfId="15426" xr:uid="{2E47B434-008D-4ACE-9201-70FBB028F00B}"/>
    <cellStyle name="Normal 8 3 2 6 3 3" xfId="24725" xr:uid="{D0ABAEE2-2B9A-4C45-AB01-BD82C35E810A}"/>
    <cellStyle name="Normal 8 3 2 6 4" xfId="11209" xr:uid="{2234D2A0-F5CD-4A06-988A-34E2170B39EF}"/>
    <cellStyle name="Normal 8 3 2 6 5" xfId="20508" xr:uid="{4E623340-D594-4CD8-9139-ED12F90E330F}"/>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DBD692D2-221D-435F-930F-1C5A6C563F28}"/>
    <cellStyle name="Normal 8 3 2 7 2 2 3" xfId="27283" xr:uid="{979B87D4-4CF9-4160-8423-C7A57C0E3D5C}"/>
    <cellStyle name="Normal 8 3 2 7 2 3" xfId="13767" xr:uid="{1397D522-4DB2-43B5-93C1-BA459BAB969E}"/>
    <cellStyle name="Normal 8 3 2 7 2 4" xfId="23066" xr:uid="{8B0837D8-38BD-479D-BE4F-16EE4103B891}"/>
    <cellStyle name="Normal 8 3 2 7 3" xfId="6513" xr:uid="{00000000-0005-0000-0000-00007D1D0000}"/>
    <cellStyle name="Normal 8 3 2 7 3 2" xfId="15839" xr:uid="{A7E837CE-9DC1-44C8-A8C7-9177C745380D}"/>
    <cellStyle name="Normal 8 3 2 7 3 3" xfId="25138" xr:uid="{DA5BEC7A-8C12-4E15-89AD-309D447C0854}"/>
    <cellStyle name="Normal 8 3 2 7 4" xfId="11622" xr:uid="{E2C9B5C2-E965-49CB-AF17-20013FF7BA94}"/>
    <cellStyle name="Normal 8 3 2 7 5" xfId="20921" xr:uid="{38011A81-3303-457E-84AA-56E2B8874201}"/>
    <cellStyle name="Normal 8 3 2 8" xfId="2643" xr:uid="{00000000-0005-0000-0000-00007E1D0000}"/>
    <cellStyle name="Normal 8 3 2 8 2" xfId="6926" xr:uid="{00000000-0005-0000-0000-00007F1D0000}"/>
    <cellStyle name="Normal 8 3 2 8 2 2" xfId="16252" xr:uid="{228F07D2-BF36-49CB-9395-27DE59218209}"/>
    <cellStyle name="Normal 8 3 2 8 2 3" xfId="25551" xr:uid="{4D69CD28-AD0E-48C5-9B79-F2AC63BB422D}"/>
    <cellStyle name="Normal 8 3 2 8 3" xfId="12035" xr:uid="{BC4D93A4-CB05-42B1-8669-C6815E2CBFB7}"/>
    <cellStyle name="Normal 8 3 2 8 4" xfId="21334" xr:uid="{D35606ED-1901-4E3A-ACAB-910ECDAE5906}"/>
    <cellStyle name="Normal 8 3 2 9" xfId="4861" xr:uid="{00000000-0005-0000-0000-0000801D0000}"/>
    <cellStyle name="Normal 8 3 2 9 2" xfId="14187" xr:uid="{C9B69D9B-AFE9-4BA1-90E6-94A4FC5863AC}"/>
    <cellStyle name="Normal 8 3 2 9 3" xfId="23486" xr:uid="{2C0CC971-A733-4EC7-89C1-2D509A1ABF76}"/>
    <cellStyle name="Normal 8 3 3" xfId="500" xr:uid="{00000000-0005-0000-0000-0000811D0000}"/>
    <cellStyle name="Normal 8 3 3 10" xfId="9974" xr:uid="{B3C16D61-4703-419D-B9DE-2F3DE32FD27C}"/>
    <cellStyle name="Normal 8 3 3 11" xfId="19273" xr:uid="{7FAF6A55-E9D0-42BA-87DB-E431E908F8A5}"/>
    <cellStyle name="Normal 8 3 3 2" xfId="501" xr:uid="{00000000-0005-0000-0000-0000821D0000}"/>
    <cellStyle name="Normal 8 3 3 2 10" xfId="19274" xr:uid="{CD05EF70-342F-418F-AA88-5A6CC1537578}"/>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32C808D4-6EF8-4FAF-9977-E777A0B50AA2}"/>
    <cellStyle name="Normal 8 3 3 2 2 2 2 3" xfId="26049" xr:uid="{A18E6E83-36F9-4B2A-901E-0C6DEF87D874}"/>
    <cellStyle name="Normal 8 3 3 2 2 2 3" xfId="12533" xr:uid="{A3C0E8D5-242E-445A-BAE8-8A0878B168C8}"/>
    <cellStyle name="Normal 8 3 3 2 2 2 4" xfId="21832" xr:uid="{913022C8-5CC1-4503-A266-CBDE73070013}"/>
    <cellStyle name="Normal 8 3 3 2 2 3" xfId="5279" xr:uid="{00000000-0005-0000-0000-0000861D0000}"/>
    <cellStyle name="Normal 8 3 3 2 2 3 2" xfId="14605" xr:uid="{B2762D91-72C2-4580-B99F-5BA7E07FE232}"/>
    <cellStyle name="Normal 8 3 3 2 2 3 3" xfId="23904" xr:uid="{0D7F3ECE-3B39-4720-869C-39CC708FA0B6}"/>
    <cellStyle name="Normal 8 3 3 2 2 4" xfId="9509" xr:uid="{3B4378D3-7C51-4B91-822B-758528BFF352}"/>
    <cellStyle name="Normal 8 3 3 2 2 4 2" xfId="18824" xr:uid="{968150C9-E491-477D-927D-9671A6B9C17A}"/>
    <cellStyle name="Normal 8 3 3 2 2 4 3" xfId="28121" xr:uid="{8D151A8B-ABB3-4A6C-95B9-87748EE02A3A}"/>
    <cellStyle name="Normal 8 3 3 2 2 5" xfId="10388" xr:uid="{A082B3E1-5085-452C-9006-413821D1F175}"/>
    <cellStyle name="Normal 8 3 3 2 2 6" xfId="19687" xr:uid="{9141CFD1-9917-457F-9B9B-812F174BE42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394656F6-5C4F-4EB2-84A7-8E30EBF26B8F}"/>
    <cellStyle name="Normal 8 3 3 2 3 2 2 3" xfId="26462" xr:uid="{2FA951B0-DE0C-4859-AF06-40F1A3592608}"/>
    <cellStyle name="Normal 8 3 3 2 3 2 3" xfId="12946" xr:uid="{6897C83A-32E9-487D-BAE9-4DE6C5F767EA}"/>
    <cellStyle name="Normal 8 3 3 2 3 2 4" xfId="22245" xr:uid="{C8C1531A-639D-4C7B-B56B-60A7D97E90C9}"/>
    <cellStyle name="Normal 8 3 3 2 3 3" xfId="5692" xr:uid="{00000000-0005-0000-0000-00008A1D0000}"/>
    <cellStyle name="Normal 8 3 3 2 3 3 2" xfId="15018" xr:uid="{667E9711-663B-4C8A-9AAB-3B1D38333B6C}"/>
    <cellStyle name="Normal 8 3 3 2 3 3 3" xfId="24317" xr:uid="{3888E97D-8305-47AB-AAA9-BA884EC143B7}"/>
    <cellStyle name="Normal 8 3 3 2 3 4" xfId="10801" xr:uid="{759D9E8F-87FE-4597-BF70-01F42D6ADC8A}"/>
    <cellStyle name="Normal 8 3 3 2 3 5" xfId="20100" xr:uid="{086B903E-D889-43B3-9057-5A17BDF39FF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4EFBE2EF-B68D-4431-8B79-07B2E972A4C8}"/>
    <cellStyle name="Normal 8 3 3 2 4 2 2 3" xfId="26875" xr:uid="{37E0D6C3-1200-47DB-B127-CF95041D7CF8}"/>
    <cellStyle name="Normal 8 3 3 2 4 2 3" xfId="13359" xr:uid="{4288732D-74FF-47D2-94FA-3329831628A1}"/>
    <cellStyle name="Normal 8 3 3 2 4 2 4" xfId="22658" xr:uid="{2EC301A6-E61D-4D27-BC2E-411F861BE61D}"/>
    <cellStyle name="Normal 8 3 3 2 4 3" xfId="6105" xr:uid="{00000000-0005-0000-0000-00008E1D0000}"/>
    <cellStyle name="Normal 8 3 3 2 4 3 2" xfId="15431" xr:uid="{A5D339F1-8DB6-4E5F-B341-EFCB5C75E7B7}"/>
    <cellStyle name="Normal 8 3 3 2 4 3 3" xfId="24730" xr:uid="{F7888EA4-EFA0-4480-B5A1-5462262F17E2}"/>
    <cellStyle name="Normal 8 3 3 2 4 4" xfId="11214" xr:uid="{806E884B-C7E3-4E38-845A-D76CFD3FD7D3}"/>
    <cellStyle name="Normal 8 3 3 2 4 5" xfId="20513" xr:uid="{97B1FB0C-BAF4-4B70-82B0-A7DCBB87BF7C}"/>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F875F6C2-5829-4DB7-BC10-030657E598C7}"/>
    <cellStyle name="Normal 8 3 3 2 5 2 2 3" xfId="27288" xr:uid="{DC0C39A4-B5A2-407C-BECA-26DB06283500}"/>
    <cellStyle name="Normal 8 3 3 2 5 2 3" xfId="13772" xr:uid="{CAB96891-4750-43D3-9B6E-7EC068F6930E}"/>
    <cellStyle name="Normal 8 3 3 2 5 2 4" xfId="23071" xr:uid="{711E4CF6-25FB-44F0-94F8-F18E851B0550}"/>
    <cellStyle name="Normal 8 3 3 2 5 3" xfId="6518" xr:uid="{00000000-0005-0000-0000-0000921D0000}"/>
    <cellStyle name="Normal 8 3 3 2 5 3 2" xfId="15844" xr:uid="{FF9B60A9-7F79-4759-B6D1-477B0534F31C}"/>
    <cellStyle name="Normal 8 3 3 2 5 3 3" xfId="25143" xr:uid="{C56BD0F9-26D9-42D1-8467-D9E611949E07}"/>
    <cellStyle name="Normal 8 3 3 2 5 4" xfId="11627" xr:uid="{72033472-B0FB-4585-9B33-29A6A4F0ED6C}"/>
    <cellStyle name="Normal 8 3 3 2 5 5" xfId="20926" xr:uid="{471983E7-1C1B-49EC-9D6B-9D11FC8AA66E}"/>
    <cellStyle name="Normal 8 3 3 2 6" xfId="2648" xr:uid="{00000000-0005-0000-0000-0000931D0000}"/>
    <cellStyle name="Normal 8 3 3 2 6 2" xfId="6931" xr:uid="{00000000-0005-0000-0000-0000941D0000}"/>
    <cellStyle name="Normal 8 3 3 2 6 2 2" xfId="16257" xr:uid="{536C78F7-2DAB-46B3-B79E-628AB5CC5A55}"/>
    <cellStyle name="Normal 8 3 3 2 6 2 3" xfId="25556" xr:uid="{B8209FA9-24EB-4F55-AFD3-E5DBF3FE12A9}"/>
    <cellStyle name="Normal 8 3 3 2 6 3" xfId="12040" xr:uid="{D0F1D73E-E4D3-4D23-9576-D5B98133D7C2}"/>
    <cellStyle name="Normal 8 3 3 2 6 4" xfId="21339" xr:uid="{D5821F9B-5648-4C56-BCA1-1EFD688E6708}"/>
    <cellStyle name="Normal 8 3 3 2 7" xfId="4866" xr:uid="{00000000-0005-0000-0000-0000951D0000}"/>
    <cellStyle name="Normal 8 3 3 2 7 2" xfId="14192" xr:uid="{E8007A56-AC1A-4295-97DF-07673518112F}"/>
    <cellStyle name="Normal 8 3 3 2 7 3" xfId="23491" xr:uid="{61904934-30ED-44D5-9795-5D1317B9E3DA}"/>
    <cellStyle name="Normal 8 3 3 2 8" xfId="9084" xr:uid="{94243AB7-0454-4C95-8E94-054E46718167}"/>
    <cellStyle name="Normal 8 3 3 2 8 2" xfId="18408" xr:uid="{350CB99D-D52C-4831-B0BC-DA1F11678F95}"/>
    <cellStyle name="Normal 8 3 3 2 8 3" xfId="27706" xr:uid="{1E90BAFE-B44B-4E8C-8EF5-2B0B2F3F75C1}"/>
    <cellStyle name="Normal 8 3 3 2 9" xfId="9975" xr:uid="{166E9945-E318-426F-80A1-59B3A015BA4B}"/>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C1CDEF7D-AFC0-4FA0-8A5F-A744B6A37096}"/>
    <cellStyle name="Normal 8 3 3 3 2 2 3" xfId="26048" xr:uid="{266E251F-243C-4CF7-B88E-66803BE894B3}"/>
    <cellStyle name="Normal 8 3 3 3 2 3" xfId="12532" xr:uid="{4AE66E0B-61ED-4F44-9169-66DAFA9FF582}"/>
    <cellStyle name="Normal 8 3 3 3 2 4" xfId="21831" xr:uid="{46D9CF6C-ADB6-4DD0-B9EE-5A7E039C5F96}"/>
    <cellStyle name="Normal 8 3 3 3 3" xfId="5278" xr:uid="{00000000-0005-0000-0000-0000991D0000}"/>
    <cellStyle name="Normal 8 3 3 3 3 2" xfId="14604" xr:uid="{C7C8F66A-71AF-43FB-A939-A2B367A30E3C}"/>
    <cellStyle name="Normal 8 3 3 3 3 3" xfId="23903" xr:uid="{6F485101-4F99-4A97-86A8-F233094497D9}"/>
    <cellStyle name="Normal 8 3 3 3 4" xfId="9302" xr:uid="{3985B908-2B56-4F9B-BEA3-8962926FD004}"/>
    <cellStyle name="Normal 8 3 3 3 4 2" xfId="18617" xr:uid="{F4369C5C-182D-4CB7-81E3-43805F440E32}"/>
    <cellStyle name="Normal 8 3 3 3 4 3" xfId="27914" xr:uid="{E8559B8F-603B-479B-AD38-823F3CE39FE7}"/>
    <cellStyle name="Normal 8 3 3 3 5" xfId="10387" xr:uid="{E3584EEE-7CD8-4258-B31E-647B5BE46D47}"/>
    <cellStyle name="Normal 8 3 3 3 6" xfId="19686" xr:uid="{10DE7B2D-89DB-4C35-B383-10A2F49F41B0}"/>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EBF32178-2E10-44D8-8AFB-E9C085DB1D05}"/>
    <cellStyle name="Normal 8 3 3 4 2 2 3" xfId="26461" xr:uid="{88E064A1-2E43-4C4A-B21E-30851984EF8E}"/>
    <cellStyle name="Normal 8 3 3 4 2 3" xfId="12945" xr:uid="{2FF853CE-A609-45D8-B4F8-EB08CFA6496A}"/>
    <cellStyle name="Normal 8 3 3 4 2 4" xfId="22244" xr:uid="{589AA4A2-E443-4031-A5D7-94EC92DD2A8E}"/>
    <cellStyle name="Normal 8 3 3 4 3" xfId="5691" xr:uid="{00000000-0005-0000-0000-00009D1D0000}"/>
    <cellStyle name="Normal 8 3 3 4 3 2" xfId="15017" xr:uid="{72B52172-662B-40F0-9C30-0E59CE916A93}"/>
    <cellStyle name="Normal 8 3 3 4 3 3" xfId="24316" xr:uid="{FEDBEE85-87DC-46A2-B688-1A6442428058}"/>
    <cellStyle name="Normal 8 3 3 4 4" xfId="10800" xr:uid="{8D39A950-A44B-4DF5-A2F0-AF6D65D583E0}"/>
    <cellStyle name="Normal 8 3 3 4 5" xfId="20099" xr:uid="{53764A48-EE83-421B-8046-1A6695870565}"/>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C1E0B596-AE68-4611-A5CD-8402FD6FD68C}"/>
    <cellStyle name="Normal 8 3 3 5 2 2 3" xfId="26874" xr:uid="{490E1104-600E-4384-AA94-EEAD414218E6}"/>
    <cellStyle name="Normal 8 3 3 5 2 3" xfId="13358" xr:uid="{E6B668DB-10D7-4F3C-9F3F-C3C2BF78A393}"/>
    <cellStyle name="Normal 8 3 3 5 2 4" xfId="22657" xr:uid="{438D9069-73C9-4E73-9F3C-0B33A2500C19}"/>
    <cellStyle name="Normal 8 3 3 5 3" xfId="6104" xr:uid="{00000000-0005-0000-0000-0000A11D0000}"/>
    <cellStyle name="Normal 8 3 3 5 3 2" xfId="15430" xr:uid="{245BB2EB-1971-454F-A1CA-22B4282B87A3}"/>
    <cellStyle name="Normal 8 3 3 5 3 3" xfId="24729" xr:uid="{67E777EB-D084-4659-84AD-B228F539325C}"/>
    <cellStyle name="Normal 8 3 3 5 4" xfId="11213" xr:uid="{5AC4805B-0687-4967-9BF3-313782E6C09E}"/>
    <cellStyle name="Normal 8 3 3 5 5" xfId="20512" xr:uid="{ABED381E-9A7F-4CD1-A67B-6F4EDF23679A}"/>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6751DCCF-6938-400F-BE00-EADD30A1122A}"/>
    <cellStyle name="Normal 8 3 3 6 2 2 3" xfId="27287" xr:uid="{0737C8D3-6EA9-40CE-90AB-7F7809663B16}"/>
    <cellStyle name="Normal 8 3 3 6 2 3" xfId="13771" xr:uid="{7AE0D01E-8B11-4385-92FC-0C537D2486D3}"/>
    <cellStyle name="Normal 8 3 3 6 2 4" xfId="23070" xr:uid="{DDE234ED-246D-42E0-9A24-ED46C56822B5}"/>
    <cellStyle name="Normal 8 3 3 6 3" xfId="6517" xr:uid="{00000000-0005-0000-0000-0000A51D0000}"/>
    <cellStyle name="Normal 8 3 3 6 3 2" xfId="15843" xr:uid="{14E6F0A1-E9FF-4D05-9116-3314EC090541}"/>
    <cellStyle name="Normal 8 3 3 6 3 3" xfId="25142" xr:uid="{75F44CEA-EF2F-4D67-B6FC-127E7FB648A9}"/>
    <cellStyle name="Normal 8 3 3 6 4" xfId="11626" xr:uid="{D4A33F1E-A694-433D-9F55-15BBD571E739}"/>
    <cellStyle name="Normal 8 3 3 6 5" xfId="20925" xr:uid="{C7E17EF4-32C0-4DAA-8E18-FD73F02356A7}"/>
    <cellStyle name="Normal 8 3 3 7" xfId="2647" xr:uid="{00000000-0005-0000-0000-0000A61D0000}"/>
    <cellStyle name="Normal 8 3 3 7 2" xfId="6930" xr:uid="{00000000-0005-0000-0000-0000A71D0000}"/>
    <cellStyle name="Normal 8 3 3 7 2 2" xfId="16256" xr:uid="{D3ACAFA8-3D82-419E-8907-0A856BAE8C55}"/>
    <cellStyle name="Normal 8 3 3 7 2 3" xfId="25555" xr:uid="{68E47774-C1C1-4AE8-8B8D-7A63EBB1ABCB}"/>
    <cellStyle name="Normal 8 3 3 7 3" xfId="12039" xr:uid="{A00F53E9-C66E-40D5-B22B-4376E37244CE}"/>
    <cellStyle name="Normal 8 3 3 7 4" xfId="21338" xr:uid="{AA34F2EF-823D-49EF-8B0C-B95D2FC83070}"/>
    <cellStyle name="Normal 8 3 3 8" xfId="4865" xr:uid="{00000000-0005-0000-0000-0000A81D0000}"/>
    <cellStyle name="Normal 8 3 3 8 2" xfId="14191" xr:uid="{A24D3186-126B-4381-BFA4-B50E0154A636}"/>
    <cellStyle name="Normal 8 3 3 8 3" xfId="23490" xr:uid="{F7E2A2E1-BCCC-47A5-A34D-7855F9905249}"/>
    <cellStyle name="Normal 8 3 3 9" xfId="8877" xr:uid="{4F8231E3-800E-43E7-B1B6-9633EBFFFFE1}"/>
    <cellStyle name="Normal 8 3 3 9 2" xfId="18201" xr:uid="{9D8BD2EF-4492-466E-9159-D6EF445355FB}"/>
    <cellStyle name="Normal 8 3 3 9 3" xfId="27499" xr:uid="{C0E792F0-D7FF-4A3B-90E9-F279084490C3}"/>
    <cellStyle name="Normal 8 3 4" xfId="502" xr:uid="{00000000-0005-0000-0000-0000A91D0000}"/>
    <cellStyle name="Normal 8 3 4 10" xfId="19275" xr:uid="{2B391BA0-4DF2-4082-9B49-9C466B6E3B39}"/>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7DBD783B-2648-4DA6-9832-7A59E4D1E7CD}"/>
    <cellStyle name="Normal 8 3 4 2 2 2 3" xfId="26050" xr:uid="{50DB23C3-3A22-48DA-B3B6-B8692224D54D}"/>
    <cellStyle name="Normal 8 3 4 2 2 3" xfId="12534" xr:uid="{743DF075-0DE6-4B0D-A248-F053952C57CA}"/>
    <cellStyle name="Normal 8 3 4 2 2 4" xfId="21833" xr:uid="{257F2DAF-6833-406A-B813-719975186FBD}"/>
    <cellStyle name="Normal 8 3 4 2 3" xfId="5280" xr:uid="{00000000-0005-0000-0000-0000AD1D0000}"/>
    <cellStyle name="Normal 8 3 4 2 3 2" xfId="14606" xr:uid="{0C8219D3-0B7F-43B2-AF0B-CCD692451E00}"/>
    <cellStyle name="Normal 8 3 4 2 3 3" xfId="23905" xr:uid="{7D756FA3-7765-4A11-B1DE-A53C60A799E2}"/>
    <cellStyle name="Normal 8 3 4 2 4" xfId="9406" xr:uid="{8751BE45-E47B-4A0A-B0DE-04C14FAEA88D}"/>
    <cellStyle name="Normal 8 3 4 2 4 2" xfId="18721" xr:uid="{F6B06186-FE26-451C-AD45-76CF6DF1AE03}"/>
    <cellStyle name="Normal 8 3 4 2 4 3" xfId="28018" xr:uid="{B8E1CA8A-4972-473D-88C7-4BE743339377}"/>
    <cellStyle name="Normal 8 3 4 2 5" xfId="10389" xr:uid="{96895E15-91A6-4DCD-8393-D688083DCEC1}"/>
    <cellStyle name="Normal 8 3 4 2 6" xfId="19688" xr:uid="{8A96998B-ECCF-410A-88C1-8E99802FD26C}"/>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A461691B-908E-4FCA-8080-7005A8E32E97}"/>
    <cellStyle name="Normal 8 3 4 3 2 2 3" xfId="26463" xr:uid="{51FF1738-4F23-4885-B5DD-E6D90FA06ADA}"/>
    <cellStyle name="Normal 8 3 4 3 2 3" xfId="12947" xr:uid="{BC5FCC0C-A57A-47AF-8445-6A6579177799}"/>
    <cellStyle name="Normal 8 3 4 3 2 4" xfId="22246" xr:uid="{2AFFA200-365E-4BF1-8327-091F00FAE6A7}"/>
    <cellStyle name="Normal 8 3 4 3 3" xfId="5693" xr:uid="{00000000-0005-0000-0000-0000B11D0000}"/>
    <cellStyle name="Normal 8 3 4 3 3 2" xfId="15019" xr:uid="{841558BE-B225-4D36-B6CB-0FCF55F0B0BE}"/>
    <cellStyle name="Normal 8 3 4 3 3 3" xfId="24318" xr:uid="{436AEAD3-1E0D-4EE3-ABAB-AD90983EBF87}"/>
    <cellStyle name="Normal 8 3 4 3 4" xfId="10802" xr:uid="{6D45944F-7F11-4E61-BC30-B19791057F2E}"/>
    <cellStyle name="Normal 8 3 4 3 5" xfId="20101" xr:uid="{50987010-98AF-485F-A4A3-B44CB096F472}"/>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A7E7953B-463C-4D2A-9EC4-142A7B94C5B3}"/>
    <cellStyle name="Normal 8 3 4 4 2 2 3" xfId="26876" xr:uid="{B3123FEE-806F-4E92-9E94-BF1F71EDF4B0}"/>
    <cellStyle name="Normal 8 3 4 4 2 3" xfId="13360" xr:uid="{B0B2EFC5-BB68-48F6-ADCE-691A9AA50B0C}"/>
    <cellStyle name="Normal 8 3 4 4 2 4" xfId="22659" xr:uid="{8C1C3696-7911-4FFC-9CE6-CC95B7DF9A3A}"/>
    <cellStyle name="Normal 8 3 4 4 3" xfId="6106" xr:uid="{00000000-0005-0000-0000-0000B51D0000}"/>
    <cellStyle name="Normal 8 3 4 4 3 2" xfId="15432" xr:uid="{103F2A85-964B-4D40-9321-5C088134C2E9}"/>
    <cellStyle name="Normal 8 3 4 4 3 3" xfId="24731" xr:uid="{0BE5791B-77DB-4D72-BE75-EB74DE24FDE5}"/>
    <cellStyle name="Normal 8 3 4 4 4" xfId="11215" xr:uid="{3AA408AD-560A-4FD3-A765-DB1DBF5B4681}"/>
    <cellStyle name="Normal 8 3 4 4 5" xfId="20514" xr:uid="{F2BDB3B2-C73A-49DF-A5E4-A3820F92E1B8}"/>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D584DE88-7EAB-4800-B55B-6FB19FA3455D}"/>
    <cellStyle name="Normal 8 3 4 5 2 2 3" xfId="27289" xr:uid="{C5029D8E-EC58-4D58-A576-A323D5D714A7}"/>
    <cellStyle name="Normal 8 3 4 5 2 3" xfId="13773" xr:uid="{CC8D8145-B484-4AF5-A138-D43403723B90}"/>
    <cellStyle name="Normal 8 3 4 5 2 4" xfId="23072" xr:uid="{3D856B10-2E31-4D75-B214-35A0EAD1F351}"/>
    <cellStyle name="Normal 8 3 4 5 3" xfId="6519" xr:uid="{00000000-0005-0000-0000-0000B91D0000}"/>
    <cellStyle name="Normal 8 3 4 5 3 2" xfId="15845" xr:uid="{83A69EDF-AFF4-4928-AC1D-0B348A886F32}"/>
    <cellStyle name="Normal 8 3 4 5 3 3" xfId="25144" xr:uid="{2CD8A657-4C59-4A6B-AA3C-3D666D9A7E48}"/>
    <cellStyle name="Normal 8 3 4 5 4" xfId="11628" xr:uid="{51329381-6AA0-4D00-B6ED-1638B869A294}"/>
    <cellStyle name="Normal 8 3 4 5 5" xfId="20927" xr:uid="{8C847EFF-E8DD-4314-8C9F-90C40EED3D70}"/>
    <cellStyle name="Normal 8 3 4 6" xfId="2649" xr:uid="{00000000-0005-0000-0000-0000BA1D0000}"/>
    <cellStyle name="Normal 8 3 4 6 2" xfId="6932" xr:uid="{00000000-0005-0000-0000-0000BB1D0000}"/>
    <cellStyle name="Normal 8 3 4 6 2 2" xfId="16258" xr:uid="{CF9CEE38-BB99-49E0-9EF4-37BE16AADEA1}"/>
    <cellStyle name="Normal 8 3 4 6 2 3" xfId="25557" xr:uid="{1A4C7A4A-6B77-42FF-81F7-25E7F6D1B384}"/>
    <cellStyle name="Normal 8 3 4 6 3" xfId="12041" xr:uid="{AC20E849-C04C-492D-970F-AE7F08AA20F8}"/>
    <cellStyle name="Normal 8 3 4 6 4" xfId="21340" xr:uid="{D98F69BA-F17C-4AC0-810A-90CE21C331BB}"/>
    <cellStyle name="Normal 8 3 4 7" xfId="4867" xr:uid="{00000000-0005-0000-0000-0000BC1D0000}"/>
    <cellStyle name="Normal 8 3 4 7 2" xfId="14193" xr:uid="{87905D9D-A2EA-4149-9928-BE374B10D65E}"/>
    <cellStyle name="Normal 8 3 4 7 3" xfId="23492" xr:uid="{EBEF92BE-DF32-44C7-919B-4F4D62F6039B}"/>
    <cellStyle name="Normal 8 3 4 8" xfId="8981" xr:uid="{BEE184E9-ECE6-4107-B29A-CC8BC7F28FA3}"/>
    <cellStyle name="Normal 8 3 4 8 2" xfId="18305" xr:uid="{ED8959F8-6480-4C88-8E81-7DF04EFC4FA9}"/>
    <cellStyle name="Normal 8 3 4 8 3" xfId="27603" xr:uid="{8060F354-3F07-4D0C-A707-F92E46EA6FF0}"/>
    <cellStyle name="Normal 8 3 4 9" xfId="9976" xr:uid="{8E55DEFC-1574-4C84-B5CA-C536CB9BDCC6}"/>
    <cellStyle name="Normal 8 3 5" xfId="962" xr:uid="{00000000-0005-0000-0000-0000BD1D0000}"/>
    <cellStyle name="Normal 8 3 5 2" xfId="3196" xr:uid="{00000000-0005-0000-0000-0000BE1D0000}"/>
    <cellStyle name="Normal 8 3 5 2 2" xfId="7418" xr:uid="{00000000-0005-0000-0000-0000BF1D0000}"/>
    <cellStyle name="Normal 8 3 5 2 2 2" xfId="16744" xr:uid="{33FA1F64-9B5F-45B7-A2AA-805611A9FFF9}"/>
    <cellStyle name="Normal 8 3 5 2 2 3" xfId="26043" xr:uid="{58B31BF7-B9A4-4351-B2C8-C8D4F251BCA6}"/>
    <cellStyle name="Normal 8 3 5 2 3" xfId="12527" xr:uid="{956AC8E1-9F63-4FAF-8452-AD36D4F0F0DA}"/>
    <cellStyle name="Normal 8 3 5 2 4" xfId="21826" xr:uid="{4A03899A-5C60-4EEC-BFFE-58BF364C7455}"/>
    <cellStyle name="Normal 8 3 5 3" xfId="5273" xr:uid="{00000000-0005-0000-0000-0000C01D0000}"/>
    <cellStyle name="Normal 8 3 5 3 2" xfId="14599" xr:uid="{9159DE38-65C5-4BB7-819D-D7738E19329B}"/>
    <cellStyle name="Normal 8 3 5 3 3" xfId="23898" xr:uid="{ADB3C374-0E99-4235-BC8F-87F13B83C35D}"/>
    <cellStyle name="Normal 8 3 5 4" xfId="9198" xr:uid="{FA5A5C79-C3AC-4E17-9344-90C4E411EE0B}"/>
    <cellStyle name="Normal 8 3 5 4 2" xfId="18514" xr:uid="{68E77346-1AE1-4433-AADE-CF6B0CC6F6FE}"/>
    <cellStyle name="Normal 8 3 5 4 3" xfId="27811" xr:uid="{7976CB88-B0DE-4353-B355-852CC45FD83D}"/>
    <cellStyle name="Normal 8 3 5 5" xfId="10382" xr:uid="{8E84C9D7-DD4D-4AC1-A777-0B5BA4A3C16C}"/>
    <cellStyle name="Normal 8 3 5 6" xfId="19681" xr:uid="{E4987B33-69F0-4405-BF33-673B2E9DDC5B}"/>
    <cellStyle name="Normal 8 3 6" xfId="1379" xr:uid="{00000000-0005-0000-0000-0000C11D0000}"/>
    <cellStyle name="Normal 8 3 6 2" xfId="3609" xr:uid="{00000000-0005-0000-0000-0000C21D0000}"/>
    <cellStyle name="Normal 8 3 6 2 2" xfId="7831" xr:uid="{00000000-0005-0000-0000-0000C31D0000}"/>
    <cellStyle name="Normal 8 3 6 2 2 2" xfId="17157" xr:uid="{D7F5987F-3C98-4445-9A64-EAD785B35216}"/>
    <cellStyle name="Normal 8 3 6 2 2 3" xfId="26456" xr:uid="{672EF885-94FC-41A1-9A33-CAADCBA95DF9}"/>
    <cellStyle name="Normal 8 3 6 2 3" xfId="12940" xr:uid="{1BA14C1F-D05F-4652-8E3B-C905F465C232}"/>
    <cellStyle name="Normal 8 3 6 2 4" xfId="22239" xr:uid="{87837EF8-8553-4410-AB6A-4F269B5CCD17}"/>
    <cellStyle name="Normal 8 3 6 3" xfId="5686" xr:uid="{00000000-0005-0000-0000-0000C41D0000}"/>
    <cellStyle name="Normal 8 3 6 3 2" xfId="15012" xr:uid="{200A3B08-23C9-43DB-BD34-E349FFD4946C}"/>
    <cellStyle name="Normal 8 3 6 3 3" xfId="24311" xr:uid="{587FD398-4A93-490D-8CCF-2B387B2E1485}"/>
    <cellStyle name="Normal 8 3 6 4" xfId="10795" xr:uid="{F75DD25C-F548-4065-82FC-63B87226A457}"/>
    <cellStyle name="Normal 8 3 6 5" xfId="20094" xr:uid="{9115F427-64C7-43F2-B40A-D6DB935B9456}"/>
    <cellStyle name="Normal 8 3 7" xfId="1792" xr:uid="{00000000-0005-0000-0000-0000C51D0000}"/>
    <cellStyle name="Normal 8 3 7 2" xfId="4022" xr:uid="{00000000-0005-0000-0000-0000C61D0000}"/>
    <cellStyle name="Normal 8 3 7 2 2" xfId="8244" xr:uid="{00000000-0005-0000-0000-0000C71D0000}"/>
    <cellStyle name="Normal 8 3 7 2 2 2" xfId="17570" xr:uid="{7F82CCB5-F16A-4F46-AEC1-E104271B257D}"/>
    <cellStyle name="Normal 8 3 7 2 2 3" xfId="26869" xr:uid="{DE0BA7A6-1F18-40B1-A7BA-B479E7C563F1}"/>
    <cellStyle name="Normal 8 3 7 2 3" xfId="13353" xr:uid="{B69FAFC1-4B9E-46D6-988B-09FDD467ADBC}"/>
    <cellStyle name="Normal 8 3 7 2 4" xfId="22652" xr:uid="{36735162-CA06-4E05-9F2B-07B73C464FF2}"/>
    <cellStyle name="Normal 8 3 7 3" xfId="6099" xr:uid="{00000000-0005-0000-0000-0000C81D0000}"/>
    <cellStyle name="Normal 8 3 7 3 2" xfId="15425" xr:uid="{25CE9FC5-0F53-4109-8DF2-54021760691B}"/>
    <cellStyle name="Normal 8 3 7 3 3" xfId="24724" xr:uid="{8ACFE111-96B9-4BB8-871C-42E9174999D6}"/>
    <cellStyle name="Normal 8 3 7 4" xfId="11208" xr:uid="{844AD70F-3B76-4187-AA79-9D6062B9DD72}"/>
    <cellStyle name="Normal 8 3 7 5" xfId="20507" xr:uid="{F607E207-14C5-4FB6-B34A-034A20753CC8}"/>
    <cellStyle name="Normal 8 3 8" xfId="2206" xr:uid="{00000000-0005-0000-0000-0000C91D0000}"/>
    <cellStyle name="Normal 8 3 8 2" xfId="4435" xr:uid="{00000000-0005-0000-0000-0000CA1D0000}"/>
    <cellStyle name="Normal 8 3 8 2 2" xfId="8657" xr:uid="{00000000-0005-0000-0000-0000CB1D0000}"/>
    <cellStyle name="Normal 8 3 8 2 2 2" xfId="17983" xr:uid="{68E2AA9F-FDE3-4F97-B328-00215C024184}"/>
    <cellStyle name="Normal 8 3 8 2 2 3" xfId="27282" xr:uid="{37B14565-6FCA-4D8E-B857-C0F0A71A218B}"/>
    <cellStyle name="Normal 8 3 8 2 3" xfId="13766" xr:uid="{54456E53-7FA0-4355-8BEC-7C4FED5A80D2}"/>
    <cellStyle name="Normal 8 3 8 2 4" xfId="23065" xr:uid="{3BB55CC3-E721-4C93-87B4-4C03D1A4FD40}"/>
    <cellStyle name="Normal 8 3 8 3" xfId="6512" xr:uid="{00000000-0005-0000-0000-0000CC1D0000}"/>
    <cellStyle name="Normal 8 3 8 3 2" xfId="15838" xr:uid="{A65D3467-DF95-463A-9BB6-7E5371DB7ABD}"/>
    <cellStyle name="Normal 8 3 8 3 3" xfId="25137" xr:uid="{E190EB52-37BD-477B-A2E8-B758F588853B}"/>
    <cellStyle name="Normal 8 3 8 4" xfId="11621" xr:uid="{3DA6CD1C-C697-4463-8D52-15285B60D56D}"/>
    <cellStyle name="Normal 8 3 8 5" xfId="20920" xr:uid="{A1F9C5DF-0C62-4303-AD6C-9E7F9C025ED1}"/>
    <cellStyle name="Normal 8 3 9" xfId="2642" xr:uid="{00000000-0005-0000-0000-0000CD1D0000}"/>
    <cellStyle name="Normal 8 3 9 2" xfId="6925" xr:uid="{00000000-0005-0000-0000-0000CE1D0000}"/>
    <cellStyle name="Normal 8 3 9 2 2" xfId="16251" xr:uid="{EC40F573-21BD-4F22-91D4-1AD90352DFA8}"/>
    <cellStyle name="Normal 8 3 9 2 3" xfId="25550" xr:uid="{C4DFF960-EF3A-4F86-964A-6440437F6542}"/>
    <cellStyle name="Normal 8 3 9 3" xfId="12034" xr:uid="{89F37480-8AE4-4419-BE6B-05B370982A88}"/>
    <cellStyle name="Normal 8 3 9 4" xfId="21333" xr:uid="{8151705F-A667-452F-AD6B-187D36EC9A1F}"/>
    <cellStyle name="Normal 8 4" xfId="503" xr:uid="{00000000-0005-0000-0000-0000CF1D0000}"/>
    <cellStyle name="Normal 8 4 10" xfId="8834" xr:uid="{78848A4E-06FA-4050-B553-A3A7DEA1B047}"/>
    <cellStyle name="Normal 8 4 10 2" xfId="18158" xr:uid="{49F9813B-FC82-4856-B5FB-10D69246D70D}"/>
    <cellStyle name="Normal 8 4 10 3" xfId="27456" xr:uid="{4B1B3BBE-6DEF-4312-AD71-51042D7AB343}"/>
    <cellStyle name="Normal 8 4 11" xfId="9977" xr:uid="{024D2ED0-E642-4D7C-8CEC-A9CA64B1D852}"/>
    <cellStyle name="Normal 8 4 12" xfId="19276" xr:uid="{6709E420-B65B-43E7-AD44-3B138AC330A5}"/>
    <cellStyle name="Normal 8 4 2" xfId="504" xr:uid="{00000000-0005-0000-0000-0000D01D0000}"/>
    <cellStyle name="Normal 8 4 2 10" xfId="9978" xr:uid="{E45D403E-EBDF-4BE9-88D6-F7A66B9E84E5}"/>
    <cellStyle name="Normal 8 4 2 11" xfId="19277" xr:uid="{1CBB253F-C79A-4558-8345-98A1A5BBA011}"/>
    <cellStyle name="Normal 8 4 2 2" xfId="505" xr:uid="{00000000-0005-0000-0000-0000D11D0000}"/>
    <cellStyle name="Normal 8 4 2 2 10" xfId="19278" xr:uid="{AC8147F0-D140-41F9-9F4E-8C54CFFE68F5}"/>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C9FD9BB7-316D-4EAD-8391-52723C6E6A94}"/>
    <cellStyle name="Normal 8 4 2 2 2 2 2 3" xfId="26053" xr:uid="{B20A01C0-1BAA-42FC-ADEE-72D9A7F10B5E}"/>
    <cellStyle name="Normal 8 4 2 2 2 2 3" xfId="12537" xr:uid="{ABC1B015-BA0D-452D-A0C4-4A3678A19B30}"/>
    <cellStyle name="Normal 8 4 2 2 2 2 4" xfId="21836" xr:uid="{2972F039-503E-4CF1-8D30-6AC2AAE20B5D}"/>
    <cellStyle name="Normal 8 4 2 2 2 3" xfId="5283" xr:uid="{00000000-0005-0000-0000-0000D51D0000}"/>
    <cellStyle name="Normal 8 4 2 2 2 3 2" xfId="14609" xr:uid="{7F0D1B48-59FA-4EBC-B640-097BC3BA7809}"/>
    <cellStyle name="Normal 8 4 2 2 2 3 3" xfId="23908" xr:uid="{1AB8A91F-F24B-4522-A8E6-F852E2C6953E}"/>
    <cellStyle name="Normal 8 4 2 2 2 4" xfId="9569" xr:uid="{F21122F8-27BB-4D46-891E-281F736F5353}"/>
    <cellStyle name="Normal 8 4 2 2 2 4 2" xfId="18884" xr:uid="{188E71F9-6987-4CFC-9149-AB69436EAE38}"/>
    <cellStyle name="Normal 8 4 2 2 2 4 3" xfId="28181" xr:uid="{4F58D862-7F19-494F-A200-667AAEDCA634}"/>
    <cellStyle name="Normal 8 4 2 2 2 5" xfId="10392" xr:uid="{413653C1-66C0-449B-92C1-EDFC3D5F4813}"/>
    <cellStyle name="Normal 8 4 2 2 2 6" xfId="19691" xr:uid="{FFD86FBD-29EC-4862-88EE-84B6301A9EE4}"/>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3A3FB56C-C4AE-4F92-A9DC-0CA7DBA53691}"/>
    <cellStyle name="Normal 8 4 2 2 3 2 2 3" xfId="26466" xr:uid="{5683A8D8-CD5F-49BC-9DE3-6BDAA970FCCA}"/>
    <cellStyle name="Normal 8 4 2 2 3 2 3" xfId="12950" xr:uid="{FE6D792F-ECA5-4B45-84ED-B6ED1379DE61}"/>
    <cellStyle name="Normal 8 4 2 2 3 2 4" xfId="22249" xr:uid="{05CA234C-2F75-4629-8A63-041262286751}"/>
    <cellStyle name="Normal 8 4 2 2 3 3" xfId="5696" xr:uid="{00000000-0005-0000-0000-0000D91D0000}"/>
    <cellStyle name="Normal 8 4 2 2 3 3 2" xfId="15022" xr:uid="{CE834AFC-E293-467F-BB47-6AC71450901E}"/>
    <cellStyle name="Normal 8 4 2 2 3 3 3" xfId="24321" xr:uid="{14C4E957-57D3-4C02-949E-91DF02F9D49C}"/>
    <cellStyle name="Normal 8 4 2 2 3 4" xfId="10805" xr:uid="{6C75BD15-629E-4B7F-A319-7C7541C37C5A}"/>
    <cellStyle name="Normal 8 4 2 2 3 5" xfId="20104" xr:uid="{36ECCF8B-28FD-4329-B118-DD66BFEC77D8}"/>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38C217C7-A53C-4765-A7B0-B296B830B76C}"/>
    <cellStyle name="Normal 8 4 2 2 4 2 2 3" xfId="26879" xr:uid="{24986C92-9A73-4D8D-9D2B-31C0FA834BC5}"/>
    <cellStyle name="Normal 8 4 2 2 4 2 3" xfId="13363" xr:uid="{26D61ED5-E546-4B15-8973-1DA1DEA7AE72}"/>
    <cellStyle name="Normal 8 4 2 2 4 2 4" xfId="22662" xr:uid="{5F5A418C-7D86-4708-87E2-8972609F08A2}"/>
    <cellStyle name="Normal 8 4 2 2 4 3" xfId="6109" xr:uid="{00000000-0005-0000-0000-0000DD1D0000}"/>
    <cellStyle name="Normal 8 4 2 2 4 3 2" xfId="15435" xr:uid="{9E93325C-DF65-45CF-A365-0AFD07830160}"/>
    <cellStyle name="Normal 8 4 2 2 4 3 3" xfId="24734" xr:uid="{FD3FC169-2576-47BD-8CB5-868A88BF06BF}"/>
    <cellStyle name="Normal 8 4 2 2 4 4" xfId="11218" xr:uid="{6E396CF7-518A-469D-A002-D8D3514E989A}"/>
    <cellStyle name="Normal 8 4 2 2 4 5" xfId="20517" xr:uid="{BFF9C720-94B6-43FF-BC2B-ADDF804C31FD}"/>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A9F06912-036F-47DE-91F6-BB8407EAD9D6}"/>
    <cellStyle name="Normal 8 4 2 2 5 2 2 3" xfId="27292" xr:uid="{4967B752-44B8-419A-AC03-B7658840A96C}"/>
    <cellStyle name="Normal 8 4 2 2 5 2 3" xfId="13776" xr:uid="{4876016A-3277-4F32-9F71-5639D51F85E3}"/>
    <cellStyle name="Normal 8 4 2 2 5 2 4" xfId="23075" xr:uid="{AC43F325-C1AB-4380-A5D9-BDE4E15F1B8C}"/>
    <cellStyle name="Normal 8 4 2 2 5 3" xfId="6522" xr:uid="{00000000-0005-0000-0000-0000E11D0000}"/>
    <cellStyle name="Normal 8 4 2 2 5 3 2" xfId="15848" xr:uid="{0C9E7171-1ADF-4935-B521-872C841510CE}"/>
    <cellStyle name="Normal 8 4 2 2 5 3 3" xfId="25147" xr:uid="{1BACC55D-B37C-40E7-937D-F584FBE91423}"/>
    <cellStyle name="Normal 8 4 2 2 5 4" xfId="11631" xr:uid="{FDA31265-C012-4C1E-A0E6-E5291BF1FCAB}"/>
    <cellStyle name="Normal 8 4 2 2 5 5" xfId="20930" xr:uid="{825604D7-18D3-4908-8C84-F233652B62A9}"/>
    <cellStyle name="Normal 8 4 2 2 6" xfId="2652" xr:uid="{00000000-0005-0000-0000-0000E21D0000}"/>
    <cellStyle name="Normal 8 4 2 2 6 2" xfId="6935" xr:uid="{00000000-0005-0000-0000-0000E31D0000}"/>
    <cellStyle name="Normal 8 4 2 2 6 2 2" xfId="16261" xr:uid="{BB798852-3F70-4C49-881C-EB480DB8C3AB}"/>
    <cellStyle name="Normal 8 4 2 2 6 2 3" xfId="25560" xr:uid="{5B073672-C49D-4149-BBB7-938E16C87689}"/>
    <cellStyle name="Normal 8 4 2 2 6 3" xfId="12044" xr:uid="{2D22BB82-DC74-4DA3-98F4-8D0258B0BC13}"/>
    <cellStyle name="Normal 8 4 2 2 6 4" xfId="21343" xr:uid="{03DE8848-A50A-4F62-B521-A42E06CD989D}"/>
    <cellStyle name="Normal 8 4 2 2 7" xfId="4870" xr:uid="{00000000-0005-0000-0000-0000E41D0000}"/>
    <cellStyle name="Normal 8 4 2 2 7 2" xfId="14196" xr:uid="{6B584F59-910C-4747-927B-3427EDAE7267}"/>
    <cellStyle name="Normal 8 4 2 2 7 3" xfId="23495" xr:uid="{D74A2109-0D87-4DA4-BEBA-E1D030AB9455}"/>
    <cellStyle name="Normal 8 4 2 2 8" xfId="9144" xr:uid="{EF6B0978-3DE8-47DC-990C-0B47AAC8F1DC}"/>
    <cellStyle name="Normal 8 4 2 2 8 2" xfId="18468" xr:uid="{C83EEBC5-80FC-4332-8841-65F6D8EC5FCC}"/>
    <cellStyle name="Normal 8 4 2 2 8 3" xfId="27766" xr:uid="{4006DC25-C523-406D-8FEF-B4593CC84C5B}"/>
    <cellStyle name="Normal 8 4 2 2 9" xfId="9979" xr:uid="{BF051639-C5AA-412F-866C-8F8049778C4A}"/>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EF641163-C0D5-413A-AACB-535539B27C20}"/>
    <cellStyle name="Normal 8 4 2 3 2 2 3" xfId="26052" xr:uid="{FDA831E4-AAC1-41CD-80BF-4FC2FD1B3922}"/>
    <cellStyle name="Normal 8 4 2 3 2 3" xfId="12536" xr:uid="{52A48D3F-CD11-4A6A-9F5D-1D63ACE78E0F}"/>
    <cellStyle name="Normal 8 4 2 3 2 4" xfId="21835" xr:uid="{4C93687B-6FB2-4CC7-A530-586D5ECF33DB}"/>
    <cellStyle name="Normal 8 4 2 3 3" xfId="5282" xr:uid="{00000000-0005-0000-0000-0000E81D0000}"/>
    <cellStyle name="Normal 8 4 2 3 3 2" xfId="14608" xr:uid="{6B171638-2205-40B5-B940-E611A2E327C2}"/>
    <cellStyle name="Normal 8 4 2 3 3 3" xfId="23907" xr:uid="{F182BE53-7DCA-4CB2-BC15-C5368881949A}"/>
    <cellStyle name="Normal 8 4 2 3 4" xfId="9362" xr:uid="{206856BB-FDDB-4012-ABFE-5E991E477A14}"/>
    <cellStyle name="Normal 8 4 2 3 4 2" xfId="18677" xr:uid="{F99829CD-E92F-48B5-A536-7CC369E6E306}"/>
    <cellStyle name="Normal 8 4 2 3 4 3" xfId="27974" xr:uid="{B658C69A-1DCC-4C36-B311-E347DA6222E3}"/>
    <cellStyle name="Normal 8 4 2 3 5" xfId="10391" xr:uid="{034F6A4C-B143-4A59-B5D2-8CD0ADF4CA7A}"/>
    <cellStyle name="Normal 8 4 2 3 6" xfId="19690" xr:uid="{9620EB53-2DFC-461D-AE87-2D61C1D2B0B2}"/>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047BE14D-9A8E-406A-B495-D4E5719366B7}"/>
    <cellStyle name="Normal 8 4 2 4 2 2 3" xfId="26465" xr:uid="{260D4750-4179-4441-A7EB-51D2BECA4A43}"/>
    <cellStyle name="Normal 8 4 2 4 2 3" xfId="12949" xr:uid="{92789786-5B68-491C-98FD-7516D24F125C}"/>
    <cellStyle name="Normal 8 4 2 4 2 4" xfId="22248" xr:uid="{F2986BC8-EAF1-43F5-9177-11EC455060D5}"/>
    <cellStyle name="Normal 8 4 2 4 3" xfId="5695" xr:uid="{00000000-0005-0000-0000-0000EC1D0000}"/>
    <cellStyle name="Normal 8 4 2 4 3 2" xfId="15021" xr:uid="{724A17AA-1A47-4401-A8CD-29CA19DE0DA6}"/>
    <cellStyle name="Normal 8 4 2 4 3 3" xfId="24320" xr:uid="{E8C6D8F5-5F91-4E55-92FB-4857E50F7DE4}"/>
    <cellStyle name="Normal 8 4 2 4 4" xfId="10804" xr:uid="{640B052A-AE9D-43B5-A520-D937004676B1}"/>
    <cellStyle name="Normal 8 4 2 4 5" xfId="20103" xr:uid="{07E2163B-DB8D-4516-9444-38A5E4E15ECA}"/>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E6B983E1-282A-4A3B-8115-7DB484500C43}"/>
    <cellStyle name="Normal 8 4 2 5 2 2 3" xfId="26878" xr:uid="{A1604003-1996-449B-A4A9-2E9120739B22}"/>
    <cellStyle name="Normal 8 4 2 5 2 3" xfId="13362" xr:uid="{1FA973BE-2FF7-4464-AF84-1B024E7C3470}"/>
    <cellStyle name="Normal 8 4 2 5 2 4" xfId="22661" xr:uid="{A17A794C-9F7D-49B4-BD1A-C4447C2496E5}"/>
    <cellStyle name="Normal 8 4 2 5 3" xfId="6108" xr:uid="{00000000-0005-0000-0000-0000F01D0000}"/>
    <cellStyle name="Normal 8 4 2 5 3 2" xfId="15434" xr:uid="{16A9FB3F-3993-4504-9EB2-6D5A4F7DC912}"/>
    <cellStyle name="Normal 8 4 2 5 3 3" xfId="24733" xr:uid="{A697BF5A-AB1F-4505-A490-6F0534AE3EE1}"/>
    <cellStyle name="Normal 8 4 2 5 4" xfId="11217" xr:uid="{8C23CB41-7EE1-424C-81CB-A4A1CB67CA64}"/>
    <cellStyle name="Normal 8 4 2 5 5" xfId="20516" xr:uid="{DFE9F422-1D71-469A-AC6E-898E1B00C571}"/>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4652C9E3-D59C-46F9-A83C-12E724FA3B1D}"/>
    <cellStyle name="Normal 8 4 2 6 2 2 3" xfId="27291" xr:uid="{634D5D83-2404-4E4A-B13E-72CA3165BD6A}"/>
    <cellStyle name="Normal 8 4 2 6 2 3" xfId="13775" xr:uid="{9E1B4885-102C-4F41-89C9-CD1EDDFEFA31}"/>
    <cellStyle name="Normal 8 4 2 6 2 4" xfId="23074" xr:uid="{46C6CBFA-DBB4-430E-AE91-AB0C7BD41BE5}"/>
    <cellStyle name="Normal 8 4 2 6 3" xfId="6521" xr:uid="{00000000-0005-0000-0000-0000F41D0000}"/>
    <cellStyle name="Normal 8 4 2 6 3 2" xfId="15847" xr:uid="{BAEE2C64-95FA-4AE9-B6CF-D23BADC3C11A}"/>
    <cellStyle name="Normal 8 4 2 6 3 3" xfId="25146" xr:uid="{26AD8CAF-0B13-4BDE-AA8F-3F250631909D}"/>
    <cellStyle name="Normal 8 4 2 6 4" xfId="11630" xr:uid="{54877B5F-DDBB-4830-954E-957CDF1671BB}"/>
    <cellStyle name="Normal 8 4 2 6 5" xfId="20929" xr:uid="{E4F1A06C-2FFB-4942-A1CB-B0944F5759D2}"/>
    <cellStyle name="Normal 8 4 2 7" xfId="2651" xr:uid="{00000000-0005-0000-0000-0000F51D0000}"/>
    <cellStyle name="Normal 8 4 2 7 2" xfId="6934" xr:uid="{00000000-0005-0000-0000-0000F61D0000}"/>
    <cellStyle name="Normal 8 4 2 7 2 2" xfId="16260" xr:uid="{1592D1E0-595A-443F-BE67-E954A2B55606}"/>
    <cellStyle name="Normal 8 4 2 7 2 3" xfId="25559" xr:uid="{F067171C-9F49-49D0-9913-F6EB4D684FC3}"/>
    <cellStyle name="Normal 8 4 2 7 3" xfId="12043" xr:uid="{5FF127DE-47F5-4C78-9BCF-481EA39E5220}"/>
    <cellStyle name="Normal 8 4 2 7 4" xfId="21342" xr:uid="{C517F622-51B5-4A6D-9105-6BA2905E61C2}"/>
    <cellStyle name="Normal 8 4 2 8" xfId="4869" xr:uid="{00000000-0005-0000-0000-0000F71D0000}"/>
    <cellStyle name="Normal 8 4 2 8 2" xfId="14195" xr:uid="{FF7B0CC7-AC95-4666-9DEC-B7310ADE34D0}"/>
    <cellStyle name="Normal 8 4 2 8 3" xfId="23494" xr:uid="{2C1849CE-5855-40A8-B467-B9E6BC4C1E80}"/>
    <cellStyle name="Normal 8 4 2 9" xfId="8937" xr:uid="{B425CDA4-C1C1-4A6C-AB85-CE28E324A88F}"/>
    <cellStyle name="Normal 8 4 2 9 2" xfId="18261" xr:uid="{C1A0022F-5353-46D3-A15D-6CB3455EEFA6}"/>
    <cellStyle name="Normal 8 4 2 9 3" xfId="27559" xr:uid="{8B106D8A-E7B1-41D0-BB1A-4EB059B67523}"/>
    <cellStyle name="Normal 8 4 3" xfId="506" xr:uid="{00000000-0005-0000-0000-0000F81D0000}"/>
    <cellStyle name="Normal 8 4 3 10" xfId="19279" xr:uid="{21E2E394-C680-42C6-8A90-4DE912F1D3F6}"/>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F1E0ED2A-A426-4201-8932-14EC6E6B5B2D}"/>
    <cellStyle name="Normal 8 4 3 2 2 2 3" xfId="26054" xr:uid="{CBCB2868-98B5-4EBA-AFF6-8EA4C545FA3D}"/>
    <cellStyle name="Normal 8 4 3 2 2 3" xfId="12538" xr:uid="{C865AF9B-147C-45D4-B235-E757326BBC00}"/>
    <cellStyle name="Normal 8 4 3 2 2 4" xfId="21837" xr:uid="{D1F9A937-77ED-4F3D-8EE1-827C8DCAA2FB}"/>
    <cellStyle name="Normal 8 4 3 2 3" xfId="5284" xr:uid="{00000000-0005-0000-0000-0000FC1D0000}"/>
    <cellStyle name="Normal 8 4 3 2 3 2" xfId="14610" xr:uid="{AC5230B5-CC01-446F-90DB-513509FE0466}"/>
    <cellStyle name="Normal 8 4 3 2 3 3" xfId="23909" xr:uid="{E9B2B75F-74A7-4288-95A3-035D330D08BB}"/>
    <cellStyle name="Normal 8 4 3 2 4" xfId="9466" xr:uid="{4C42748F-6D34-4D0D-8AE2-FFD5C0CBE26F}"/>
    <cellStyle name="Normal 8 4 3 2 4 2" xfId="18781" xr:uid="{FB524730-1FF7-4D0D-B421-C854FA6109A5}"/>
    <cellStyle name="Normal 8 4 3 2 4 3" xfId="28078" xr:uid="{6C192AD5-25C4-4C56-830A-68784AF3DA70}"/>
    <cellStyle name="Normal 8 4 3 2 5" xfId="10393" xr:uid="{E98E670E-41E4-4A8C-ADBB-60631BBF407B}"/>
    <cellStyle name="Normal 8 4 3 2 6" xfId="19692" xr:uid="{6BB958D2-C5BB-4562-A710-57128E501F35}"/>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4A0DE0BE-D857-4C74-9244-5BD1035E15CE}"/>
    <cellStyle name="Normal 8 4 3 3 2 2 3" xfId="26467" xr:uid="{416EF851-9AAA-4DA2-A884-B216BE831737}"/>
    <cellStyle name="Normal 8 4 3 3 2 3" xfId="12951" xr:uid="{2A95D873-2E10-4B17-851B-8D58EE65A973}"/>
    <cellStyle name="Normal 8 4 3 3 2 4" xfId="22250" xr:uid="{115AD262-1FAC-4A97-8E81-6161E799703E}"/>
    <cellStyle name="Normal 8 4 3 3 3" xfId="5697" xr:uid="{00000000-0005-0000-0000-0000001E0000}"/>
    <cellStyle name="Normal 8 4 3 3 3 2" xfId="15023" xr:uid="{46309407-963A-4513-AF93-271853420ECE}"/>
    <cellStyle name="Normal 8 4 3 3 3 3" xfId="24322" xr:uid="{D6D18285-5011-4517-9BB7-8F9085A4D39E}"/>
    <cellStyle name="Normal 8 4 3 3 4" xfId="10806" xr:uid="{647763B0-3D10-448D-A1E4-9517F7EA12CB}"/>
    <cellStyle name="Normal 8 4 3 3 5" xfId="20105" xr:uid="{582F24BB-3F0C-4BB4-B5FD-4C3A90608F37}"/>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EACAC908-FC23-4FA4-8AF6-8ADFABD9F05A}"/>
    <cellStyle name="Normal 8 4 3 4 2 2 3" xfId="26880" xr:uid="{AFE3B513-7D3C-4A9E-B838-19BB835B4430}"/>
    <cellStyle name="Normal 8 4 3 4 2 3" xfId="13364" xr:uid="{D9BA0DA1-98A5-48AB-B69A-3FA9912DFC7B}"/>
    <cellStyle name="Normal 8 4 3 4 2 4" xfId="22663" xr:uid="{3E088590-FA26-4DD8-8F1C-4DB5DA071883}"/>
    <cellStyle name="Normal 8 4 3 4 3" xfId="6110" xr:uid="{00000000-0005-0000-0000-0000041E0000}"/>
    <cellStyle name="Normal 8 4 3 4 3 2" xfId="15436" xr:uid="{95AC536E-E79E-4827-B61E-7FB3D35A98CD}"/>
    <cellStyle name="Normal 8 4 3 4 3 3" xfId="24735" xr:uid="{62E3C8E4-4E53-41B9-B23E-5EDC004B21D1}"/>
    <cellStyle name="Normal 8 4 3 4 4" xfId="11219" xr:uid="{0ABEE927-8D11-4FD2-99F4-D1D7DDA2213E}"/>
    <cellStyle name="Normal 8 4 3 4 5" xfId="20518" xr:uid="{9A3B6C61-886B-4CAE-90B7-14F940E319EB}"/>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DB057C78-925B-42F5-B12C-A6B16AF2B2AE}"/>
    <cellStyle name="Normal 8 4 3 5 2 2 3" xfId="27293" xr:uid="{03E64047-FC1F-42FA-869B-F04D752701AD}"/>
    <cellStyle name="Normal 8 4 3 5 2 3" xfId="13777" xr:uid="{1C7B809F-CC19-400F-82C4-AC0BB7DD5093}"/>
    <cellStyle name="Normal 8 4 3 5 2 4" xfId="23076" xr:uid="{6E312551-2DAD-4A3C-8EA6-520214E12B72}"/>
    <cellStyle name="Normal 8 4 3 5 3" xfId="6523" xr:uid="{00000000-0005-0000-0000-0000081E0000}"/>
    <cellStyle name="Normal 8 4 3 5 3 2" xfId="15849" xr:uid="{87CCE8A7-607D-4443-9ED8-4977130FD909}"/>
    <cellStyle name="Normal 8 4 3 5 3 3" xfId="25148" xr:uid="{DA15B9A2-C4A9-40D9-8615-6C701D7075C3}"/>
    <cellStyle name="Normal 8 4 3 5 4" xfId="11632" xr:uid="{9C2436A4-EAF0-438B-841F-16BB3E832E86}"/>
    <cellStyle name="Normal 8 4 3 5 5" xfId="20931" xr:uid="{4497A457-8238-4900-AD73-8FDE0F220360}"/>
    <cellStyle name="Normal 8 4 3 6" xfId="2653" xr:uid="{00000000-0005-0000-0000-0000091E0000}"/>
    <cellStyle name="Normal 8 4 3 6 2" xfId="6936" xr:uid="{00000000-0005-0000-0000-00000A1E0000}"/>
    <cellStyle name="Normal 8 4 3 6 2 2" xfId="16262" xr:uid="{44FA4E9D-D797-486B-9E3B-AB38006B6967}"/>
    <cellStyle name="Normal 8 4 3 6 2 3" xfId="25561" xr:uid="{475E6598-0715-47FF-855D-0DBAFF9A4499}"/>
    <cellStyle name="Normal 8 4 3 6 3" xfId="12045" xr:uid="{1F45B8EC-4218-44A3-9AD2-322131329A13}"/>
    <cellStyle name="Normal 8 4 3 6 4" xfId="21344" xr:uid="{FB7465E9-602E-4B88-83BA-3CAF1E822C5B}"/>
    <cellStyle name="Normal 8 4 3 7" xfId="4871" xr:uid="{00000000-0005-0000-0000-00000B1E0000}"/>
    <cellStyle name="Normal 8 4 3 7 2" xfId="14197" xr:uid="{3580F459-9062-446E-A84E-24EA20FAD487}"/>
    <cellStyle name="Normal 8 4 3 7 3" xfId="23496" xr:uid="{D14CF5CE-5B9A-47C3-9036-F14F11D0DACD}"/>
    <cellStyle name="Normal 8 4 3 8" xfId="9041" xr:uid="{3EA15F1E-D38A-4BB8-BEC6-98D9A94BB79B}"/>
    <cellStyle name="Normal 8 4 3 8 2" xfId="18365" xr:uid="{BF58677E-F7E9-44B7-A9FA-C1529F2D6306}"/>
    <cellStyle name="Normal 8 4 3 8 3" xfId="27663" xr:uid="{F1DB33AA-CB95-450B-A16A-77136758D810}"/>
    <cellStyle name="Normal 8 4 3 9" xfId="9980" xr:uid="{3D41E7F8-BE64-43BB-A1CF-9388CC0148F1}"/>
    <cellStyle name="Normal 8 4 4" xfId="970" xr:uid="{00000000-0005-0000-0000-00000C1E0000}"/>
    <cellStyle name="Normal 8 4 4 2" xfId="3204" xr:uid="{00000000-0005-0000-0000-00000D1E0000}"/>
    <cellStyle name="Normal 8 4 4 2 2" xfId="7426" xr:uid="{00000000-0005-0000-0000-00000E1E0000}"/>
    <cellStyle name="Normal 8 4 4 2 2 2" xfId="16752" xr:uid="{B77956AA-7449-4C05-B824-A8F35044D10C}"/>
    <cellStyle name="Normal 8 4 4 2 2 3" xfId="26051" xr:uid="{14DB8911-2721-4C35-A129-4AD302BAF62A}"/>
    <cellStyle name="Normal 8 4 4 2 3" xfId="12535" xr:uid="{19182D1B-C274-4C03-917A-78689E81360B}"/>
    <cellStyle name="Normal 8 4 4 2 4" xfId="21834" xr:uid="{16CBF916-878A-40A4-8DCC-019D073F8BD9}"/>
    <cellStyle name="Normal 8 4 4 3" xfId="5281" xr:uid="{00000000-0005-0000-0000-00000F1E0000}"/>
    <cellStyle name="Normal 8 4 4 3 2" xfId="14607" xr:uid="{EFE24B84-2962-431C-91FF-508D3B385B8E}"/>
    <cellStyle name="Normal 8 4 4 3 3" xfId="23906" xr:uid="{181E3E93-F86D-4E05-A5A9-B6585641DCAE}"/>
    <cellStyle name="Normal 8 4 4 4" xfId="9259" xr:uid="{45904BAA-3C39-482B-A2B6-0FB84C0B889C}"/>
    <cellStyle name="Normal 8 4 4 4 2" xfId="18574" xr:uid="{7399A990-1750-4104-81B0-04D1FEBD0CA6}"/>
    <cellStyle name="Normal 8 4 4 4 3" xfId="27871" xr:uid="{A9140C7C-2198-4AE4-9127-5215FF6A7C6B}"/>
    <cellStyle name="Normal 8 4 4 5" xfId="10390" xr:uid="{C962B291-CF01-4BA5-BF3A-DC97DC6B6CDA}"/>
    <cellStyle name="Normal 8 4 4 6" xfId="19689" xr:uid="{1D5FF7FA-07D0-4698-AA6D-13D149539014}"/>
    <cellStyle name="Normal 8 4 5" xfId="1387" xr:uid="{00000000-0005-0000-0000-0000101E0000}"/>
    <cellStyle name="Normal 8 4 5 2" xfId="3617" xr:uid="{00000000-0005-0000-0000-0000111E0000}"/>
    <cellStyle name="Normal 8 4 5 2 2" xfId="7839" xr:uid="{00000000-0005-0000-0000-0000121E0000}"/>
    <cellStyle name="Normal 8 4 5 2 2 2" xfId="17165" xr:uid="{622DB4B5-41F3-4D9D-B71A-5D07E161F6FA}"/>
    <cellStyle name="Normal 8 4 5 2 2 3" xfId="26464" xr:uid="{C9C4CF0E-772F-4160-81BE-2E18302FA200}"/>
    <cellStyle name="Normal 8 4 5 2 3" xfId="12948" xr:uid="{07A958AC-EFF1-49F0-B531-5DCD22E851AA}"/>
    <cellStyle name="Normal 8 4 5 2 4" xfId="22247" xr:uid="{703426AB-1B19-4307-ACA5-E20604E378F8}"/>
    <cellStyle name="Normal 8 4 5 3" xfId="5694" xr:uid="{00000000-0005-0000-0000-0000131E0000}"/>
    <cellStyle name="Normal 8 4 5 3 2" xfId="15020" xr:uid="{752CB52A-D565-4BBE-9B73-18CA0975DD03}"/>
    <cellStyle name="Normal 8 4 5 3 3" xfId="24319" xr:uid="{DF9BBE49-68F8-465E-8D60-AC1164AD9709}"/>
    <cellStyle name="Normal 8 4 5 4" xfId="10803" xr:uid="{F479B9EE-B636-44B9-9937-CCFD86F34EC5}"/>
    <cellStyle name="Normal 8 4 5 5" xfId="20102" xr:uid="{DBEC74F0-00D3-43E1-A671-34A7DD9D0BD9}"/>
    <cellStyle name="Normal 8 4 6" xfId="1800" xr:uid="{00000000-0005-0000-0000-0000141E0000}"/>
    <cellStyle name="Normal 8 4 6 2" xfId="4030" xr:uid="{00000000-0005-0000-0000-0000151E0000}"/>
    <cellStyle name="Normal 8 4 6 2 2" xfId="8252" xr:uid="{00000000-0005-0000-0000-0000161E0000}"/>
    <cellStyle name="Normal 8 4 6 2 2 2" xfId="17578" xr:uid="{5849E172-F874-4B40-B2EC-275C7D8BEA6A}"/>
    <cellStyle name="Normal 8 4 6 2 2 3" xfId="26877" xr:uid="{3F98A65A-7827-4A64-8721-519829771878}"/>
    <cellStyle name="Normal 8 4 6 2 3" xfId="13361" xr:uid="{8C77F0BA-22AC-4F27-AB14-68F73E2299F0}"/>
    <cellStyle name="Normal 8 4 6 2 4" xfId="22660" xr:uid="{059F3F66-FDEB-420B-9B60-F242986EB809}"/>
    <cellStyle name="Normal 8 4 6 3" xfId="6107" xr:uid="{00000000-0005-0000-0000-0000171E0000}"/>
    <cellStyle name="Normal 8 4 6 3 2" xfId="15433" xr:uid="{02CEBC8D-3039-436E-A39C-74693AA709F5}"/>
    <cellStyle name="Normal 8 4 6 3 3" xfId="24732" xr:uid="{68F939C9-3A21-4B2B-B636-03BA077D7280}"/>
    <cellStyle name="Normal 8 4 6 4" xfId="11216" xr:uid="{17DCCD3A-73A6-4A27-876A-6DA31D861058}"/>
    <cellStyle name="Normal 8 4 6 5" xfId="20515" xr:uid="{823D00FB-569A-4B30-AF77-791CC5659D81}"/>
    <cellStyle name="Normal 8 4 7" xfId="2214" xr:uid="{00000000-0005-0000-0000-0000181E0000}"/>
    <cellStyle name="Normal 8 4 7 2" xfId="4443" xr:uid="{00000000-0005-0000-0000-0000191E0000}"/>
    <cellStyle name="Normal 8 4 7 2 2" xfId="8665" xr:uid="{00000000-0005-0000-0000-00001A1E0000}"/>
    <cellStyle name="Normal 8 4 7 2 2 2" xfId="17991" xr:uid="{46A46392-802C-4BA8-B414-665B9C676CBB}"/>
    <cellStyle name="Normal 8 4 7 2 2 3" xfId="27290" xr:uid="{FA6FDBDA-260F-4AE5-BE7F-90DFD2F1B26F}"/>
    <cellStyle name="Normal 8 4 7 2 3" xfId="13774" xr:uid="{8A04F9A5-522D-4B71-AF9E-7C15BDBA0EF1}"/>
    <cellStyle name="Normal 8 4 7 2 4" xfId="23073" xr:uid="{6A906186-90CA-4CEE-A139-85A3762C8C19}"/>
    <cellStyle name="Normal 8 4 7 3" xfId="6520" xr:uid="{00000000-0005-0000-0000-00001B1E0000}"/>
    <cellStyle name="Normal 8 4 7 3 2" xfId="15846" xr:uid="{DD7CB813-2304-4395-ADE4-376A247A4C22}"/>
    <cellStyle name="Normal 8 4 7 3 3" xfId="25145" xr:uid="{A43C2ABD-9D50-4A92-AFFF-9D7D7F7557A9}"/>
    <cellStyle name="Normal 8 4 7 4" xfId="11629" xr:uid="{124E304D-0536-4089-A2B2-CDFB12CA4E81}"/>
    <cellStyle name="Normal 8 4 7 5" xfId="20928" xr:uid="{013F07CF-77D7-4C92-B475-876ED919D86A}"/>
    <cellStyle name="Normal 8 4 8" xfId="2650" xr:uid="{00000000-0005-0000-0000-00001C1E0000}"/>
    <cellStyle name="Normal 8 4 8 2" xfId="6933" xr:uid="{00000000-0005-0000-0000-00001D1E0000}"/>
    <cellStyle name="Normal 8 4 8 2 2" xfId="16259" xr:uid="{40705D02-1A42-4AB7-90D7-3ACD479727AE}"/>
    <cellStyle name="Normal 8 4 8 2 3" xfId="25558" xr:uid="{A4BB122F-27B4-4AD6-A009-6F8263E4F3C7}"/>
    <cellStyle name="Normal 8 4 8 3" xfId="12042" xr:uid="{C959499D-A926-4904-8568-EA6BC14DBF70}"/>
    <cellStyle name="Normal 8 4 8 4" xfId="21341" xr:uid="{035CF1C3-D68D-440D-8021-3DAAA77E3B1A}"/>
    <cellStyle name="Normal 8 4 9" xfId="4868" xr:uid="{00000000-0005-0000-0000-00001E1E0000}"/>
    <cellStyle name="Normal 8 4 9 2" xfId="14194" xr:uid="{55395913-9786-49AB-893E-D7EE9461A4C9}"/>
    <cellStyle name="Normal 8 4 9 3" xfId="23493" xr:uid="{B472288C-DB67-457F-A6DC-E2E81B9BFAFB}"/>
    <cellStyle name="Normal 8 5" xfId="507" xr:uid="{00000000-0005-0000-0000-00001F1E0000}"/>
    <cellStyle name="Normal 8 5 10" xfId="9981" xr:uid="{068EFA83-FBC4-41CF-9EBB-7A3A7A738A6F}"/>
    <cellStyle name="Normal 8 5 11" xfId="19280" xr:uid="{F80D663D-1261-48C3-9B2D-13AF46681A0A}"/>
    <cellStyle name="Normal 8 5 2" xfId="508" xr:uid="{00000000-0005-0000-0000-0000201E0000}"/>
    <cellStyle name="Normal 8 5 2 10" xfId="19281" xr:uid="{7BA541F7-3F53-4F63-A6A6-54699C15EF76}"/>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3EB628FC-4484-481A-AE07-FEC68B97E6DB}"/>
    <cellStyle name="Normal 8 5 2 2 2 2 3" xfId="26056" xr:uid="{25291DFB-A997-42C4-8BCC-00FDFB67D672}"/>
    <cellStyle name="Normal 8 5 2 2 2 3" xfId="12540" xr:uid="{DAC6B416-C99E-498D-B632-6F91993AA2DB}"/>
    <cellStyle name="Normal 8 5 2 2 2 4" xfId="21839" xr:uid="{1CDF80D8-E1F6-4CDF-9E6C-D8CA6813A751}"/>
    <cellStyle name="Normal 8 5 2 2 3" xfId="5286" xr:uid="{00000000-0005-0000-0000-0000241E0000}"/>
    <cellStyle name="Normal 8 5 2 2 3 2" xfId="14612" xr:uid="{CE1C4CBF-6B18-4BC0-AAD3-CF6CF15F8108}"/>
    <cellStyle name="Normal 8 5 2 2 3 3" xfId="23911" xr:uid="{8F8B3EBD-E811-4CBF-BE76-64C4ABBE24D1}"/>
    <cellStyle name="Normal 8 5 2 2 4" xfId="9477" xr:uid="{62ED1F43-6081-4B0B-94C3-5999D37D11C7}"/>
    <cellStyle name="Normal 8 5 2 2 4 2" xfId="18792" xr:uid="{33993A3E-1A80-4CE5-B135-673301BB4717}"/>
    <cellStyle name="Normal 8 5 2 2 4 3" xfId="28089" xr:uid="{B94E10B2-3C48-44F1-AA29-8554B3A1307E}"/>
    <cellStyle name="Normal 8 5 2 2 5" xfId="10395" xr:uid="{6694FFA2-1DE7-4408-AB22-0A78FA71CD06}"/>
    <cellStyle name="Normal 8 5 2 2 6" xfId="19694" xr:uid="{33D422A4-E021-4C62-B4F4-913ADED8DB1E}"/>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997F1733-1A1F-4A01-A278-4B827AD38E72}"/>
    <cellStyle name="Normal 8 5 2 3 2 2 3" xfId="26469" xr:uid="{8A0A722B-0320-4BD1-B3C4-918FDEE3D896}"/>
    <cellStyle name="Normal 8 5 2 3 2 3" xfId="12953" xr:uid="{2EFC7D97-22D0-43E0-8780-CBDACE161B33}"/>
    <cellStyle name="Normal 8 5 2 3 2 4" xfId="22252" xr:uid="{9F4CD8AC-4640-4825-8357-61A4E3A21EF9}"/>
    <cellStyle name="Normal 8 5 2 3 3" xfId="5699" xr:uid="{00000000-0005-0000-0000-0000281E0000}"/>
    <cellStyle name="Normal 8 5 2 3 3 2" xfId="15025" xr:uid="{E98F520B-FF57-4CBB-BFF9-B410ED0738A9}"/>
    <cellStyle name="Normal 8 5 2 3 3 3" xfId="24324" xr:uid="{5E5B0477-1D8E-4CCB-A145-AD3DD7531003}"/>
    <cellStyle name="Normal 8 5 2 3 4" xfId="10808" xr:uid="{259A1E62-34CF-4CCB-88F8-9A49D55E8D7E}"/>
    <cellStyle name="Normal 8 5 2 3 5" xfId="20107" xr:uid="{C1D4D8BC-7F0C-401E-B559-0EF8A3828643}"/>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9FF6A536-0121-4289-96A1-48542468EE93}"/>
    <cellStyle name="Normal 8 5 2 4 2 2 3" xfId="26882" xr:uid="{FC0E2CF7-780F-4A1E-A84C-1FA424E71555}"/>
    <cellStyle name="Normal 8 5 2 4 2 3" xfId="13366" xr:uid="{CDE7FA10-CDB5-4CB6-BB2F-DC77CF2204B7}"/>
    <cellStyle name="Normal 8 5 2 4 2 4" xfId="22665" xr:uid="{2BE771C4-F66A-4103-9B23-861B48BBF042}"/>
    <cellStyle name="Normal 8 5 2 4 3" xfId="6112" xr:uid="{00000000-0005-0000-0000-00002C1E0000}"/>
    <cellStyle name="Normal 8 5 2 4 3 2" xfId="15438" xr:uid="{0A785ED3-DF7A-45FA-8470-04B1FE878EA8}"/>
    <cellStyle name="Normal 8 5 2 4 3 3" xfId="24737" xr:uid="{69299DAD-A011-4FCD-9112-4981A9DA084E}"/>
    <cellStyle name="Normal 8 5 2 4 4" xfId="11221" xr:uid="{1F2BC639-B870-4130-9C13-A733B1290154}"/>
    <cellStyle name="Normal 8 5 2 4 5" xfId="20520" xr:uid="{C66E96E1-375D-46F7-8414-60FE84018C8A}"/>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3EA850AD-22B5-47C6-9E41-025FC0FADE28}"/>
    <cellStyle name="Normal 8 5 2 5 2 2 3" xfId="27295" xr:uid="{CFF4A49F-49B3-4867-972F-46C7F2510607}"/>
    <cellStyle name="Normal 8 5 2 5 2 3" xfId="13779" xr:uid="{154C0AB1-1078-4EC5-88ED-DCA4CD3E1366}"/>
    <cellStyle name="Normal 8 5 2 5 2 4" xfId="23078" xr:uid="{3755EEF9-EB70-4E0F-85C7-F3CD5882B069}"/>
    <cellStyle name="Normal 8 5 2 5 3" xfId="6525" xr:uid="{00000000-0005-0000-0000-0000301E0000}"/>
    <cellStyle name="Normal 8 5 2 5 3 2" xfId="15851" xr:uid="{73EA4288-EB3D-4959-B7AB-0E34F767E4B2}"/>
    <cellStyle name="Normal 8 5 2 5 3 3" xfId="25150" xr:uid="{7209C67D-7988-466A-8A10-563B28B79A62}"/>
    <cellStyle name="Normal 8 5 2 5 4" xfId="11634" xr:uid="{D9843C61-B517-4091-B109-38D3055D5C0B}"/>
    <cellStyle name="Normal 8 5 2 5 5" xfId="20933" xr:uid="{7E27D042-9F7D-41CA-A4E1-4FA31EA2F883}"/>
    <cellStyle name="Normal 8 5 2 6" xfId="2655" xr:uid="{00000000-0005-0000-0000-0000311E0000}"/>
    <cellStyle name="Normal 8 5 2 6 2" xfId="6938" xr:uid="{00000000-0005-0000-0000-0000321E0000}"/>
    <cellStyle name="Normal 8 5 2 6 2 2" xfId="16264" xr:uid="{877B343C-9615-4F0F-A878-D1843E970897}"/>
    <cellStyle name="Normal 8 5 2 6 2 3" xfId="25563" xr:uid="{4C276E22-AED7-4CAD-B0BB-AA99A2D5390C}"/>
    <cellStyle name="Normal 8 5 2 6 3" xfId="12047" xr:uid="{FC1C2F78-A446-4926-A493-54EAE6D098CA}"/>
    <cellStyle name="Normal 8 5 2 6 4" xfId="21346" xr:uid="{BEF8B2D4-51B5-41A6-86DF-C2291AA9A090}"/>
    <cellStyle name="Normal 8 5 2 7" xfId="4873" xr:uid="{00000000-0005-0000-0000-0000331E0000}"/>
    <cellStyle name="Normal 8 5 2 7 2" xfId="14199" xr:uid="{6131B54F-87BD-47C7-9CDB-1F2032AF40D9}"/>
    <cellStyle name="Normal 8 5 2 7 3" xfId="23498" xr:uid="{32E85D2D-1A2E-48EE-BB33-05C87FE7A95C}"/>
    <cellStyle name="Normal 8 5 2 8" xfId="9052" xr:uid="{D754D15A-EECE-4975-9542-AF3C340304E3}"/>
    <cellStyle name="Normal 8 5 2 8 2" xfId="18376" xr:uid="{617985C1-5BFF-41B8-B348-F420F115BE1E}"/>
    <cellStyle name="Normal 8 5 2 8 3" xfId="27674" xr:uid="{C693F7A4-A422-4F9E-A0E8-B74C8AD71BFE}"/>
    <cellStyle name="Normal 8 5 2 9" xfId="9982" xr:uid="{C82D15C0-D9E0-4A57-B9DA-6F09E8D638F2}"/>
    <cellStyle name="Normal 8 5 3" xfId="974" xr:uid="{00000000-0005-0000-0000-0000341E0000}"/>
    <cellStyle name="Normal 8 5 3 2" xfId="3208" xr:uid="{00000000-0005-0000-0000-0000351E0000}"/>
    <cellStyle name="Normal 8 5 3 2 2" xfId="7430" xr:uid="{00000000-0005-0000-0000-0000361E0000}"/>
    <cellStyle name="Normal 8 5 3 2 2 2" xfId="16756" xr:uid="{8D506F96-4663-4894-AAFF-E2459EA48B34}"/>
    <cellStyle name="Normal 8 5 3 2 2 3" xfId="26055" xr:uid="{43D00ACB-9BC1-4966-91E4-B882642088A2}"/>
    <cellStyle name="Normal 8 5 3 2 3" xfId="12539" xr:uid="{A4CCBA44-05EC-4355-BD0B-0C7F104F6702}"/>
    <cellStyle name="Normal 8 5 3 2 4" xfId="21838" xr:uid="{B3A6B606-7E99-46A6-9765-58B5D8F20479}"/>
    <cellStyle name="Normal 8 5 3 3" xfId="5285" xr:uid="{00000000-0005-0000-0000-0000371E0000}"/>
    <cellStyle name="Normal 8 5 3 3 2" xfId="14611" xr:uid="{6AFDB20D-7D40-49CF-ABB0-CB09583A36C7}"/>
    <cellStyle name="Normal 8 5 3 3 3" xfId="23910" xr:uid="{6F35D229-0855-490D-82F3-0E5321E935A5}"/>
    <cellStyle name="Normal 8 5 3 4" xfId="9270" xr:uid="{88F9D262-71F2-4DD2-A7F6-B0DCE74ABD45}"/>
    <cellStyle name="Normal 8 5 3 4 2" xfId="18585" xr:uid="{6BA57AE1-5EE1-4CD4-89CB-CB11CB3ECA6A}"/>
    <cellStyle name="Normal 8 5 3 4 3" xfId="27882" xr:uid="{F6DC34A5-1824-4297-ADB4-28F865162BF0}"/>
    <cellStyle name="Normal 8 5 3 5" xfId="10394" xr:uid="{B880AF69-4CC7-48BB-88CE-1D0CF6923860}"/>
    <cellStyle name="Normal 8 5 3 6" xfId="19693" xr:uid="{2BC6FC8B-1C2B-4613-8EA8-541426E316EF}"/>
    <cellStyle name="Normal 8 5 4" xfId="1391" xr:uid="{00000000-0005-0000-0000-0000381E0000}"/>
    <cellStyle name="Normal 8 5 4 2" xfId="3621" xr:uid="{00000000-0005-0000-0000-0000391E0000}"/>
    <cellStyle name="Normal 8 5 4 2 2" xfId="7843" xr:uid="{00000000-0005-0000-0000-00003A1E0000}"/>
    <cellStyle name="Normal 8 5 4 2 2 2" xfId="17169" xr:uid="{271DA82E-429C-4384-92F1-C9DEC697038D}"/>
    <cellStyle name="Normal 8 5 4 2 2 3" xfId="26468" xr:uid="{6F58D85A-2E06-4979-8D71-DCD751451290}"/>
    <cellStyle name="Normal 8 5 4 2 3" xfId="12952" xr:uid="{29C5B0EE-CB20-4159-A346-CBC867A9194C}"/>
    <cellStyle name="Normal 8 5 4 2 4" xfId="22251" xr:uid="{DADF77C0-7E77-4007-B676-BC80C38A5CCB}"/>
    <cellStyle name="Normal 8 5 4 3" xfId="5698" xr:uid="{00000000-0005-0000-0000-00003B1E0000}"/>
    <cellStyle name="Normal 8 5 4 3 2" xfId="15024" xr:uid="{0703BB5F-7F9E-4953-9006-E7F4BC31AD63}"/>
    <cellStyle name="Normal 8 5 4 3 3" xfId="24323" xr:uid="{4676872A-271B-4BB7-94A5-1F627B2BF171}"/>
    <cellStyle name="Normal 8 5 4 4" xfId="10807" xr:uid="{F27EF0A3-E073-4B40-84BB-85D35711159A}"/>
    <cellStyle name="Normal 8 5 4 5" xfId="20106" xr:uid="{C0EA7043-8FFF-45CB-BE10-1651E481E0A4}"/>
    <cellStyle name="Normal 8 5 5" xfId="1804" xr:uid="{00000000-0005-0000-0000-00003C1E0000}"/>
    <cellStyle name="Normal 8 5 5 2" xfId="4034" xr:uid="{00000000-0005-0000-0000-00003D1E0000}"/>
    <cellStyle name="Normal 8 5 5 2 2" xfId="8256" xr:uid="{00000000-0005-0000-0000-00003E1E0000}"/>
    <cellStyle name="Normal 8 5 5 2 2 2" xfId="17582" xr:uid="{022E079F-19C7-4D2C-9F36-2ECE2C02108F}"/>
    <cellStyle name="Normal 8 5 5 2 2 3" xfId="26881" xr:uid="{47E0AC66-D2F5-4D0C-9660-4910E899A1A8}"/>
    <cellStyle name="Normal 8 5 5 2 3" xfId="13365" xr:uid="{7E52C83D-BB45-4A8D-9A38-1E6A3155B368}"/>
    <cellStyle name="Normal 8 5 5 2 4" xfId="22664" xr:uid="{E717935B-816E-437D-A6E3-D2EA7E43BCDC}"/>
    <cellStyle name="Normal 8 5 5 3" xfId="6111" xr:uid="{00000000-0005-0000-0000-00003F1E0000}"/>
    <cellStyle name="Normal 8 5 5 3 2" xfId="15437" xr:uid="{3DA63CD6-56D2-4397-8F17-E6DA27AD44CB}"/>
    <cellStyle name="Normal 8 5 5 3 3" xfId="24736" xr:uid="{45512DC9-120C-4DE8-9B92-C9160782BEFB}"/>
    <cellStyle name="Normal 8 5 5 4" xfId="11220" xr:uid="{717C4479-3E81-42FE-83D9-46D9C486BE34}"/>
    <cellStyle name="Normal 8 5 5 5" xfId="20519" xr:uid="{4747E0A0-A5BD-4BF0-B07F-81CE03502DDF}"/>
    <cellStyle name="Normal 8 5 6" xfId="2218" xr:uid="{00000000-0005-0000-0000-0000401E0000}"/>
    <cellStyle name="Normal 8 5 6 2" xfId="4447" xr:uid="{00000000-0005-0000-0000-0000411E0000}"/>
    <cellStyle name="Normal 8 5 6 2 2" xfId="8669" xr:uid="{00000000-0005-0000-0000-0000421E0000}"/>
    <cellStyle name="Normal 8 5 6 2 2 2" xfId="17995" xr:uid="{201F78FB-43F7-4C67-994F-8342BBDA8A5F}"/>
    <cellStyle name="Normal 8 5 6 2 2 3" xfId="27294" xr:uid="{86C06402-C592-4D77-B56C-A404E5B21572}"/>
    <cellStyle name="Normal 8 5 6 2 3" xfId="13778" xr:uid="{9AF9E769-AFD5-4EB2-8125-837D22269149}"/>
    <cellStyle name="Normal 8 5 6 2 4" xfId="23077" xr:uid="{C6F0E38B-0B21-4512-84CC-A780EEC7AC6A}"/>
    <cellStyle name="Normal 8 5 6 3" xfId="6524" xr:uid="{00000000-0005-0000-0000-0000431E0000}"/>
    <cellStyle name="Normal 8 5 6 3 2" xfId="15850" xr:uid="{B4BB2B08-8E12-49F1-883F-0D40CC020E6C}"/>
    <cellStyle name="Normal 8 5 6 3 3" xfId="25149" xr:uid="{0789AF97-F952-40D6-AEF9-103D97D9BE42}"/>
    <cellStyle name="Normal 8 5 6 4" xfId="11633" xr:uid="{1142149D-E56B-42FA-AB07-DA1A5CEDB1BB}"/>
    <cellStyle name="Normal 8 5 6 5" xfId="20932" xr:uid="{119C7F29-179D-4B82-974A-AD9B02612239}"/>
    <cellStyle name="Normal 8 5 7" xfId="2654" xr:uid="{00000000-0005-0000-0000-0000441E0000}"/>
    <cellStyle name="Normal 8 5 7 2" xfId="6937" xr:uid="{00000000-0005-0000-0000-0000451E0000}"/>
    <cellStyle name="Normal 8 5 7 2 2" xfId="16263" xr:uid="{A19DFFE7-70B1-434C-91FD-413E44E78F6B}"/>
    <cellStyle name="Normal 8 5 7 2 3" xfId="25562" xr:uid="{8878398A-E157-4F2F-A00F-9848E7A449F2}"/>
    <cellStyle name="Normal 8 5 7 3" xfId="12046" xr:uid="{D2A20396-8880-4A0C-80B6-871D1BBFAA13}"/>
    <cellStyle name="Normal 8 5 7 4" xfId="21345" xr:uid="{5101E7BF-9011-4FFA-8FB8-DED5D9E5FD2E}"/>
    <cellStyle name="Normal 8 5 8" xfId="4872" xr:uid="{00000000-0005-0000-0000-0000461E0000}"/>
    <cellStyle name="Normal 8 5 8 2" xfId="14198" xr:uid="{D3311F78-011C-4FFE-9FEE-5919683B8092}"/>
    <cellStyle name="Normal 8 5 8 3" xfId="23497" xr:uid="{7FF7B4FD-87CA-4A73-AC54-F378050501CA}"/>
    <cellStyle name="Normal 8 5 9" xfId="8845" xr:uid="{C8167C67-59BC-42DE-816D-718433EFB28C}"/>
    <cellStyle name="Normal 8 5 9 2" xfId="18169" xr:uid="{059D21C0-172B-43E1-AA26-DDF2FD9D3171}"/>
    <cellStyle name="Normal 8 5 9 3" xfId="27467" xr:uid="{F1244506-86B0-47E4-B1CC-1F5195B88811}"/>
    <cellStyle name="Normal 8 6" xfId="509" xr:uid="{00000000-0005-0000-0000-0000471E0000}"/>
    <cellStyle name="Normal 8 6 10" xfId="19282" xr:uid="{22B5C7E6-B28E-4FF7-8281-770DD861E611}"/>
    <cellStyle name="Normal 8 6 2" xfId="976" xr:uid="{00000000-0005-0000-0000-0000481E0000}"/>
    <cellStyle name="Normal 8 6 2 2" xfId="3210" xr:uid="{00000000-0005-0000-0000-0000491E0000}"/>
    <cellStyle name="Normal 8 6 2 2 2" xfId="7432" xr:uid="{00000000-0005-0000-0000-00004A1E0000}"/>
    <cellStyle name="Normal 8 6 2 2 2 2" xfId="16758" xr:uid="{5D4D2A60-1FC7-4561-BB5E-921100AE8FAB}"/>
    <cellStyle name="Normal 8 6 2 2 2 3" xfId="26057" xr:uid="{B30AD840-3982-4811-9376-D4D0A7549212}"/>
    <cellStyle name="Normal 8 6 2 2 3" xfId="12541" xr:uid="{1919AD7F-9FB5-4481-B505-46AC9771C355}"/>
    <cellStyle name="Normal 8 6 2 2 4" xfId="21840" xr:uid="{F755FEE5-6BAC-4BD6-8BBA-2C272E6A2D65}"/>
    <cellStyle name="Normal 8 6 2 3" xfId="5287" xr:uid="{00000000-0005-0000-0000-00004B1E0000}"/>
    <cellStyle name="Normal 8 6 2 3 2" xfId="14613" xr:uid="{C381C245-7AE1-46A4-82A4-3EE664415C99}"/>
    <cellStyle name="Normal 8 6 2 3 3" xfId="23912" xr:uid="{2F135B73-84D7-4E8D-8B8B-B0BD4465A58D}"/>
    <cellStyle name="Normal 8 6 2 4" xfId="9386" xr:uid="{45A5CE0D-B006-45BB-A53E-22B23F4367E3}"/>
    <cellStyle name="Normal 8 6 2 4 2" xfId="18701" xr:uid="{C4485789-4E2F-4827-95A9-52ED3EE6F2C7}"/>
    <cellStyle name="Normal 8 6 2 4 3" xfId="27998" xr:uid="{44132B2A-E421-47F5-9107-A74894863E7D}"/>
    <cellStyle name="Normal 8 6 2 5" xfId="10396" xr:uid="{52735189-9011-4D2D-BEE0-FEB4208ADBBC}"/>
    <cellStyle name="Normal 8 6 2 6" xfId="19695" xr:uid="{BDB49D73-14EE-4BC5-A8A1-E792F298FF71}"/>
    <cellStyle name="Normal 8 6 3" xfId="1393" xr:uid="{00000000-0005-0000-0000-00004C1E0000}"/>
    <cellStyle name="Normal 8 6 3 2" xfId="3623" xr:uid="{00000000-0005-0000-0000-00004D1E0000}"/>
    <cellStyle name="Normal 8 6 3 2 2" xfId="7845" xr:uid="{00000000-0005-0000-0000-00004E1E0000}"/>
    <cellStyle name="Normal 8 6 3 2 2 2" xfId="17171" xr:uid="{0B40CE94-4C70-4456-8BC4-0AD1A0DD1AEE}"/>
    <cellStyle name="Normal 8 6 3 2 2 3" xfId="26470" xr:uid="{35C767CA-8370-4641-8D63-821DF624DDDF}"/>
    <cellStyle name="Normal 8 6 3 2 3" xfId="12954" xr:uid="{6019FDFD-8FB5-4998-BFB0-C7992F3A2CC4}"/>
    <cellStyle name="Normal 8 6 3 2 4" xfId="22253" xr:uid="{27433CF8-41A2-4F42-AC0A-99927CFB4DD7}"/>
    <cellStyle name="Normal 8 6 3 3" xfId="5700" xr:uid="{00000000-0005-0000-0000-00004F1E0000}"/>
    <cellStyle name="Normal 8 6 3 3 2" xfId="15026" xr:uid="{0A97A9F4-FEA6-4B17-A17F-E736B6B92323}"/>
    <cellStyle name="Normal 8 6 3 3 3" xfId="24325" xr:uid="{2E015419-D7E9-4DC8-98D2-1B1006E09A16}"/>
    <cellStyle name="Normal 8 6 3 4" xfId="10809" xr:uid="{DF0D7A2B-A43B-415E-96AB-A7A8640B5604}"/>
    <cellStyle name="Normal 8 6 3 5" xfId="20108" xr:uid="{06F16F36-6342-490A-8E1D-874B681996B0}"/>
    <cellStyle name="Normal 8 6 4" xfId="1806" xr:uid="{00000000-0005-0000-0000-0000501E0000}"/>
    <cellStyle name="Normal 8 6 4 2" xfId="4036" xr:uid="{00000000-0005-0000-0000-0000511E0000}"/>
    <cellStyle name="Normal 8 6 4 2 2" xfId="8258" xr:uid="{00000000-0005-0000-0000-0000521E0000}"/>
    <cellStyle name="Normal 8 6 4 2 2 2" xfId="17584" xr:uid="{39A5594F-08AC-496E-B1E2-2982A2A0C17E}"/>
    <cellStyle name="Normal 8 6 4 2 2 3" xfId="26883" xr:uid="{2D2DE8AB-94F5-4E29-8742-12D4B8BBBAAF}"/>
    <cellStyle name="Normal 8 6 4 2 3" xfId="13367" xr:uid="{C88C8A55-00AC-462D-9920-973B2E536834}"/>
    <cellStyle name="Normal 8 6 4 2 4" xfId="22666" xr:uid="{3A5D890C-7A96-4CFE-AD4F-CE44AF7910E3}"/>
    <cellStyle name="Normal 8 6 4 3" xfId="6113" xr:uid="{00000000-0005-0000-0000-0000531E0000}"/>
    <cellStyle name="Normal 8 6 4 3 2" xfId="15439" xr:uid="{2014FD3C-7AAF-4C74-8682-01CF8EE8D8A2}"/>
    <cellStyle name="Normal 8 6 4 3 3" xfId="24738" xr:uid="{F1672487-27F5-49FE-916A-BB65C1A6906E}"/>
    <cellStyle name="Normal 8 6 4 4" xfId="11222" xr:uid="{E1939D37-6E40-44E1-B059-ECA226398461}"/>
    <cellStyle name="Normal 8 6 4 5" xfId="20521" xr:uid="{A5AE8511-D601-4655-9729-476D7EA077CF}"/>
    <cellStyle name="Normal 8 6 5" xfId="2220" xr:uid="{00000000-0005-0000-0000-0000541E0000}"/>
    <cellStyle name="Normal 8 6 5 2" xfId="4449" xr:uid="{00000000-0005-0000-0000-0000551E0000}"/>
    <cellStyle name="Normal 8 6 5 2 2" xfId="8671" xr:uid="{00000000-0005-0000-0000-0000561E0000}"/>
    <cellStyle name="Normal 8 6 5 2 2 2" xfId="17997" xr:uid="{03152EFA-64F9-455F-BA3D-6CD0F0ED10CE}"/>
    <cellStyle name="Normal 8 6 5 2 2 3" xfId="27296" xr:uid="{58D0B04E-9782-4EF3-824A-D3644D01E32F}"/>
    <cellStyle name="Normal 8 6 5 2 3" xfId="13780" xr:uid="{2902C672-BAE2-4918-A841-A51C06ADCC7E}"/>
    <cellStyle name="Normal 8 6 5 2 4" xfId="23079" xr:uid="{E2081D7D-8138-4F00-8696-06B986B0BF78}"/>
    <cellStyle name="Normal 8 6 5 3" xfId="6526" xr:uid="{00000000-0005-0000-0000-0000571E0000}"/>
    <cellStyle name="Normal 8 6 5 3 2" xfId="15852" xr:uid="{999F24C3-5E45-48E8-A345-82C79B46A21F}"/>
    <cellStyle name="Normal 8 6 5 3 3" xfId="25151" xr:uid="{0FBAAFE7-AC04-45EB-BF2C-7260AB72FC2E}"/>
    <cellStyle name="Normal 8 6 5 4" xfId="11635" xr:uid="{47E429BD-1EB6-4A36-BD4A-E9E99B316720}"/>
    <cellStyle name="Normal 8 6 5 5" xfId="20934" xr:uid="{85D45A32-8836-49B3-8243-DA07ED2A8EF5}"/>
    <cellStyle name="Normal 8 6 6" xfId="2656" xr:uid="{00000000-0005-0000-0000-0000581E0000}"/>
    <cellStyle name="Normal 8 6 6 2" xfId="6939" xr:uid="{00000000-0005-0000-0000-0000591E0000}"/>
    <cellStyle name="Normal 8 6 6 2 2" xfId="16265" xr:uid="{68F5D9E1-F2C9-45A3-B769-F3B053663606}"/>
    <cellStyle name="Normal 8 6 6 2 3" xfId="25564" xr:uid="{12E98229-69F1-49A4-B972-122F5C958591}"/>
    <cellStyle name="Normal 8 6 6 3" xfId="12048" xr:uid="{D3922DFE-A173-4393-9354-D30C71EDD00E}"/>
    <cellStyle name="Normal 8 6 6 4" xfId="21347" xr:uid="{98EFD4E4-56AD-4F42-8739-46995D015EEC}"/>
    <cellStyle name="Normal 8 6 7" xfId="4874" xr:uid="{00000000-0005-0000-0000-00005A1E0000}"/>
    <cellStyle name="Normal 8 6 7 2" xfId="14200" xr:uid="{31751827-CE3F-4A39-A886-085CECA941EC}"/>
    <cellStyle name="Normal 8 6 7 3" xfId="23499" xr:uid="{A601F5F8-97B6-4349-8C71-2EA18708F5A6}"/>
    <cellStyle name="Normal 8 6 8" xfId="8961" xr:uid="{36060843-7B38-46C3-B2F1-7172ECB11EEE}"/>
    <cellStyle name="Normal 8 6 8 2" xfId="18285" xr:uid="{10AFCC51-152B-4C58-838A-FB6C6FC7171A}"/>
    <cellStyle name="Normal 8 6 8 3" xfId="27583" xr:uid="{6DF0DD2C-5B09-4F53-9EF9-221E4031ACF3}"/>
    <cellStyle name="Normal 8 6 9" xfId="9983" xr:uid="{E11B5519-2A59-4E55-90FB-91712FABD3EA}"/>
    <cellStyle name="Normal 8 7" xfId="945" xr:uid="{00000000-0005-0000-0000-00005B1E0000}"/>
    <cellStyle name="Normal 8 7 2" xfId="3179" xr:uid="{00000000-0005-0000-0000-00005C1E0000}"/>
    <cellStyle name="Normal 8 7 2 2" xfId="7401" xr:uid="{00000000-0005-0000-0000-00005D1E0000}"/>
    <cellStyle name="Normal 8 7 2 2 2" xfId="16727" xr:uid="{A4ADD13E-8D9B-49F7-ABBA-EEF0A34A8B06}"/>
    <cellStyle name="Normal 8 7 2 2 3" xfId="26026" xr:uid="{4EF94F66-140F-4020-BB2F-D38A50D47A47}"/>
    <cellStyle name="Normal 8 7 2 3" xfId="12510" xr:uid="{FA00722B-9061-4F9E-B3F6-61BF6E5000C1}"/>
    <cellStyle name="Normal 8 7 2 4" xfId="21809" xr:uid="{A2178101-ED64-4486-89EC-88F9DB3E465B}"/>
    <cellStyle name="Normal 8 7 3" xfId="5256" xr:uid="{00000000-0005-0000-0000-00005E1E0000}"/>
    <cellStyle name="Normal 8 7 3 2" xfId="14582" xr:uid="{51F964ED-57B2-47C7-B9BC-81BD8032A47A}"/>
    <cellStyle name="Normal 8 7 3 3" xfId="23881" xr:uid="{7CC13871-3683-4F83-8553-84A0D46B5724}"/>
    <cellStyle name="Normal 8 7 4" xfId="9164" xr:uid="{EA2ADDDA-E9AC-4FF8-B08B-61B1D6489A46}"/>
    <cellStyle name="Normal 8 7 4 2" xfId="18482" xr:uid="{3FEE8FAA-89B2-423C-908F-AF049CCCFA1D}"/>
    <cellStyle name="Normal 8 7 4 3" xfId="27779" xr:uid="{EE1BED5F-E3BB-4A15-B54C-8D52B8FCA9C0}"/>
    <cellStyle name="Normal 8 7 5" xfId="10365" xr:uid="{F3C18C45-3F4D-4213-968D-51B52E71C9EA}"/>
    <cellStyle name="Normal 8 7 6" xfId="19664" xr:uid="{9FC2B1E8-A1AC-4699-A007-9EBFD15417F9}"/>
    <cellStyle name="Normal 8 8" xfId="1362" xr:uid="{00000000-0005-0000-0000-00005F1E0000}"/>
    <cellStyle name="Normal 8 8 2" xfId="3592" xr:uid="{00000000-0005-0000-0000-0000601E0000}"/>
    <cellStyle name="Normal 8 8 2 2" xfId="7814" xr:uid="{00000000-0005-0000-0000-0000611E0000}"/>
    <cellStyle name="Normal 8 8 2 2 2" xfId="17140" xr:uid="{58798038-74E7-423E-8F5B-A7CC60606A66}"/>
    <cellStyle name="Normal 8 8 2 2 3" xfId="26439" xr:uid="{27C363A3-12F1-4A13-886A-76B13049E2EC}"/>
    <cellStyle name="Normal 8 8 2 3" xfId="12923" xr:uid="{99FE135B-870C-4985-B90D-3BC72DC55DE0}"/>
    <cellStyle name="Normal 8 8 2 4" xfId="22222" xr:uid="{80C0CB85-B3E7-4395-A07E-0C5010C770B6}"/>
    <cellStyle name="Normal 8 8 3" xfId="5669" xr:uid="{00000000-0005-0000-0000-0000621E0000}"/>
    <cellStyle name="Normal 8 8 3 2" xfId="14995" xr:uid="{7B2A0C81-D6E2-4FA4-8DE2-312325C40930}"/>
    <cellStyle name="Normal 8 8 3 3" xfId="24294" xr:uid="{78A6CFA9-B801-4031-8DC5-3E6FECCDB732}"/>
    <cellStyle name="Normal 8 8 4" xfId="10778" xr:uid="{0D5FA9D5-23D0-4438-AA38-012A0A92CFDB}"/>
    <cellStyle name="Normal 8 8 5" xfId="20077" xr:uid="{10320E9B-2551-400D-B298-0D3BF598F9C0}"/>
    <cellStyle name="Normal 8 9" xfId="1775" xr:uid="{00000000-0005-0000-0000-0000631E0000}"/>
    <cellStyle name="Normal 8 9 2" xfId="4005" xr:uid="{00000000-0005-0000-0000-0000641E0000}"/>
    <cellStyle name="Normal 8 9 2 2" xfId="8227" xr:uid="{00000000-0005-0000-0000-0000651E0000}"/>
    <cellStyle name="Normal 8 9 2 2 2" xfId="17553" xr:uid="{B002C938-A7E7-4A45-8B3A-D61BEA3C39DC}"/>
    <cellStyle name="Normal 8 9 2 2 3" xfId="26852" xr:uid="{1B0DA8F9-1CA9-4174-922E-E5E3D558DB40}"/>
    <cellStyle name="Normal 8 9 2 3" xfId="13336" xr:uid="{C4CA7DA1-2762-4A29-A364-2323858D0341}"/>
    <cellStyle name="Normal 8 9 2 4" xfId="22635" xr:uid="{8DAE27C0-E9A6-45D4-9D54-9FA6C32307F3}"/>
    <cellStyle name="Normal 8 9 3" xfId="6082" xr:uid="{00000000-0005-0000-0000-0000661E0000}"/>
    <cellStyle name="Normal 8 9 3 2" xfId="15408" xr:uid="{5DB61520-4BE8-42EE-8A8E-74C12074E6BB}"/>
    <cellStyle name="Normal 8 9 3 3" xfId="24707" xr:uid="{BEE52870-C11E-48D6-9F52-6D3F7338D2E2}"/>
    <cellStyle name="Normal 8 9 4" xfId="11191" xr:uid="{AED49D9F-6804-494E-AE27-2261DAD2E2FA}"/>
    <cellStyle name="Normal 8 9 5" xfId="20490" xr:uid="{97F8E81F-D1FF-418A-A86D-DC6182F3B32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794A0B91-6D3B-498B-A922-A03C0CDC6A14}"/>
    <cellStyle name="Normal 9 2 10 2 3" xfId="25565" xr:uid="{8A341282-0793-43B6-95AC-A374547F5E6B}"/>
    <cellStyle name="Normal 9 2 10 3" xfId="12049" xr:uid="{52C15A57-B35F-487B-B706-8CC2837AFD87}"/>
    <cellStyle name="Normal 9 2 10 4" xfId="21348" xr:uid="{BB03FCC1-96A2-4457-B2A8-5C53D35E025A}"/>
    <cellStyle name="Normal 9 2 11" xfId="4875" xr:uid="{00000000-0005-0000-0000-00006B1E0000}"/>
    <cellStyle name="Normal 9 2 11 2" xfId="14201" xr:uid="{8171F072-8BE1-4399-849D-2A78B07FC2A3}"/>
    <cellStyle name="Normal 9 2 11 3" xfId="23500" xr:uid="{38313112-851B-457C-B00E-3FE45B6E7B3B}"/>
    <cellStyle name="Normal 9 2 12" xfId="8754" xr:uid="{9024D06A-4C5F-4C89-BCDB-29B8C924FF52}"/>
    <cellStyle name="Normal 9 2 12 2" xfId="18078" xr:uid="{DF6A70A2-6314-4F7F-AD98-2C25D2A91BEC}"/>
    <cellStyle name="Normal 9 2 12 3" xfId="27376" xr:uid="{042DC6A5-E9A6-47FC-90A7-711D55DE353D}"/>
    <cellStyle name="Normal 9 2 13" xfId="9984" xr:uid="{D5C305E9-7389-4A93-90F4-67DD575E4E09}"/>
    <cellStyle name="Normal 9 2 14" xfId="19283" xr:uid="{EB58BF1A-C7B4-40DB-BB20-504157B29DCA}"/>
    <cellStyle name="Normal 9 2 2" xfId="512" xr:uid="{00000000-0005-0000-0000-00006C1E0000}"/>
    <cellStyle name="Normal 9 2 2 10" xfId="4876" xr:uid="{00000000-0005-0000-0000-00006D1E0000}"/>
    <cellStyle name="Normal 9 2 2 10 2" xfId="14202" xr:uid="{0B1AB758-48BD-48F7-BD15-59A584754928}"/>
    <cellStyle name="Normal 9 2 2 10 3" xfId="23501" xr:uid="{318D2A82-DD3E-4466-8B62-E0C2EC23E782}"/>
    <cellStyle name="Normal 9 2 2 11" xfId="8785" xr:uid="{3048542E-ED39-45ED-9C91-0140D2CF60D9}"/>
    <cellStyle name="Normal 9 2 2 11 2" xfId="18109" xr:uid="{2540865F-C03D-49A6-A068-42A5EA6C7F22}"/>
    <cellStyle name="Normal 9 2 2 11 3" xfId="27407" xr:uid="{0F23FCEB-4B47-4486-92C7-E3A80AC7667C}"/>
    <cellStyle name="Normal 9 2 2 12" xfId="9985" xr:uid="{5AFFDF09-03C2-4F00-884A-8A482AB298B4}"/>
    <cellStyle name="Normal 9 2 2 13" xfId="19284" xr:uid="{B50D8B73-9569-459F-9210-9ABEB38BC76B}"/>
    <cellStyle name="Normal 9 2 2 2" xfId="513" xr:uid="{00000000-0005-0000-0000-00006E1E0000}"/>
    <cellStyle name="Normal 9 2 2 2 10" xfId="8839" xr:uid="{3B2DC7F4-4F49-4AE2-9279-EFD4857A149B}"/>
    <cellStyle name="Normal 9 2 2 2 10 2" xfId="18163" xr:uid="{5EC9E3EE-21D8-4BE1-BCE4-FF169DFAB00A}"/>
    <cellStyle name="Normal 9 2 2 2 10 3" xfId="27461" xr:uid="{5CCEAAA5-9BD9-4944-AE56-1A15AA8A9D93}"/>
    <cellStyle name="Normal 9 2 2 2 11" xfId="9986" xr:uid="{CB5BC715-09B8-4C63-8902-4C1157D25956}"/>
    <cellStyle name="Normal 9 2 2 2 12" xfId="19285" xr:uid="{3FDE4C11-B27E-4846-A889-B4854AA6CDDF}"/>
    <cellStyle name="Normal 9 2 2 2 2" xfId="514" xr:uid="{00000000-0005-0000-0000-00006F1E0000}"/>
    <cellStyle name="Normal 9 2 2 2 2 10" xfId="9987" xr:uid="{7E342544-529B-4171-ACAF-7A82BF999CCE}"/>
    <cellStyle name="Normal 9 2 2 2 2 11" xfId="19286" xr:uid="{96D969E1-BDE0-4593-B6AF-8250606B5604}"/>
    <cellStyle name="Normal 9 2 2 2 2 2" xfId="515" xr:uid="{00000000-0005-0000-0000-0000701E0000}"/>
    <cellStyle name="Normal 9 2 2 2 2 2 10" xfId="19287" xr:uid="{B342C2F7-D63D-4EBC-87D1-ED8D3E6BF7E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112528C2-7873-4427-BDF6-E6393CF92CF3}"/>
    <cellStyle name="Normal 9 2 2 2 2 2 2 2 2 3" xfId="26062" xr:uid="{1D0B0561-0870-4F35-94F4-50E8737E9CD4}"/>
    <cellStyle name="Normal 9 2 2 2 2 2 2 2 3" xfId="12546" xr:uid="{4FE8F777-09C8-4D47-9C41-9C5FD03BD6A8}"/>
    <cellStyle name="Normal 9 2 2 2 2 2 2 2 4" xfId="21845" xr:uid="{99EE411A-B3DE-47C6-B751-50457BD658EC}"/>
    <cellStyle name="Normal 9 2 2 2 2 2 2 3" xfId="5292" xr:uid="{00000000-0005-0000-0000-0000741E0000}"/>
    <cellStyle name="Normal 9 2 2 2 2 2 2 3 2" xfId="14618" xr:uid="{98A3A41A-FE9B-4604-85DE-63FE07263148}"/>
    <cellStyle name="Normal 9 2 2 2 2 2 2 3 3" xfId="23917" xr:uid="{3204EE52-673A-4164-94CE-F0A78888C77D}"/>
    <cellStyle name="Normal 9 2 2 2 2 2 2 4" xfId="9574" xr:uid="{00EB170D-8A20-4280-B781-E452C3590555}"/>
    <cellStyle name="Normal 9 2 2 2 2 2 2 4 2" xfId="18889" xr:uid="{A2B130E2-3C7A-4948-9322-27338FCFA840}"/>
    <cellStyle name="Normal 9 2 2 2 2 2 2 4 3" xfId="28186" xr:uid="{83FFDF2B-CA95-4373-BD37-7D7F12F22D39}"/>
    <cellStyle name="Normal 9 2 2 2 2 2 2 5" xfId="10401" xr:uid="{D3DBA113-0048-4B5D-A1D7-9E4767B00F79}"/>
    <cellStyle name="Normal 9 2 2 2 2 2 2 6" xfId="19700" xr:uid="{6359A47B-956F-45A5-8CAB-D40FF36A2E4F}"/>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E91035D8-3E71-4F33-A89C-716FE5409B10}"/>
    <cellStyle name="Normal 9 2 2 2 2 2 3 2 2 3" xfId="26475" xr:uid="{2ECEB84F-148B-42C7-9A4D-26CEB88D29A1}"/>
    <cellStyle name="Normal 9 2 2 2 2 2 3 2 3" xfId="12959" xr:uid="{5ACEFAF0-C1E4-45A9-BBA8-089FB9AD9FE6}"/>
    <cellStyle name="Normal 9 2 2 2 2 2 3 2 4" xfId="22258" xr:uid="{683E706B-169C-4F48-9332-D3D1EE678528}"/>
    <cellStyle name="Normal 9 2 2 2 2 2 3 3" xfId="5705" xr:uid="{00000000-0005-0000-0000-0000781E0000}"/>
    <cellStyle name="Normal 9 2 2 2 2 2 3 3 2" xfId="15031" xr:uid="{019F65A1-0A60-442A-8862-5CE24504F26D}"/>
    <cellStyle name="Normal 9 2 2 2 2 2 3 3 3" xfId="24330" xr:uid="{08D7EF71-2D5E-4A02-AA95-E7A3F9BB1D1A}"/>
    <cellStyle name="Normal 9 2 2 2 2 2 3 4" xfId="10814" xr:uid="{1C3A6C40-E028-4869-854B-E7EE1112D569}"/>
    <cellStyle name="Normal 9 2 2 2 2 2 3 5" xfId="20113" xr:uid="{062D6A5A-7E3D-4167-84FF-54A023D3C87D}"/>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8FEF18C3-27DA-4B84-BDDC-E214CBDEEAAF}"/>
    <cellStyle name="Normal 9 2 2 2 2 2 4 2 2 3" xfId="26888" xr:uid="{00047A36-7547-4876-AA67-01599ADF608B}"/>
    <cellStyle name="Normal 9 2 2 2 2 2 4 2 3" xfId="13372" xr:uid="{2AA3819B-AB65-49DC-8487-688942D89C4B}"/>
    <cellStyle name="Normal 9 2 2 2 2 2 4 2 4" xfId="22671" xr:uid="{FB684EB6-3A29-4483-9C35-EE5B2B39521A}"/>
    <cellStyle name="Normal 9 2 2 2 2 2 4 3" xfId="6118" xr:uid="{00000000-0005-0000-0000-00007C1E0000}"/>
    <cellStyle name="Normal 9 2 2 2 2 2 4 3 2" xfId="15444" xr:uid="{DBCA63C1-F754-4877-B733-17D13FC70B1F}"/>
    <cellStyle name="Normal 9 2 2 2 2 2 4 3 3" xfId="24743" xr:uid="{FCF36677-C588-4231-9BCC-A27E51865C5C}"/>
    <cellStyle name="Normal 9 2 2 2 2 2 4 4" xfId="11227" xr:uid="{A8BF5ED1-1D18-4DFB-AF08-CFF06C7E9E11}"/>
    <cellStyle name="Normal 9 2 2 2 2 2 4 5" xfId="20526" xr:uid="{1730C7F1-A93C-45F9-91EB-C66DF0D427A5}"/>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22FC1C41-9816-471E-937B-C6D6B3AD75A9}"/>
    <cellStyle name="Normal 9 2 2 2 2 2 5 2 2 3" xfId="27301" xr:uid="{B8CA808C-A2DF-4414-B433-A2611E17A5DE}"/>
    <cellStyle name="Normal 9 2 2 2 2 2 5 2 3" xfId="13785" xr:uid="{7BD7B7EE-4C2D-467C-8EE6-424D2BAE9FE5}"/>
    <cellStyle name="Normal 9 2 2 2 2 2 5 2 4" xfId="23084" xr:uid="{04C4446F-A4BC-4D55-9A5D-8870135BF820}"/>
    <cellStyle name="Normal 9 2 2 2 2 2 5 3" xfId="6531" xr:uid="{00000000-0005-0000-0000-0000801E0000}"/>
    <cellStyle name="Normal 9 2 2 2 2 2 5 3 2" xfId="15857" xr:uid="{A434631C-68EA-43DD-90BD-F55B4AC0AE92}"/>
    <cellStyle name="Normal 9 2 2 2 2 2 5 3 3" xfId="25156" xr:uid="{255EA5E5-59A2-4588-B76E-A6C85EB77DA6}"/>
    <cellStyle name="Normal 9 2 2 2 2 2 5 4" xfId="11640" xr:uid="{7DF94019-AA04-4B8C-A908-25490F65EEE7}"/>
    <cellStyle name="Normal 9 2 2 2 2 2 5 5" xfId="20939" xr:uid="{EFD9DDA3-A4D2-4257-8700-355ECFAB69EE}"/>
    <cellStyle name="Normal 9 2 2 2 2 2 6" xfId="2661" xr:uid="{00000000-0005-0000-0000-0000811E0000}"/>
    <cellStyle name="Normal 9 2 2 2 2 2 6 2" xfId="6944" xr:uid="{00000000-0005-0000-0000-0000821E0000}"/>
    <cellStyle name="Normal 9 2 2 2 2 2 6 2 2" xfId="16270" xr:uid="{11BCAB0A-0418-426B-A578-E872E5BC53B4}"/>
    <cellStyle name="Normal 9 2 2 2 2 2 6 2 3" xfId="25569" xr:uid="{FD7501BA-41EC-478E-AE5F-44230356AD65}"/>
    <cellStyle name="Normal 9 2 2 2 2 2 6 3" xfId="12053" xr:uid="{F7F2E1A2-8F4C-406D-B8D4-112155891ED5}"/>
    <cellStyle name="Normal 9 2 2 2 2 2 6 4" xfId="21352" xr:uid="{4B6C9B77-5EB1-4197-BF7F-D18253558C77}"/>
    <cellStyle name="Normal 9 2 2 2 2 2 7" xfId="4879" xr:uid="{00000000-0005-0000-0000-0000831E0000}"/>
    <cellStyle name="Normal 9 2 2 2 2 2 7 2" xfId="14205" xr:uid="{3E5EE860-1797-4790-9289-21348E52CEA0}"/>
    <cellStyle name="Normal 9 2 2 2 2 2 7 3" xfId="23504" xr:uid="{56FBB355-6303-4906-A592-1C19E16A258A}"/>
    <cellStyle name="Normal 9 2 2 2 2 2 8" xfId="9149" xr:uid="{6C0BEC1E-EE3B-4956-830C-8775C93DB46A}"/>
    <cellStyle name="Normal 9 2 2 2 2 2 8 2" xfId="18473" xr:uid="{0AF7F244-2658-464D-BD0B-2BB8A05E7743}"/>
    <cellStyle name="Normal 9 2 2 2 2 2 8 3" xfId="27771" xr:uid="{008788FA-A6C5-4BAE-82FA-5E45359696DB}"/>
    <cellStyle name="Normal 9 2 2 2 2 2 9" xfId="9988" xr:uid="{87AF5EB3-FC37-44AB-9DCA-CF977A14CD1D}"/>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27453132-5EE1-4760-80F6-1FC48B5B092D}"/>
    <cellStyle name="Normal 9 2 2 2 2 3 2 2 3" xfId="26061" xr:uid="{69B8E62C-0849-408C-8457-CECBC01222E6}"/>
    <cellStyle name="Normal 9 2 2 2 2 3 2 3" xfId="12545" xr:uid="{04E83CF4-8802-4AC4-88BF-77E9F05951C2}"/>
    <cellStyle name="Normal 9 2 2 2 2 3 2 4" xfId="21844" xr:uid="{C088AFB4-806F-44FF-A78C-8F229925B5F6}"/>
    <cellStyle name="Normal 9 2 2 2 2 3 3" xfId="5291" xr:uid="{00000000-0005-0000-0000-0000871E0000}"/>
    <cellStyle name="Normal 9 2 2 2 2 3 3 2" xfId="14617" xr:uid="{134E102B-F348-4119-B79B-7E5B8BDCE9FF}"/>
    <cellStyle name="Normal 9 2 2 2 2 3 3 3" xfId="23916" xr:uid="{7608AD8B-5712-41EB-8272-68831E323DBC}"/>
    <cellStyle name="Normal 9 2 2 2 2 3 4" xfId="9367" xr:uid="{4A654E22-020A-4B0F-8753-639C44EA908A}"/>
    <cellStyle name="Normal 9 2 2 2 2 3 4 2" xfId="18682" xr:uid="{3BD4B972-7506-45C1-80A4-C72F999368FD}"/>
    <cellStyle name="Normal 9 2 2 2 2 3 4 3" xfId="27979" xr:uid="{21E8606C-29DC-4824-A349-5F01E6E37DFF}"/>
    <cellStyle name="Normal 9 2 2 2 2 3 5" xfId="10400" xr:uid="{17BF1218-7D3E-48C6-BCB0-C2F6F792EDCD}"/>
    <cellStyle name="Normal 9 2 2 2 2 3 6" xfId="19699" xr:uid="{8A0B1291-72FF-44D2-BC06-5B0B36CE3145}"/>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DA647198-BC38-4EE6-9106-A042D120D343}"/>
    <cellStyle name="Normal 9 2 2 2 2 4 2 2 3" xfId="26474" xr:uid="{339C1FBD-979A-446F-A13F-A9D06DEE817E}"/>
    <cellStyle name="Normal 9 2 2 2 2 4 2 3" xfId="12958" xr:uid="{C8532898-25F4-4232-B07D-9D641FE69D25}"/>
    <cellStyle name="Normal 9 2 2 2 2 4 2 4" xfId="22257" xr:uid="{A1F3EFB2-301C-470E-8E1D-D7DE5E0E5A14}"/>
    <cellStyle name="Normal 9 2 2 2 2 4 3" xfId="5704" xr:uid="{00000000-0005-0000-0000-00008B1E0000}"/>
    <cellStyle name="Normal 9 2 2 2 2 4 3 2" xfId="15030" xr:uid="{1354A162-9909-49C4-8763-D0DBB865D86F}"/>
    <cellStyle name="Normal 9 2 2 2 2 4 3 3" xfId="24329" xr:uid="{CB29D53E-B0F8-4549-B7ED-7FC4FC3B62F1}"/>
    <cellStyle name="Normal 9 2 2 2 2 4 4" xfId="10813" xr:uid="{13FA6267-D1C1-4E44-82A5-14A459DC73B2}"/>
    <cellStyle name="Normal 9 2 2 2 2 4 5" xfId="20112" xr:uid="{14F2E976-F58C-40FF-9A6A-FAFE81C3FE0E}"/>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38A329BF-BB13-46FF-946E-6FB674FDEEDE}"/>
    <cellStyle name="Normal 9 2 2 2 2 5 2 2 3" xfId="26887" xr:uid="{B0245D92-2BAE-46EA-BDE7-A469F1068B39}"/>
    <cellStyle name="Normal 9 2 2 2 2 5 2 3" xfId="13371" xr:uid="{F262D697-ACD5-4D0F-8094-349D100EE128}"/>
    <cellStyle name="Normal 9 2 2 2 2 5 2 4" xfId="22670" xr:uid="{495BBE3C-CCA4-4FC0-9630-EF8CD6F62129}"/>
    <cellStyle name="Normal 9 2 2 2 2 5 3" xfId="6117" xr:uid="{00000000-0005-0000-0000-00008F1E0000}"/>
    <cellStyle name="Normal 9 2 2 2 2 5 3 2" xfId="15443" xr:uid="{ED8BEFE2-18F3-40B3-9B30-0D174EE39663}"/>
    <cellStyle name="Normal 9 2 2 2 2 5 3 3" xfId="24742" xr:uid="{EEC8700C-07B0-43BD-B83C-0726CFAC4826}"/>
    <cellStyle name="Normal 9 2 2 2 2 5 4" xfId="11226" xr:uid="{84CB1F0C-D381-439D-8B68-327CADCE095B}"/>
    <cellStyle name="Normal 9 2 2 2 2 5 5" xfId="20525" xr:uid="{4BC7E32E-1130-4389-AC24-930196056EC2}"/>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89021783-F77C-499C-80F2-D06E33BB63CA}"/>
    <cellStyle name="Normal 9 2 2 2 2 6 2 2 3" xfId="27300" xr:uid="{86954AE1-BBAD-4A84-9628-63A712581E9C}"/>
    <cellStyle name="Normal 9 2 2 2 2 6 2 3" xfId="13784" xr:uid="{B370046D-CC15-4102-93A2-AE2AC8CB9CCE}"/>
    <cellStyle name="Normal 9 2 2 2 2 6 2 4" xfId="23083" xr:uid="{4511E712-CCBD-4828-B7B9-2AC769DCAB31}"/>
    <cellStyle name="Normal 9 2 2 2 2 6 3" xfId="6530" xr:uid="{00000000-0005-0000-0000-0000931E0000}"/>
    <cellStyle name="Normal 9 2 2 2 2 6 3 2" xfId="15856" xr:uid="{3C624052-F8E7-463E-A5CB-2FB3BCFC3C84}"/>
    <cellStyle name="Normal 9 2 2 2 2 6 3 3" xfId="25155" xr:uid="{980344DE-CE2B-4DE2-A445-F5F7F0FE7FD3}"/>
    <cellStyle name="Normal 9 2 2 2 2 6 4" xfId="11639" xr:uid="{F08CDC8A-B7ED-4C94-8145-E8161F64631E}"/>
    <cellStyle name="Normal 9 2 2 2 2 6 5" xfId="20938" xr:uid="{8F575877-EDDA-47F0-8EB7-20592813326D}"/>
    <cellStyle name="Normal 9 2 2 2 2 7" xfId="2660" xr:uid="{00000000-0005-0000-0000-0000941E0000}"/>
    <cellStyle name="Normal 9 2 2 2 2 7 2" xfId="6943" xr:uid="{00000000-0005-0000-0000-0000951E0000}"/>
    <cellStyle name="Normal 9 2 2 2 2 7 2 2" xfId="16269" xr:uid="{5529C711-E461-4F3A-ABAA-28116390A978}"/>
    <cellStyle name="Normal 9 2 2 2 2 7 2 3" xfId="25568" xr:uid="{F3989391-D213-40CE-ABA4-1F0ED1C8AE33}"/>
    <cellStyle name="Normal 9 2 2 2 2 7 3" xfId="12052" xr:uid="{74943DE3-D29F-48DA-9062-B86E6D631F5D}"/>
    <cellStyle name="Normal 9 2 2 2 2 7 4" xfId="21351" xr:uid="{31345C1B-9D3E-4820-9779-DFBA49406D22}"/>
    <cellStyle name="Normal 9 2 2 2 2 8" xfId="4878" xr:uid="{00000000-0005-0000-0000-0000961E0000}"/>
    <cellStyle name="Normal 9 2 2 2 2 8 2" xfId="14204" xr:uid="{DC91D84B-ECDF-4580-B3D7-114D1E27B573}"/>
    <cellStyle name="Normal 9 2 2 2 2 8 3" xfId="23503" xr:uid="{8CE929B7-F435-4CFE-89E1-78DA47D24C75}"/>
    <cellStyle name="Normal 9 2 2 2 2 9" xfId="8942" xr:uid="{0DE8A022-819C-4D6A-B102-31C1C7F429A5}"/>
    <cellStyle name="Normal 9 2 2 2 2 9 2" xfId="18266" xr:uid="{E189DBC6-F578-4003-A064-EA3EF9526C34}"/>
    <cellStyle name="Normal 9 2 2 2 2 9 3" xfId="27564" xr:uid="{7D1032F1-B3F5-48C1-886A-53FE069B432F}"/>
    <cellStyle name="Normal 9 2 2 2 3" xfId="516" xr:uid="{00000000-0005-0000-0000-0000971E0000}"/>
    <cellStyle name="Normal 9 2 2 2 3 10" xfId="19288" xr:uid="{4B55AED7-E94F-451F-A8DF-0D802A24B019}"/>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556DF36A-C8CB-4B92-A78A-0D1C799D2874}"/>
    <cellStyle name="Normal 9 2 2 2 3 2 2 2 3" xfId="26063" xr:uid="{37C81B44-AC14-403C-878D-D730F8D36FD4}"/>
    <cellStyle name="Normal 9 2 2 2 3 2 2 3" xfId="12547" xr:uid="{19CCAAD5-4572-438C-86CB-DDF7031F8569}"/>
    <cellStyle name="Normal 9 2 2 2 3 2 2 4" xfId="21846" xr:uid="{1AF8E984-80CF-4011-852C-E068D8399386}"/>
    <cellStyle name="Normal 9 2 2 2 3 2 3" xfId="5293" xr:uid="{00000000-0005-0000-0000-00009B1E0000}"/>
    <cellStyle name="Normal 9 2 2 2 3 2 3 2" xfId="14619" xr:uid="{78B4DCEF-CC9C-48BD-9F85-972944D9CC69}"/>
    <cellStyle name="Normal 9 2 2 2 3 2 3 3" xfId="23918" xr:uid="{0818B4DF-8AFA-42CF-BC00-FBE10D4FFEB7}"/>
    <cellStyle name="Normal 9 2 2 2 3 2 4" xfId="9471" xr:uid="{E472D827-532E-42C0-B781-9E63FEBCFCF5}"/>
    <cellStyle name="Normal 9 2 2 2 3 2 4 2" xfId="18786" xr:uid="{A493BBA3-DEB6-4F99-B036-29B54FFA6121}"/>
    <cellStyle name="Normal 9 2 2 2 3 2 4 3" xfId="28083" xr:uid="{35AE8778-ADDB-4C1D-948D-36EB9CEF9DC8}"/>
    <cellStyle name="Normal 9 2 2 2 3 2 5" xfId="10402" xr:uid="{1310700C-6A7A-44F6-8307-A36328822335}"/>
    <cellStyle name="Normal 9 2 2 2 3 2 6" xfId="19701" xr:uid="{2278AD7C-166A-4BAE-98D8-EF92648A2A19}"/>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1EFF1B8C-851E-47D5-9652-3E253C171D18}"/>
    <cellStyle name="Normal 9 2 2 2 3 3 2 2 3" xfId="26476" xr:uid="{48E225BA-DD51-4781-B6A2-18CC899EB501}"/>
    <cellStyle name="Normal 9 2 2 2 3 3 2 3" xfId="12960" xr:uid="{E2D5D0F8-B3D8-408A-86F0-BB0EFC165683}"/>
    <cellStyle name="Normal 9 2 2 2 3 3 2 4" xfId="22259" xr:uid="{DD0ED029-E30E-4873-96E1-27854AC1610E}"/>
    <cellStyle name="Normal 9 2 2 2 3 3 3" xfId="5706" xr:uid="{00000000-0005-0000-0000-00009F1E0000}"/>
    <cellStyle name="Normal 9 2 2 2 3 3 3 2" xfId="15032" xr:uid="{59B528A9-1BA8-4FDE-93B6-AD73D0F6C8CF}"/>
    <cellStyle name="Normal 9 2 2 2 3 3 3 3" xfId="24331" xr:uid="{92142E0A-8633-4D9F-A526-71F8C90EDFF5}"/>
    <cellStyle name="Normal 9 2 2 2 3 3 4" xfId="10815" xr:uid="{B8C809DC-8F2A-4916-B82B-F035536F5F53}"/>
    <cellStyle name="Normal 9 2 2 2 3 3 5" xfId="20114" xr:uid="{CF516052-AC81-483B-9FC4-BC528BC9578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B59D01F4-51DC-45DA-9727-16B46C035146}"/>
    <cellStyle name="Normal 9 2 2 2 3 4 2 2 3" xfId="26889" xr:uid="{E9123A3A-3E90-4306-9C3A-AD9FC67CDA6B}"/>
    <cellStyle name="Normal 9 2 2 2 3 4 2 3" xfId="13373" xr:uid="{D3B2FA5A-2889-447C-A3F8-2A83C2E860B7}"/>
    <cellStyle name="Normal 9 2 2 2 3 4 2 4" xfId="22672" xr:uid="{12A1026A-451A-4A4B-BCE6-84921FC71089}"/>
    <cellStyle name="Normal 9 2 2 2 3 4 3" xfId="6119" xr:uid="{00000000-0005-0000-0000-0000A31E0000}"/>
    <cellStyle name="Normal 9 2 2 2 3 4 3 2" xfId="15445" xr:uid="{00284A21-F101-41D9-AB05-BC4F86BED5A1}"/>
    <cellStyle name="Normal 9 2 2 2 3 4 3 3" xfId="24744" xr:uid="{EA3533FD-C79A-47E5-99D6-3E9EA7842997}"/>
    <cellStyle name="Normal 9 2 2 2 3 4 4" xfId="11228" xr:uid="{7C650ED8-FD45-4770-9ADE-044EFA10EA26}"/>
    <cellStyle name="Normal 9 2 2 2 3 4 5" xfId="20527" xr:uid="{02219D37-92FB-49E6-8337-BC690796715B}"/>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F067362B-0D3F-42F2-AE3B-261254E673CF}"/>
    <cellStyle name="Normal 9 2 2 2 3 5 2 2 3" xfId="27302" xr:uid="{F6F9E029-6234-49E4-B133-7AF1897163FF}"/>
    <cellStyle name="Normal 9 2 2 2 3 5 2 3" xfId="13786" xr:uid="{4376ED99-066F-4103-A0FD-94917CD859BF}"/>
    <cellStyle name="Normal 9 2 2 2 3 5 2 4" xfId="23085" xr:uid="{B319E911-7944-4DC3-B925-36FA0AFFCED1}"/>
    <cellStyle name="Normal 9 2 2 2 3 5 3" xfId="6532" xr:uid="{00000000-0005-0000-0000-0000A71E0000}"/>
    <cellStyle name="Normal 9 2 2 2 3 5 3 2" xfId="15858" xr:uid="{B6665885-6980-44C8-ADF0-CD7D56D66C47}"/>
    <cellStyle name="Normal 9 2 2 2 3 5 3 3" xfId="25157" xr:uid="{1A5315AF-D76C-4650-8FDB-17BB115D5157}"/>
    <cellStyle name="Normal 9 2 2 2 3 5 4" xfId="11641" xr:uid="{8E568928-D708-461C-85B9-0ADDEB046090}"/>
    <cellStyle name="Normal 9 2 2 2 3 5 5" xfId="20940" xr:uid="{387824FC-2B10-4907-98FD-88A6004B6D9D}"/>
    <cellStyle name="Normal 9 2 2 2 3 6" xfId="2662" xr:uid="{00000000-0005-0000-0000-0000A81E0000}"/>
    <cellStyle name="Normal 9 2 2 2 3 6 2" xfId="6945" xr:uid="{00000000-0005-0000-0000-0000A91E0000}"/>
    <cellStyle name="Normal 9 2 2 2 3 6 2 2" xfId="16271" xr:uid="{56B2842E-EBC2-4E31-8BA3-F33A3846B1A2}"/>
    <cellStyle name="Normal 9 2 2 2 3 6 2 3" xfId="25570" xr:uid="{65EAAA5F-EBEB-479F-AB1A-7C42D183D587}"/>
    <cellStyle name="Normal 9 2 2 2 3 6 3" xfId="12054" xr:uid="{094BBD2A-1E92-4FA2-A2F4-C997B07D4787}"/>
    <cellStyle name="Normal 9 2 2 2 3 6 4" xfId="21353" xr:uid="{A9475FC6-69F5-442C-B4F8-D768D7934037}"/>
    <cellStyle name="Normal 9 2 2 2 3 7" xfId="4880" xr:uid="{00000000-0005-0000-0000-0000AA1E0000}"/>
    <cellStyle name="Normal 9 2 2 2 3 7 2" xfId="14206" xr:uid="{947E6939-972F-4B6D-8822-ADC5A798574D}"/>
    <cellStyle name="Normal 9 2 2 2 3 7 3" xfId="23505" xr:uid="{EB4F0E2B-1B05-4580-83AF-B94BA509706C}"/>
    <cellStyle name="Normal 9 2 2 2 3 8" xfId="9046" xr:uid="{6B7E07C7-E90B-4AE9-8FE8-76EF28E8FC85}"/>
    <cellStyle name="Normal 9 2 2 2 3 8 2" xfId="18370" xr:uid="{5585F88E-8EB0-4C4B-838D-75843F2ECFB8}"/>
    <cellStyle name="Normal 9 2 2 2 3 8 3" xfId="27668" xr:uid="{1C941583-B1D8-4463-9C5A-F97D7F9EFD3D}"/>
    <cellStyle name="Normal 9 2 2 2 3 9" xfId="9989" xr:uid="{2FB740C3-F4A7-43DD-B998-5DD24FECAA59}"/>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7D12D8E5-30E5-4A1D-A2B0-107BB00A8198}"/>
    <cellStyle name="Normal 9 2 2 2 4 2 2 3" xfId="26060" xr:uid="{AB1A2397-A0D7-44D9-A63B-6EBEB68E5E86}"/>
    <cellStyle name="Normal 9 2 2 2 4 2 3" xfId="12544" xr:uid="{0167337A-6344-4925-9C23-5AF9A09EE785}"/>
    <cellStyle name="Normal 9 2 2 2 4 2 4" xfId="21843" xr:uid="{4F33096B-2E78-4B5E-8B11-F334F9499D96}"/>
    <cellStyle name="Normal 9 2 2 2 4 3" xfId="5290" xr:uid="{00000000-0005-0000-0000-0000AE1E0000}"/>
    <cellStyle name="Normal 9 2 2 2 4 3 2" xfId="14616" xr:uid="{AC863516-B474-4162-B2D2-3289A1287D27}"/>
    <cellStyle name="Normal 9 2 2 2 4 3 3" xfId="23915" xr:uid="{5C0DA59F-8DD5-46F0-9B01-4F28B3C062D0}"/>
    <cellStyle name="Normal 9 2 2 2 4 4" xfId="9264" xr:uid="{0137E036-48D9-4B3B-9B73-0002A19DDE9E}"/>
    <cellStyle name="Normal 9 2 2 2 4 4 2" xfId="18579" xr:uid="{D5653B32-6BA7-4B56-893F-333F87404C7A}"/>
    <cellStyle name="Normal 9 2 2 2 4 4 3" xfId="27876" xr:uid="{75286E8D-789D-4DB1-9565-40EBB435BBAD}"/>
    <cellStyle name="Normal 9 2 2 2 4 5" xfId="10399" xr:uid="{01E3183A-9F97-4F74-9D36-959A05F2A98C}"/>
    <cellStyle name="Normal 9 2 2 2 4 6" xfId="19698" xr:uid="{E5F4A792-7DAC-4541-B08F-1A48B3C699E1}"/>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E42BAC89-B1C1-41AD-AF35-EBB6C8DBBEC4}"/>
    <cellStyle name="Normal 9 2 2 2 5 2 2 3" xfId="26473" xr:uid="{99180DEA-4DAB-4948-BD3F-BD368AEFB808}"/>
    <cellStyle name="Normal 9 2 2 2 5 2 3" xfId="12957" xr:uid="{3C26C7FD-9140-47CB-96E5-286189E2A8AB}"/>
    <cellStyle name="Normal 9 2 2 2 5 2 4" xfId="22256" xr:uid="{271436E9-462D-4B2C-9D3C-39046A56E4C5}"/>
    <cellStyle name="Normal 9 2 2 2 5 3" xfId="5703" xr:uid="{00000000-0005-0000-0000-0000B21E0000}"/>
    <cellStyle name="Normal 9 2 2 2 5 3 2" xfId="15029" xr:uid="{C2478FE1-4166-49C7-9F2F-940376932FE7}"/>
    <cellStyle name="Normal 9 2 2 2 5 3 3" xfId="24328" xr:uid="{655A825D-DB13-4BBA-897C-A2C7471329A5}"/>
    <cellStyle name="Normal 9 2 2 2 5 4" xfId="10812" xr:uid="{3C584A0F-2C19-43B2-848B-840987A7382E}"/>
    <cellStyle name="Normal 9 2 2 2 5 5" xfId="20111" xr:uid="{5EC611E6-021C-4698-8D29-D45BB4036E49}"/>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E9CE02D1-14AC-4BAC-A35B-2EE0A328B30E}"/>
    <cellStyle name="Normal 9 2 2 2 6 2 2 3" xfId="26886" xr:uid="{30940287-E066-4619-B119-3DEAD2089E0D}"/>
    <cellStyle name="Normal 9 2 2 2 6 2 3" xfId="13370" xr:uid="{983932D3-3609-4259-B92B-2E616350E567}"/>
    <cellStyle name="Normal 9 2 2 2 6 2 4" xfId="22669" xr:uid="{A65BB963-50C3-463B-A37B-7D7FC1CAA88B}"/>
    <cellStyle name="Normal 9 2 2 2 6 3" xfId="6116" xr:uid="{00000000-0005-0000-0000-0000B61E0000}"/>
    <cellStyle name="Normal 9 2 2 2 6 3 2" xfId="15442" xr:uid="{D212104F-5568-43AE-9061-2A777B0A0798}"/>
    <cellStyle name="Normal 9 2 2 2 6 3 3" xfId="24741" xr:uid="{FD70317D-23CC-4AAC-A1A1-DF4660FB7B7F}"/>
    <cellStyle name="Normal 9 2 2 2 6 4" xfId="11225" xr:uid="{FFB32B01-97CD-47FB-9965-0D805BB8EAC2}"/>
    <cellStyle name="Normal 9 2 2 2 6 5" xfId="20524" xr:uid="{FE889997-5F09-408F-9892-33684BA2919F}"/>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9F2F3B35-56A1-45F4-9BFE-259AA38A1056}"/>
    <cellStyle name="Normal 9 2 2 2 7 2 2 3" xfId="27299" xr:uid="{014942C0-938C-4C9C-9D8E-58481BCB71EA}"/>
    <cellStyle name="Normal 9 2 2 2 7 2 3" xfId="13783" xr:uid="{12E952D0-33E2-4751-BDCF-F59D020D63B4}"/>
    <cellStyle name="Normal 9 2 2 2 7 2 4" xfId="23082" xr:uid="{1CE36A3A-8FE3-4A1B-8CF6-D766B19A62C1}"/>
    <cellStyle name="Normal 9 2 2 2 7 3" xfId="6529" xr:uid="{00000000-0005-0000-0000-0000BA1E0000}"/>
    <cellStyle name="Normal 9 2 2 2 7 3 2" xfId="15855" xr:uid="{6493A8A5-AA6A-4C24-A60E-49A4DCC112E0}"/>
    <cellStyle name="Normal 9 2 2 2 7 3 3" xfId="25154" xr:uid="{B3D41786-334E-4D4F-9ED3-96FB8F40EA78}"/>
    <cellStyle name="Normal 9 2 2 2 7 4" xfId="11638" xr:uid="{C7DFA1A2-20AE-4026-9A88-99661B929A5F}"/>
    <cellStyle name="Normal 9 2 2 2 7 5" xfId="20937" xr:uid="{52722C74-4F06-4734-BF5D-6002B968824C}"/>
    <cellStyle name="Normal 9 2 2 2 8" xfId="2659" xr:uid="{00000000-0005-0000-0000-0000BB1E0000}"/>
    <cellStyle name="Normal 9 2 2 2 8 2" xfId="6942" xr:uid="{00000000-0005-0000-0000-0000BC1E0000}"/>
    <cellStyle name="Normal 9 2 2 2 8 2 2" xfId="16268" xr:uid="{0BBC9E4E-BD1E-4C4E-89EA-75D56A09AA60}"/>
    <cellStyle name="Normal 9 2 2 2 8 2 3" xfId="25567" xr:uid="{B2DB7A70-5A21-4299-8901-7C298EB82582}"/>
    <cellStyle name="Normal 9 2 2 2 8 3" xfId="12051" xr:uid="{70BA2A61-9930-41CF-B911-AA0E50257C0C}"/>
    <cellStyle name="Normal 9 2 2 2 8 4" xfId="21350" xr:uid="{9C662B28-D858-40EB-A7B4-7B1DB1706439}"/>
    <cellStyle name="Normal 9 2 2 2 9" xfId="4877" xr:uid="{00000000-0005-0000-0000-0000BD1E0000}"/>
    <cellStyle name="Normal 9 2 2 2 9 2" xfId="14203" xr:uid="{F4F58F0E-9DD4-440D-9768-107CF073C572}"/>
    <cellStyle name="Normal 9 2 2 2 9 3" xfId="23502" xr:uid="{D0977534-6888-43C5-8054-4C70FBDAA519}"/>
    <cellStyle name="Normal 9 2 2 3" xfId="517" xr:uid="{00000000-0005-0000-0000-0000BE1E0000}"/>
    <cellStyle name="Normal 9 2 2 3 10" xfId="9990" xr:uid="{0A3CE32F-5D1B-47A7-859D-62FDEE8B76EB}"/>
    <cellStyle name="Normal 9 2 2 3 11" xfId="19289" xr:uid="{C1002889-BA09-4DCD-A130-CC0F12576885}"/>
    <cellStyle name="Normal 9 2 2 3 2" xfId="518" xr:uid="{00000000-0005-0000-0000-0000BF1E0000}"/>
    <cellStyle name="Normal 9 2 2 3 2 10" xfId="19290" xr:uid="{CB25C026-7C49-48BF-BFCA-29C06985088E}"/>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5E8D42A7-3B88-49E0-8A6F-310A6DDAF19E}"/>
    <cellStyle name="Normal 9 2 2 3 2 2 2 2 3" xfId="26065" xr:uid="{30D4EE77-A155-4889-8F92-16C790883315}"/>
    <cellStyle name="Normal 9 2 2 3 2 2 2 3" xfId="12549" xr:uid="{E374BEA3-03FB-42CD-924B-1F2BA90B982D}"/>
    <cellStyle name="Normal 9 2 2 3 2 2 2 4" xfId="21848" xr:uid="{10EA3A44-7804-4E46-9F11-58DF7EDD8960}"/>
    <cellStyle name="Normal 9 2 2 3 2 2 3" xfId="5295" xr:uid="{00000000-0005-0000-0000-0000C31E0000}"/>
    <cellStyle name="Normal 9 2 2 3 2 2 3 2" xfId="14621" xr:uid="{D1CB8BE4-A60D-4895-9EF8-9C45895EF256}"/>
    <cellStyle name="Normal 9 2 2 3 2 2 3 3" xfId="23920" xr:uid="{60A01505-10D5-4494-9413-BF33F9D87B6A}"/>
    <cellStyle name="Normal 9 2 2 3 2 2 4" xfId="9520" xr:uid="{57CFBD10-691F-4DF8-8020-B75E98FF60DD}"/>
    <cellStyle name="Normal 9 2 2 3 2 2 4 2" xfId="18835" xr:uid="{1FDA4607-2FC8-4E24-9424-CF5B7529D4AD}"/>
    <cellStyle name="Normal 9 2 2 3 2 2 4 3" xfId="28132" xr:uid="{42AB66D8-3AD2-4787-A133-45CCC88C1299}"/>
    <cellStyle name="Normal 9 2 2 3 2 2 5" xfId="10404" xr:uid="{26FBB236-F2D2-4C1A-A803-2A61501E2795}"/>
    <cellStyle name="Normal 9 2 2 3 2 2 6" xfId="19703" xr:uid="{C1A93086-0750-413E-810B-BAF2A0FE4883}"/>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611D3EC5-3E49-4B36-85D7-A7902941D2B6}"/>
    <cellStyle name="Normal 9 2 2 3 2 3 2 2 3" xfId="26478" xr:uid="{ED32FF89-28AF-4739-9E67-8657680FB293}"/>
    <cellStyle name="Normal 9 2 2 3 2 3 2 3" xfId="12962" xr:uid="{2EB359B5-A4FC-4E07-A503-C27D11C190B0}"/>
    <cellStyle name="Normal 9 2 2 3 2 3 2 4" xfId="22261" xr:uid="{4F7054C2-B6C2-4767-A21D-89C56BC79695}"/>
    <cellStyle name="Normal 9 2 2 3 2 3 3" xfId="5708" xr:uid="{00000000-0005-0000-0000-0000C71E0000}"/>
    <cellStyle name="Normal 9 2 2 3 2 3 3 2" xfId="15034" xr:uid="{262AAA03-D2B6-49C2-B9CA-775C60DFBAFA}"/>
    <cellStyle name="Normal 9 2 2 3 2 3 3 3" xfId="24333" xr:uid="{C89F5E76-82A5-4CB3-AC1A-9B18F0CFCFF2}"/>
    <cellStyle name="Normal 9 2 2 3 2 3 4" xfId="10817" xr:uid="{32B2D585-65A7-46B3-87AC-D131BDA50B77}"/>
    <cellStyle name="Normal 9 2 2 3 2 3 5" xfId="20116" xr:uid="{C4D6F2C9-9446-4DEA-B4E6-8A5184A3F19D}"/>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999E4912-E2AB-45FF-A034-E89D5F334909}"/>
    <cellStyle name="Normal 9 2 2 3 2 4 2 2 3" xfId="26891" xr:uid="{FDBBA777-B967-4275-A9B5-87601CD12E17}"/>
    <cellStyle name="Normal 9 2 2 3 2 4 2 3" xfId="13375" xr:uid="{5312C31E-1242-4BC5-91C5-56CCF750A468}"/>
    <cellStyle name="Normal 9 2 2 3 2 4 2 4" xfId="22674" xr:uid="{EA97980D-06CA-4DA3-B442-4E9A7176260B}"/>
    <cellStyle name="Normal 9 2 2 3 2 4 3" xfId="6121" xr:uid="{00000000-0005-0000-0000-0000CB1E0000}"/>
    <cellStyle name="Normal 9 2 2 3 2 4 3 2" xfId="15447" xr:uid="{270D235D-BA2F-44E7-AA1D-7EC8914E8C75}"/>
    <cellStyle name="Normal 9 2 2 3 2 4 3 3" xfId="24746" xr:uid="{8521349E-EB63-412C-AFBF-52A7375F7739}"/>
    <cellStyle name="Normal 9 2 2 3 2 4 4" xfId="11230" xr:uid="{3444FB77-812A-4EBB-AC6D-724BF00C7CDC}"/>
    <cellStyle name="Normal 9 2 2 3 2 4 5" xfId="20529" xr:uid="{F69769F3-19C1-4559-9AB9-2113AA696AD7}"/>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48461911-000B-41D1-9C17-C02090763B5B}"/>
    <cellStyle name="Normal 9 2 2 3 2 5 2 2 3" xfId="27304" xr:uid="{9A1AE42B-4157-481D-934C-6AE8961B6D8B}"/>
    <cellStyle name="Normal 9 2 2 3 2 5 2 3" xfId="13788" xr:uid="{148784BA-85D1-4ECB-A053-4E0F4331CB5B}"/>
    <cellStyle name="Normal 9 2 2 3 2 5 2 4" xfId="23087" xr:uid="{CFB8605B-0314-4E68-98C3-7BF138EA99F4}"/>
    <cellStyle name="Normal 9 2 2 3 2 5 3" xfId="6534" xr:uid="{00000000-0005-0000-0000-0000CF1E0000}"/>
    <cellStyle name="Normal 9 2 2 3 2 5 3 2" xfId="15860" xr:uid="{0389F155-DD4C-40E7-AE2B-0DC4CFFC20B2}"/>
    <cellStyle name="Normal 9 2 2 3 2 5 3 3" xfId="25159" xr:uid="{639F9F51-ABE4-4589-B1CF-3C424788D676}"/>
    <cellStyle name="Normal 9 2 2 3 2 5 4" xfId="11643" xr:uid="{E31B94B0-2C55-43E7-9339-22C29B4A60FF}"/>
    <cellStyle name="Normal 9 2 2 3 2 5 5" xfId="20942" xr:uid="{9AFB5572-209D-4954-955F-90DED2E3BE23}"/>
    <cellStyle name="Normal 9 2 2 3 2 6" xfId="2664" xr:uid="{00000000-0005-0000-0000-0000D01E0000}"/>
    <cellStyle name="Normal 9 2 2 3 2 6 2" xfId="6947" xr:uid="{00000000-0005-0000-0000-0000D11E0000}"/>
    <cellStyle name="Normal 9 2 2 3 2 6 2 2" xfId="16273" xr:uid="{28F219AA-FB54-476C-9E20-986445B0AAAE}"/>
    <cellStyle name="Normal 9 2 2 3 2 6 2 3" xfId="25572" xr:uid="{869D41DB-B196-41E3-8C7C-386CAD5B0619}"/>
    <cellStyle name="Normal 9 2 2 3 2 6 3" xfId="12056" xr:uid="{41459298-6E65-4219-9CED-20F185C5BDA3}"/>
    <cellStyle name="Normal 9 2 2 3 2 6 4" xfId="21355" xr:uid="{A7C087FA-7B0B-4056-AC4C-D7FA37B579FF}"/>
    <cellStyle name="Normal 9 2 2 3 2 7" xfId="4882" xr:uid="{00000000-0005-0000-0000-0000D21E0000}"/>
    <cellStyle name="Normal 9 2 2 3 2 7 2" xfId="14208" xr:uid="{02D0512D-E479-4A76-BBD5-C6B07BC385D9}"/>
    <cellStyle name="Normal 9 2 2 3 2 7 3" xfId="23507" xr:uid="{A8DF2AB7-C610-4C57-ACA1-7FF0D6FB93D9}"/>
    <cellStyle name="Normal 9 2 2 3 2 8" xfId="9095" xr:uid="{D95088B7-D227-4E97-A9B9-DA61436DD386}"/>
    <cellStyle name="Normal 9 2 2 3 2 8 2" xfId="18419" xr:uid="{95BADE85-3681-4B61-B7C8-5FC0E951C323}"/>
    <cellStyle name="Normal 9 2 2 3 2 8 3" xfId="27717" xr:uid="{345A1606-924F-47E1-A8B6-4B4A19734CE8}"/>
    <cellStyle name="Normal 9 2 2 3 2 9" xfId="9991" xr:uid="{A6766DCE-2F03-4F9E-A702-0C2C6E9EAC1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8AF117D4-60F2-4738-9DF5-593C41C18024}"/>
    <cellStyle name="Normal 9 2 2 3 3 2 2 3" xfId="26064" xr:uid="{2C5E4EFE-DA9C-4516-A376-AA1D089B3022}"/>
    <cellStyle name="Normal 9 2 2 3 3 2 3" xfId="12548" xr:uid="{42D85642-C309-4AF0-A9AB-A1821EA522F3}"/>
    <cellStyle name="Normal 9 2 2 3 3 2 4" xfId="21847" xr:uid="{EA2BEBFF-B616-4E8C-9CBE-409560DFA509}"/>
    <cellStyle name="Normal 9 2 2 3 3 3" xfId="5294" xr:uid="{00000000-0005-0000-0000-0000D61E0000}"/>
    <cellStyle name="Normal 9 2 2 3 3 3 2" xfId="14620" xr:uid="{D20B2A28-529A-450A-B7C6-C6198B0340C6}"/>
    <cellStyle name="Normal 9 2 2 3 3 3 3" xfId="23919" xr:uid="{018F2F2C-A806-4079-885B-23F1F628F6FA}"/>
    <cellStyle name="Normal 9 2 2 3 3 4" xfId="9313" xr:uid="{FDDC600D-FDDD-4FFC-9820-DFD7E0768F33}"/>
    <cellStyle name="Normal 9 2 2 3 3 4 2" xfId="18628" xr:uid="{7A4A7DB7-67A4-4C0E-B2CD-01C71F159121}"/>
    <cellStyle name="Normal 9 2 2 3 3 4 3" xfId="27925" xr:uid="{FCCE4530-FEB3-4430-BC92-DF7A696720D4}"/>
    <cellStyle name="Normal 9 2 2 3 3 5" xfId="10403" xr:uid="{CED40946-F77B-4CD1-B9A3-D153696D5A95}"/>
    <cellStyle name="Normal 9 2 2 3 3 6" xfId="19702" xr:uid="{4CD78B04-9C48-4DA1-802A-096AF3DF83A1}"/>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BEF398B2-B4CF-436D-9302-B91526BD4604}"/>
    <cellStyle name="Normal 9 2 2 3 4 2 2 3" xfId="26477" xr:uid="{53460E6C-283F-4C27-9A4E-85B5EB26FACA}"/>
    <cellStyle name="Normal 9 2 2 3 4 2 3" xfId="12961" xr:uid="{3709C65C-93B5-4659-9990-A31DB464A9C4}"/>
    <cellStyle name="Normal 9 2 2 3 4 2 4" xfId="22260" xr:uid="{8ACD052B-FFBA-49AF-97B2-C381D9DFD860}"/>
    <cellStyle name="Normal 9 2 2 3 4 3" xfId="5707" xr:uid="{00000000-0005-0000-0000-0000DA1E0000}"/>
    <cellStyle name="Normal 9 2 2 3 4 3 2" xfId="15033" xr:uid="{0EC33D5D-64BB-4F52-8F00-1EB929204A27}"/>
    <cellStyle name="Normal 9 2 2 3 4 3 3" xfId="24332" xr:uid="{8B39613C-C2F2-4980-AD32-2590B9C7B76D}"/>
    <cellStyle name="Normal 9 2 2 3 4 4" xfId="10816" xr:uid="{006D17CB-B6EF-4164-834F-6218500893C0}"/>
    <cellStyle name="Normal 9 2 2 3 4 5" xfId="20115" xr:uid="{1F9A3E82-F1AE-4873-BB3F-C790862A44DA}"/>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5909FE2F-17B3-45F4-BE24-E011A2E54468}"/>
    <cellStyle name="Normal 9 2 2 3 5 2 2 3" xfId="26890" xr:uid="{A0D073CE-90B5-4BEC-9407-DD2871ADE972}"/>
    <cellStyle name="Normal 9 2 2 3 5 2 3" xfId="13374" xr:uid="{26B0B553-4646-4D8A-B1E5-837CE389F0CD}"/>
    <cellStyle name="Normal 9 2 2 3 5 2 4" xfId="22673" xr:uid="{A2B67C13-42E1-411D-A2EA-7C56FA5FA0CE}"/>
    <cellStyle name="Normal 9 2 2 3 5 3" xfId="6120" xr:uid="{00000000-0005-0000-0000-0000DE1E0000}"/>
    <cellStyle name="Normal 9 2 2 3 5 3 2" xfId="15446" xr:uid="{0BDF1499-1C03-45DE-BDAF-30E127C0654D}"/>
    <cellStyle name="Normal 9 2 2 3 5 3 3" xfId="24745" xr:uid="{2101CE11-2710-4EEF-9A51-4B1BBE34733B}"/>
    <cellStyle name="Normal 9 2 2 3 5 4" xfId="11229" xr:uid="{E671E929-CC41-4E43-B910-47C4586046C1}"/>
    <cellStyle name="Normal 9 2 2 3 5 5" xfId="20528" xr:uid="{87FB193E-1C18-4992-9594-C9D3D8950AE5}"/>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0646FFB7-136E-4F49-99F4-DBC61564CF5A}"/>
    <cellStyle name="Normal 9 2 2 3 6 2 2 3" xfId="27303" xr:uid="{13217582-D495-448F-9F01-6583B3F343DD}"/>
    <cellStyle name="Normal 9 2 2 3 6 2 3" xfId="13787" xr:uid="{4C02042E-8135-45B3-9F02-7A67B2F0D8EF}"/>
    <cellStyle name="Normal 9 2 2 3 6 2 4" xfId="23086" xr:uid="{74F76C40-147C-40BC-BC7A-24C306EA7A90}"/>
    <cellStyle name="Normal 9 2 2 3 6 3" xfId="6533" xr:uid="{00000000-0005-0000-0000-0000E21E0000}"/>
    <cellStyle name="Normal 9 2 2 3 6 3 2" xfId="15859" xr:uid="{2C0AA462-F132-4F17-A948-7E4B490A4077}"/>
    <cellStyle name="Normal 9 2 2 3 6 3 3" xfId="25158" xr:uid="{6A698A26-F360-442B-8CA0-2E7BFB88A8BE}"/>
    <cellStyle name="Normal 9 2 2 3 6 4" xfId="11642" xr:uid="{AA0F1117-D655-41AF-9DDC-D369D25CD965}"/>
    <cellStyle name="Normal 9 2 2 3 6 5" xfId="20941" xr:uid="{128BDBF1-56FE-4275-8C20-EFD0E8292C6B}"/>
    <cellStyle name="Normal 9 2 2 3 7" xfId="2663" xr:uid="{00000000-0005-0000-0000-0000E31E0000}"/>
    <cellStyle name="Normal 9 2 2 3 7 2" xfId="6946" xr:uid="{00000000-0005-0000-0000-0000E41E0000}"/>
    <cellStyle name="Normal 9 2 2 3 7 2 2" xfId="16272" xr:uid="{BFD4FCF3-8A13-41B4-9276-19F384E3635D}"/>
    <cellStyle name="Normal 9 2 2 3 7 2 3" xfId="25571" xr:uid="{1F0799C5-B19D-49C6-9738-044D20E1AE1A}"/>
    <cellStyle name="Normal 9 2 2 3 7 3" xfId="12055" xr:uid="{DC647140-B922-408F-8BA5-B97E397A7E11}"/>
    <cellStyle name="Normal 9 2 2 3 7 4" xfId="21354" xr:uid="{42586CBD-6269-42E6-9105-2EB5A9219EB7}"/>
    <cellStyle name="Normal 9 2 2 3 8" xfId="4881" xr:uid="{00000000-0005-0000-0000-0000E51E0000}"/>
    <cellStyle name="Normal 9 2 2 3 8 2" xfId="14207" xr:uid="{A2D9B15B-2013-477F-A336-47D609BAAEA5}"/>
    <cellStyle name="Normal 9 2 2 3 8 3" xfId="23506" xr:uid="{A8F20B47-81B6-466D-9919-89002EEE7E03}"/>
    <cellStyle name="Normal 9 2 2 3 9" xfId="8888" xr:uid="{47457178-62A7-4ACA-95A1-433BF4FD3D65}"/>
    <cellStyle name="Normal 9 2 2 3 9 2" xfId="18212" xr:uid="{D0520F8C-5793-4A0A-AA9C-234BA5F0BB87}"/>
    <cellStyle name="Normal 9 2 2 3 9 3" xfId="27510" xr:uid="{57326F62-4DD0-48DA-929D-FEFCFB05E6BE}"/>
    <cellStyle name="Normal 9 2 2 4" xfId="519" xr:uid="{00000000-0005-0000-0000-0000E61E0000}"/>
    <cellStyle name="Normal 9 2 2 4 10" xfId="19291" xr:uid="{D73C0B2F-5544-43BD-9EC4-FEDE7E6FF607}"/>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5B672202-EDBE-4EF4-A157-FEDC9834D66C}"/>
    <cellStyle name="Normal 9 2 2 4 2 2 2 3" xfId="26066" xr:uid="{64EC35C2-AF66-4FD5-88DC-C29E3A0C8F55}"/>
    <cellStyle name="Normal 9 2 2 4 2 2 3" xfId="12550" xr:uid="{B611B1A5-62FB-4137-B585-70DE95F370BB}"/>
    <cellStyle name="Normal 9 2 2 4 2 2 4" xfId="21849" xr:uid="{7C3C8BAC-9D04-471F-875E-0DD529A75DEE}"/>
    <cellStyle name="Normal 9 2 2 4 2 3" xfId="5296" xr:uid="{00000000-0005-0000-0000-0000EA1E0000}"/>
    <cellStyle name="Normal 9 2 2 4 2 3 2" xfId="14622" xr:uid="{1A8E6276-9EF1-40F4-96D6-2F8FB7317727}"/>
    <cellStyle name="Normal 9 2 2 4 2 3 3" xfId="23921" xr:uid="{C7C3A868-8F82-4967-AC1F-5F24CDBB820C}"/>
    <cellStyle name="Normal 9 2 2 4 2 4" xfId="9417" xr:uid="{FDB8A679-B5B8-4E9B-808D-E68F6CA01958}"/>
    <cellStyle name="Normal 9 2 2 4 2 4 2" xfId="18732" xr:uid="{6D6BC296-A9DF-4590-B507-2D8F4D491DA8}"/>
    <cellStyle name="Normal 9 2 2 4 2 4 3" xfId="28029" xr:uid="{804FEBF7-187C-43FD-8950-41D20C3743F6}"/>
    <cellStyle name="Normal 9 2 2 4 2 5" xfId="10405" xr:uid="{CA3E9A55-D63E-465E-BCEC-600CA40F5A13}"/>
    <cellStyle name="Normal 9 2 2 4 2 6" xfId="19704" xr:uid="{CD2B03ED-1E41-4895-9EEC-87518DE5CB2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2761C330-75D8-415D-8787-003DBE94E986}"/>
    <cellStyle name="Normal 9 2 2 4 3 2 2 3" xfId="26479" xr:uid="{5E0ABE46-4070-4E6D-BA59-0A4D725A193F}"/>
    <cellStyle name="Normal 9 2 2 4 3 2 3" xfId="12963" xr:uid="{45B00F8A-D352-44EA-AF16-64F2747D7A0E}"/>
    <cellStyle name="Normal 9 2 2 4 3 2 4" xfId="22262" xr:uid="{C601BE47-ADF1-45AA-A799-F28A10F0E501}"/>
    <cellStyle name="Normal 9 2 2 4 3 3" xfId="5709" xr:uid="{00000000-0005-0000-0000-0000EE1E0000}"/>
    <cellStyle name="Normal 9 2 2 4 3 3 2" xfId="15035" xr:uid="{BD3B19D1-ED92-4094-89FD-AFB1D20EE219}"/>
    <cellStyle name="Normal 9 2 2 4 3 3 3" xfId="24334" xr:uid="{53C4F06C-40A7-46E5-BAF7-3DBE2091F230}"/>
    <cellStyle name="Normal 9 2 2 4 3 4" xfId="10818" xr:uid="{CB0934FD-4B4D-4C0D-8E38-AC702392B6AA}"/>
    <cellStyle name="Normal 9 2 2 4 3 5" xfId="20117" xr:uid="{B6825D72-B044-4E42-A61C-70C8E612C331}"/>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FAF9D6C7-E3E7-4220-B9B4-A356EC32F249}"/>
    <cellStyle name="Normal 9 2 2 4 4 2 2 3" xfId="26892" xr:uid="{A75E467E-56D6-4E44-B008-DB2683D47CA7}"/>
    <cellStyle name="Normal 9 2 2 4 4 2 3" xfId="13376" xr:uid="{7E5D35ED-EAE7-4239-9E41-8D2756F90C4D}"/>
    <cellStyle name="Normal 9 2 2 4 4 2 4" xfId="22675" xr:uid="{AFF56528-4C0D-4F5D-97B3-9FA97BF0F6E6}"/>
    <cellStyle name="Normal 9 2 2 4 4 3" xfId="6122" xr:uid="{00000000-0005-0000-0000-0000F21E0000}"/>
    <cellStyle name="Normal 9 2 2 4 4 3 2" xfId="15448" xr:uid="{FC376F62-CD1C-4B13-93F0-0AEB181B3A13}"/>
    <cellStyle name="Normal 9 2 2 4 4 3 3" xfId="24747" xr:uid="{1DD28551-0B11-4B7B-B402-7B596D7A34DF}"/>
    <cellStyle name="Normal 9 2 2 4 4 4" xfId="11231" xr:uid="{7890317F-2A32-48AC-91FD-7315CBA88F29}"/>
    <cellStyle name="Normal 9 2 2 4 4 5" xfId="20530" xr:uid="{4F66706D-1539-4153-B37B-D0CC13C1B36D}"/>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B9D9474A-029B-421F-853B-B2BD7BF11014}"/>
    <cellStyle name="Normal 9 2 2 4 5 2 2 3" xfId="27305" xr:uid="{03A881F3-0259-4FA3-8D9C-50E4E5F99B66}"/>
    <cellStyle name="Normal 9 2 2 4 5 2 3" xfId="13789" xr:uid="{E17ED8CA-5228-4241-ACDA-254EE4A76D2B}"/>
    <cellStyle name="Normal 9 2 2 4 5 2 4" xfId="23088" xr:uid="{EDB839C6-D39E-45DC-8F6C-284B306CCBE2}"/>
    <cellStyle name="Normal 9 2 2 4 5 3" xfId="6535" xr:uid="{00000000-0005-0000-0000-0000F61E0000}"/>
    <cellStyle name="Normal 9 2 2 4 5 3 2" xfId="15861" xr:uid="{CC1A0568-F256-45ED-A16F-759985302BF7}"/>
    <cellStyle name="Normal 9 2 2 4 5 3 3" xfId="25160" xr:uid="{386C3813-26B3-4468-B256-DE5B4926AFA1}"/>
    <cellStyle name="Normal 9 2 2 4 5 4" xfId="11644" xr:uid="{0C7CE431-DECA-4723-9C25-FA8A84AFD153}"/>
    <cellStyle name="Normal 9 2 2 4 5 5" xfId="20943" xr:uid="{80E8B012-B5DF-41C4-8550-028F3FD0557B}"/>
    <cellStyle name="Normal 9 2 2 4 6" xfId="2665" xr:uid="{00000000-0005-0000-0000-0000F71E0000}"/>
    <cellStyle name="Normal 9 2 2 4 6 2" xfId="6948" xr:uid="{00000000-0005-0000-0000-0000F81E0000}"/>
    <cellStyle name="Normal 9 2 2 4 6 2 2" xfId="16274" xr:uid="{2F2F4070-25FA-4BDF-BBB3-58521CD03350}"/>
    <cellStyle name="Normal 9 2 2 4 6 2 3" xfId="25573" xr:uid="{1A9374E7-03ED-414F-B7F6-ADC1F0FF6D9C}"/>
    <cellStyle name="Normal 9 2 2 4 6 3" xfId="12057" xr:uid="{0E15E46C-D35E-41B5-93F2-4B32DFF3DD57}"/>
    <cellStyle name="Normal 9 2 2 4 6 4" xfId="21356" xr:uid="{AE2B316F-7CE3-4311-87EC-99BD5419084D}"/>
    <cellStyle name="Normal 9 2 2 4 7" xfId="4883" xr:uid="{00000000-0005-0000-0000-0000F91E0000}"/>
    <cellStyle name="Normal 9 2 2 4 7 2" xfId="14209" xr:uid="{A472322C-AF3F-4CBD-8DCD-3D0C6A0F00B1}"/>
    <cellStyle name="Normal 9 2 2 4 7 3" xfId="23508" xr:uid="{E13F6185-0A15-4123-A52F-1CE1C8F85831}"/>
    <cellStyle name="Normal 9 2 2 4 8" xfId="8992" xr:uid="{8AFFF8AD-8552-4B33-AAFF-7DACAE25085E}"/>
    <cellStyle name="Normal 9 2 2 4 8 2" xfId="18316" xr:uid="{C129B690-B255-4596-A95D-8DA417324622}"/>
    <cellStyle name="Normal 9 2 2 4 8 3" xfId="27614" xr:uid="{CB0CAD3B-3A14-4CD8-9B91-D82A1256944C}"/>
    <cellStyle name="Normal 9 2 2 4 9" xfId="9992" xr:uid="{2023C1D2-CE63-431E-85B1-942E4E2A1E51}"/>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698812E2-1118-4339-AAE2-A3C7DAAEB789}"/>
    <cellStyle name="Normal 9 2 2 5 2 2 3" xfId="26059" xr:uid="{E82503DA-DEA3-4772-B403-CBFEA9B8C6ED}"/>
    <cellStyle name="Normal 9 2 2 5 2 3" xfId="12543" xr:uid="{F4A3CA6F-362A-4173-ACDA-6A9FA374A3D5}"/>
    <cellStyle name="Normal 9 2 2 5 2 4" xfId="21842" xr:uid="{EF474BC5-8928-4A1A-A166-02429FBB8D9A}"/>
    <cellStyle name="Normal 9 2 2 5 3" xfId="5289" xr:uid="{00000000-0005-0000-0000-0000FD1E0000}"/>
    <cellStyle name="Normal 9 2 2 5 3 2" xfId="14615" xr:uid="{B6D18025-22B1-4020-802C-B3A1752C44B3}"/>
    <cellStyle name="Normal 9 2 2 5 3 3" xfId="23914" xr:uid="{670FFBBB-46B8-490F-A4A5-91B060E50968}"/>
    <cellStyle name="Normal 9 2 2 5 4" xfId="9209" xr:uid="{66E66B93-842C-41D8-A807-A065C03CFEBD}"/>
    <cellStyle name="Normal 9 2 2 5 4 2" xfId="18525" xr:uid="{C25B363F-9301-41FA-AA67-4956B408FF5C}"/>
    <cellStyle name="Normal 9 2 2 5 4 3" xfId="27822" xr:uid="{1D8BC9F6-CA2E-4307-A8E3-4C08B01F4467}"/>
    <cellStyle name="Normal 9 2 2 5 5" xfId="10398" xr:uid="{729211C2-9AD9-4897-ACDA-8CC0AB92E880}"/>
    <cellStyle name="Normal 9 2 2 5 6" xfId="19697" xr:uid="{CFCFCF79-9DAA-47AC-8668-BF7C5B96758F}"/>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0E441232-26D1-4315-A57F-75D764C64EBD}"/>
    <cellStyle name="Normal 9 2 2 6 2 2 3" xfId="26472" xr:uid="{730CD1B9-313A-42FD-909E-91E93A1C3473}"/>
    <cellStyle name="Normal 9 2 2 6 2 3" xfId="12956" xr:uid="{2AA247A5-5736-4F93-AC40-798C6ECB138E}"/>
    <cellStyle name="Normal 9 2 2 6 2 4" xfId="22255" xr:uid="{08B05334-FFC1-457B-A7C7-054873EB0869}"/>
    <cellStyle name="Normal 9 2 2 6 3" xfId="5702" xr:uid="{00000000-0005-0000-0000-0000011F0000}"/>
    <cellStyle name="Normal 9 2 2 6 3 2" xfId="15028" xr:uid="{8DC5BDAE-0BE1-4969-A1A6-1B2F6A812788}"/>
    <cellStyle name="Normal 9 2 2 6 3 3" xfId="24327" xr:uid="{40CDA09A-CA90-4689-808D-F27AC64CA573}"/>
    <cellStyle name="Normal 9 2 2 6 4" xfId="10811" xr:uid="{E447DA24-08EE-4056-B7D6-F7D1D6B7A6BF}"/>
    <cellStyle name="Normal 9 2 2 6 5" xfId="20110" xr:uid="{67801419-D152-4F56-93D5-AD9FE01EB94C}"/>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B5DE2B65-FC4B-4496-BB46-2C3DEA82A9C8}"/>
    <cellStyle name="Normal 9 2 2 7 2 2 3" xfId="26885" xr:uid="{ECF8C698-D85D-4737-AF74-3F9957549BDC}"/>
    <cellStyle name="Normal 9 2 2 7 2 3" xfId="13369" xr:uid="{B4813668-03F5-44A8-918E-4522DE63C968}"/>
    <cellStyle name="Normal 9 2 2 7 2 4" xfId="22668" xr:uid="{E6D76F4A-352E-4083-B568-76BB025E32F9}"/>
    <cellStyle name="Normal 9 2 2 7 3" xfId="6115" xr:uid="{00000000-0005-0000-0000-0000051F0000}"/>
    <cellStyle name="Normal 9 2 2 7 3 2" xfId="15441" xr:uid="{82AA1FDA-0369-4784-9B71-BA85CFEB1E50}"/>
    <cellStyle name="Normal 9 2 2 7 3 3" xfId="24740" xr:uid="{68024480-F03D-41A7-9EAB-FC95A90C969E}"/>
    <cellStyle name="Normal 9 2 2 7 4" xfId="11224" xr:uid="{9059E13F-4D51-403D-BB7E-A2F98BEBF02C}"/>
    <cellStyle name="Normal 9 2 2 7 5" xfId="20523" xr:uid="{EC5FCA5E-327A-4618-9A04-93FE8E06FEE8}"/>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C8615B2B-0DDC-4691-A253-797DDBE5AE91}"/>
    <cellStyle name="Normal 9 2 2 8 2 2 3" xfId="27298" xr:uid="{3EA3FBE8-3AB6-46C7-A409-3DBC576AE91A}"/>
    <cellStyle name="Normal 9 2 2 8 2 3" xfId="13782" xr:uid="{17A589E7-7D15-4136-BA68-F1B04E091A0E}"/>
    <cellStyle name="Normal 9 2 2 8 2 4" xfId="23081" xr:uid="{8335A9DF-AC9F-42F2-8F21-DBAF23B76752}"/>
    <cellStyle name="Normal 9 2 2 8 3" xfId="6528" xr:uid="{00000000-0005-0000-0000-0000091F0000}"/>
    <cellStyle name="Normal 9 2 2 8 3 2" xfId="15854" xr:uid="{4A6ADE9D-EC29-4F8E-B8A7-28FBA73BA9AA}"/>
    <cellStyle name="Normal 9 2 2 8 3 3" xfId="25153" xr:uid="{41A3994B-4FBC-48BA-8151-7587C684684D}"/>
    <cellStyle name="Normal 9 2 2 8 4" xfId="11637" xr:uid="{149322B5-0605-44EB-A6AA-B3198AEC46BA}"/>
    <cellStyle name="Normal 9 2 2 8 5" xfId="20936" xr:uid="{52D6462E-F8D2-43C1-B161-19DBC3AC2500}"/>
    <cellStyle name="Normal 9 2 2 9" xfId="2658" xr:uid="{00000000-0005-0000-0000-00000A1F0000}"/>
    <cellStyle name="Normal 9 2 2 9 2" xfId="6941" xr:uid="{00000000-0005-0000-0000-00000B1F0000}"/>
    <cellStyle name="Normal 9 2 2 9 2 2" xfId="16267" xr:uid="{93A5F3C7-556E-4723-9922-8F19CE574FD3}"/>
    <cellStyle name="Normal 9 2 2 9 2 3" xfId="25566" xr:uid="{4099A769-8974-4A39-82DC-98DD5B50B83F}"/>
    <cellStyle name="Normal 9 2 2 9 3" xfId="12050" xr:uid="{91306E0B-C329-49A7-A9EB-098BB4B2523A}"/>
    <cellStyle name="Normal 9 2 2 9 4" xfId="21349" xr:uid="{EA4A32EC-4CBC-4748-B429-9855E57BA578}"/>
    <cellStyle name="Normal 9 2 3" xfId="520" xr:uid="{00000000-0005-0000-0000-00000C1F0000}"/>
    <cellStyle name="Normal 9 2 3 10" xfId="8838" xr:uid="{3F59BADF-95CF-4831-9CE1-8ACBDD585DF1}"/>
    <cellStyle name="Normal 9 2 3 10 2" xfId="18162" xr:uid="{5A0590A6-7999-4F3E-8673-DEA6BD6B0882}"/>
    <cellStyle name="Normal 9 2 3 10 3" xfId="27460" xr:uid="{1DBAB37A-0A9D-4205-9458-E146D2218F2B}"/>
    <cellStyle name="Normal 9 2 3 11" xfId="9993" xr:uid="{B6D9F822-8892-4E7B-8040-FD2913C87D02}"/>
    <cellStyle name="Normal 9 2 3 12" xfId="19292" xr:uid="{E7C7D92B-EF18-4C09-8147-8DBA1224300C}"/>
    <cellStyle name="Normal 9 2 3 2" xfId="521" xr:uid="{00000000-0005-0000-0000-00000D1F0000}"/>
    <cellStyle name="Normal 9 2 3 2 10" xfId="9994" xr:uid="{C9E0CCEA-586C-470F-A61F-ACDA84A197A1}"/>
    <cellStyle name="Normal 9 2 3 2 11" xfId="19293" xr:uid="{B04627D8-994F-4710-979D-C852B0873B41}"/>
    <cellStyle name="Normal 9 2 3 2 2" xfId="522" xr:uid="{00000000-0005-0000-0000-00000E1F0000}"/>
    <cellStyle name="Normal 9 2 3 2 2 10" xfId="19294" xr:uid="{93ADDCBD-59F6-4AAD-8869-0757E913C508}"/>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179B769A-F3D1-46F4-A02A-9EEF790A7354}"/>
    <cellStyle name="Normal 9 2 3 2 2 2 2 2 3" xfId="26069" xr:uid="{74EDC9D9-09D6-46EB-AE2C-F3AACDBAC326}"/>
    <cellStyle name="Normal 9 2 3 2 2 2 2 3" xfId="12553" xr:uid="{9804D06D-7BAE-4341-AB5E-AE3A23AF34F1}"/>
    <cellStyle name="Normal 9 2 3 2 2 2 2 4" xfId="21852" xr:uid="{5C11065A-E4A3-4442-9096-0A33800F2C3D}"/>
    <cellStyle name="Normal 9 2 3 2 2 2 3" xfId="5299" xr:uid="{00000000-0005-0000-0000-0000121F0000}"/>
    <cellStyle name="Normal 9 2 3 2 2 2 3 2" xfId="14625" xr:uid="{0C341D69-3A7B-4EF8-ABA7-2BE9D6B8B704}"/>
    <cellStyle name="Normal 9 2 3 2 2 2 3 3" xfId="23924" xr:uid="{5FC14733-5099-4523-9F1C-1A5DD30E8236}"/>
    <cellStyle name="Normal 9 2 3 2 2 2 4" xfId="9573" xr:uid="{376F8566-2407-40B8-9531-D3E757BE7A23}"/>
    <cellStyle name="Normal 9 2 3 2 2 2 4 2" xfId="18888" xr:uid="{D9DA4A8D-C216-49B1-AEFE-F623B5D5D0A6}"/>
    <cellStyle name="Normal 9 2 3 2 2 2 4 3" xfId="28185" xr:uid="{944E7715-5E74-4296-9842-40BA56370A49}"/>
    <cellStyle name="Normal 9 2 3 2 2 2 5" xfId="10408" xr:uid="{0CBB9CAE-9913-4741-86F9-A96EFC881A4C}"/>
    <cellStyle name="Normal 9 2 3 2 2 2 6" xfId="19707" xr:uid="{AA9A1C73-7CB7-46F8-9B02-6E87939AE7F4}"/>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E17D0BA7-22BA-4157-A4C4-49C21789EDFD}"/>
    <cellStyle name="Normal 9 2 3 2 2 3 2 2 3" xfId="26482" xr:uid="{B1D4651D-DA8C-498F-9AE9-608B4165480A}"/>
    <cellStyle name="Normal 9 2 3 2 2 3 2 3" xfId="12966" xr:uid="{24792C84-FC3C-4E77-8CE4-1A6919D451D2}"/>
    <cellStyle name="Normal 9 2 3 2 2 3 2 4" xfId="22265" xr:uid="{302880AD-58E5-4014-916C-A40A15803D19}"/>
    <cellStyle name="Normal 9 2 3 2 2 3 3" xfId="5712" xr:uid="{00000000-0005-0000-0000-0000161F0000}"/>
    <cellStyle name="Normal 9 2 3 2 2 3 3 2" xfId="15038" xr:uid="{A1F11650-BED6-4A2C-863E-865348B8D005}"/>
    <cellStyle name="Normal 9 2 3 2 2 3 3 3" xfId="24337" xr:uid="{A78FE437-B600-42A4-9A10-1043C97DC5B2}"/>
    <cellStyle name="Normal 9 2 3 2 2 3 4" xfId="10821" xr:uid="{129E50B2-F53A-46B2-93AA-F8CEADBEA48D}"/>
    <cellStyle name="Normal 9 2 3 2 2 3 5" xfId="20120" xr:uid="{CB899F73-DECB-40FE-AF23-DEBA4884D176}"/>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869FBE13-87B7-4A78-BB34-ADD798FF9BD3}"/>
    <cellStyle name="Normal 9 2 3 2 2 4 2 2 3" xfId="26895" xr:uid="{4F63002E-05C7-4F94-991B-CEC2924D1D52}"/>
    <cellStyle name="Normal 9 2 3 2 2 4 2 3" xfId="13379" xr:uid="{FDFF5E7D-832B-467D-A8C6-118A5273E2D3}"/>
    <cellStyle name="Normal 9 2 3 2 2 4 2 4" xfId="22678" xr:uid="{DE12E0C4-5E10-4163-A169-0CB3926DC531}"/>
    <cellStyle name="Normal 9 2 3 2 2 4 3" xfId="6125" xr:uid="{00000000-0005-0000-0000-00001A1F0000}"/>
    <cellStyle name="Normal 9 2 3 2 2 4 3 2" xfId="15451" xr:uid="{BC944796-3A34-4317-8344-A129A1A234B6}"/>
    <cellStyle name="Normal 9 2 3 2 2 4 3 3" xfId="24750" xr:uid="{F55372C8-B3B7-42B6-8757-F32FDDF457F9}"/>
    <cellStyle name="Normal 9 2 3 2 2 4 4" xfId="11234" xr:uid="{4C6A863D-77F7-4E2D-931F-8DDEAAEDB63E}"/>
    <cellStyle name="Normal 9 2 3 2 2 4 5" xfId="20533" xr:uid="{A1FF784D-8CA6-4B35-904E-B3F668A5A4E7}"/>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251E2587-C3BA-4F19-B36C-B183373E7BF9}"/>
    <cellStyle name="Normal 9 2 3 2 2 5 2 2 3" xfId="27308" xr:uid="{6A13BF4E-5953-4E8F-A253-BF969862AB78}"/>
    <cellStyle name="Normal 9 2 3 2 2 5 2 3" xfId="13792" xr:uid="{3B5751D3-F4FE-498E-BC24-0FBCBD2A9AE3}"/>
    <cellStyle name="Normal 9 2 3 2 2 5 2 4" xfId="23091" xr:uid="{CD3457BA-657B-41C3-84C5-5F3B9730ED0F}"/>
    <cellStyle name="Normal 9 2 3 2 2 5 3" xfId="6538" xr:uid="{00000000-0005-0000-0000-00001E1F0000}"/>
    <cellStyle name="Normal 9 2 3 2 2 5 3 2" xfId="15864" xr:uid="{3581D7FC-8F82-4451-B01C-40ECD6405833}"/>
    <cellStyle name="Normal 9 2 3 2 2 5 3 3" xfId="25163" xr:uid="{D69FAD93-98D2-4371-9843-C821AA2AA01D}"/>
    <cellStyle name="Normal 9 2 3 2 2 5 4" xfId="11647" xr:uid="{87048FEA-FB05-463A-B391-C9E89D981E6F}"/>
    <cellStyle name="Normal 9 2 3 2 2 5 5" xfId="20946" xr:uid="{5F5A9C35-6D43-4407-B823-378E5B6FEDC1}"/>
    <cellStyle name="Normal 9 2 3 2 2 6" xfId="2668" xr:uid="{00000000-0005-0000-0000-00001F1F0000}"/>
    <cellStyle name="Normal 9 2 3 2 2 6 2" xfId="6951" xr:uid="{00000000-0005-0000-0000-0000201F0000}"/>
    <cellStyle name="Normal 9 2 3 2 2 6 2 2" xfId="16277" xr:uid="{794DA245-851E-4FE8-8D1B-49E83C7645D1}"/>
    <cellStyle name="Normal 9 2 3 2 2 6 2 3" xfId="25576" xr:uid="{A043141D-F732-438D-A871-C71105393B40}"/>
    <cellStyle name="Normal 9 2 3 2 2 6 3" xfId="12060" xr:uid="{BEE3CEDE-C336-4B09-A818-EF89763E7213}"/>
    <cellStyle name="Normal 9 2 3 2 2 6 4" xfId="21359" xr:uid="{4B019F0A-3844-4E66-B177-0C5E93F21B1A}"/>
    <cellStyle name="Normal 9 2 3 2 2 7" xfId="4886" xr:uid="{00000000-0005-0000-0000-0000211F0000}"/>
    <cellStyle name="Normal 9 2 3 2 2 7 2" xfId="14212" xr:uid="{D73BF84E-4F9E-4B27-BEB3-66C0B5E2DA7F}"/>
    <cellStyle name="Normal 9 2 3 2 2 7 3" xfId="23511" xr:uid="{CDCBD791-EC6F-4FC6-AC7D-870194DF44AD}"/>
    <cellStyle name="Normal 9 2 3 2 2 8" xfId="9148" xr:uid="{E1A2F3F0-C8EA-47FA-BB37-18F117041A87}"/>
    <cellStyle name="Normal 9 2 3 2 2 8 2" xfId="18472" xr:uid="{B0119194-372D-4D96-B9FA-8C6EC028303F}"/>
    <cellStyle name="Normal 9 2 3 2 2 8 3" xfId="27770" xr:uid="{573F4CD8-DC1C-4454-BFE2-86373955DF88}"/>
    <cellStyle name="Normal 9 2 3 2 2 9" xfId="9995" xr:uid="{A5BAD5F9-F9B3-417F-875E-2A93F9FC60D3}"/>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DD9EEB68-F3E3-4952-8DBF-6205A3F904A6}"/>
    <cellStyle name="Normal 9 2 3 2 3 2 2 3" xfId="26068" xr:uid="{B65AF45B-DA23-4D90-BCDF-843FBC82FAE8}"/>
    <cellStyle name="Normal 9 2 3 2 3 2 3" xfId="12552" xr:uid="{02B3327F-7C0F-4855-86C1-913BC4D8CFBF}"/>
    <cellStyle name="Normal 9 2 3 2 3 2 4" xfId="21851" xr:uid="{BE39E3BF-646C-4600-ADF4-402EC9B3DDA3}"/>
    <cellStyle name="Normal 9 2 3 2 3 3" xfId="5298" xr:uid="{00000000-0005-0000-0000-0000251F0000}"/>
    <cellStyle name="Normal 9 2 3 2 3 3 2" xfId="14624" xr:uid="{10E51033-1DD3-4784-A599-3AFF2D705769}"/>
    <cellStyle name="Normal 9 2 3 2 3 3 3" xfId="23923" xr:uid="{D1E10AE8-CAC0-47BB-9B9E-4591FD85036D}"/>
    <cellStyle name="Normal 9 2 3 2 3 4" xfId="9366" xr:uid="{136A6B94-9CAA-4F6C-B09D-7385900FCA38}"/>
    <cellStyle name="Normal 9 2 3 2 3 4 2" xfId="18681" xr:uid="{06C1768E-A982-49DC-8E83-C4E6D4B81515}"/>
    <cellStyle name="Normal 9 2 3 2 3 4 3" xfId="27978" xr:uid="{180D5287-B0B7-46F3-B57F-D32F252D1078}"/>
    <cellStyle name="Normal 9 2 3 2 3 5" xfId="10407" xr:uid="{369BEDE7-9D28-4401-94D7-F95ABC4ABA33}"/>
    <cellStyle name="Normal 9 2 3 2 3 6" xfId="19706" xr:uid="{56910963-AE69-4A2E-BCDC-F4689257D26D}"/>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FAD70C44-7F40-4CE6-B705-AAAD6E9A3E0A}"/>
    <cellStyle name="Normal 9 2 3 2 4 2 2 3" xfId="26481" xr:uid="{92CCA303-C61A-457E-A633-944DF15629DE}"/>
    <cellStyle name="Normal 9 2 3 2 4 2 3" xfId="12965" xr:uid="{385955B5-E905-4B5B-A68E-CA3D153DE9A5}"/>
    <cellStyle name="Normal 9 2 3 2 4 2 4" xfId="22264" xr:uid="{9B2F792C-25F3-4BA5-81FA-C4FB25F4CC14}"/>
    <cellStyle name="Normal 9 2 3 2 4 3" xfId="5711" xr:uid="{00000000-0005-0000-0000-0000291F0000}"/>
    <cellStyle name="Normal 9 2 3 2 4 3 2" xfId="15037" xr:uid="{4A77E27F-0DE9-4999-BD6D-331823130878}"/>
    <cellStyle name="Normal 9 2 3 2 4 3 3" xfId="24336" xr:uid="{E9551816-A425-4DC0-9217-9C601A58DBDB}"/>
    <cellStyle name="Normal 9 2 3 2 4 4" xfId="10820" xr:uid="{CAB0FFB5-EF85-44E7-923E-91652BA9A0E7}"/>
    <cellStyle name="Normal 9 2 3 2 4 5" xfId="20119" xr:uid="{8371B9C1-FB68-4FEB-8E1F-547E5BAE2741}"/>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1B5FB7D2-E595-41A8-A4A6-FF70864F5769}"/>
    <cellStyle name="Normal 9 2 3 2 5 2 2 3" xfId="26894" xr:uid="{8386F247-2184-40C0-9920-B1021F4FFE1B}"/>
    <cellStyle name="Normal 9 2 3 2 5 2 3" xfId="13378" xr:uid="{DDCD2BEF-9293-4FF6-AEFF-3BD4FF35349F}"/>
    <cellStyle name="Normal 9 2 3 2 5 2 4" xfId="22677" xr:uid="{42BDD568-2EA5-463B-92BA-095F53072210}"/>
    <cellStyle name="Normal 9 2 3 2 5 3" xfId="6124" xr:uid="{00000000-0005-0000-0000-00002D1F0000}"/>
    <cellStyle name="Normal 9 2 3 2 5 3 2" xfId="15450" xr:uid="{8336B3FE-D077-4AFA-85CC-EC7D3D3E59CA}"/>
    <cellStyle name="Normal 9 2 3 2 5 3 3" xfId="24749" xr:uid="{301C5949-D2A1-4867-9826-93B2145377AC}"/>
    <cellStyle name="Normal 9 2 3 2 5 4" xfId="11233" xr:uid="{759852B9-4192-4813-9D97-304AF9A8699B}"/>
    <cellStyle name="Normal 9 2 3 2 5 5" xfId="20532" xr:uid="{AB4B0D6A-AD7C-4226-A412-9A434695CC52}"/>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FCCA53AF-1C6B-4E37-822C-55C7C74CD5D2}"/>
    <cellStyle name="Normal 9 2 3 2 6 2 2 3" xfId="27307" xr:uid="{1737D292-F89F-4DC3-94F9-899ECC808110}"/>
    <cellStyle name="Normal 9 2 3 2 6 2 3" xfId="13791" xr:uid="{882D1651-0B62-4E5E-91DF-8EA08B7AD7FD}"/>
    <cellStyle name="Normal 9 2 3 2 6 2 4" xfId="23090" xr:uid="{3579FF52-13AA-4CF2-95B0-F7F00294B470}"/>
    <cellStyle name="Normal 9 2 3 2 6 3" xfId="6537" xr:uid="{00000000-0005-0000-0000-0000311F0000}"/>
    <cellStyle name="Normal 9 2 3 2 6 3 2" xfId="15863" xr:uid="{E00FCB54-7D94-48F6-814C-BE05864A82F0}"/>
    <cellStyle name="Normal 9 2 3 2 6 3 3" xfId="25162" xr:uid="{83A16C71-E948-4C37-B4E5-5D7CE66DED69}"/>
    <cellStyle name="Normal 9 2 3 2 6 4" xfId="11646" xr:uid="{808C72E3-5254-42A7-B457-C34865231740}"/>
    <cellStyle name="Normal 9 2 3 2 6 5" xfId="20945" xr:uid="{9E31C5F1-6FD4-40B7-BB69-445A42FE0DFC}"/>
    <cellStyle name="Normal 9 2 3 2 7" xfId="2667" xr:uid="{00000000-0005-0000-0000-0000321F0000}"/>
    <cellStyle name="Normal 9 2 3 2 7 2" xfId="6950" xr:uid="{00000000-0005-0000-0000-0000331F0000}"/>
    <cellStyle name="Normal 9 2 3 2 7 2 2" xfId="16276" xr:uid="{D6252259-9AC7-4680-836C-909C7F2335BA}"/>
    <cellStyle name="Normal 9 2 3 2 7 2 3" xfId="25575" xr:uid="{E18D961B-0C0C-4CE8-9003-E5C11EFB31FB}"/>
    <cellStyle name="Normal 9 2 3 2 7 3" xfId="12059" xr:uid="{F1512623-22D9-4DA5-A3B5-F9AD0D723EDD}"/>
    <cellStyle name="Normal 9 2 3 2 7 4" xfId="21358" xr:uid="{CA11F183-D6EC-49D0-9948-21BBB62E27D0}"/>
    <cellStyle name="Normal 9 2 3 2 8" xfId="4885" xr:uid="{00000000-0005-0000-0000-0000341F0000}"/>
    <cellStyle name="Normal 9 2 3 2 8 2" xfId="14211" xr:uid="{E4996337-18AF-4175-870D-E6BE881DA302}"/>
    <cellStyle name="Normal 9 2 3 2 8 3" xfId="23510" xr:uid="{088D1542-2E18-44A7-BD61-92E878883F09}"/>
    <cellStyle name="Normal 9 2 3 2 9" xfId="8941" xr:uid="{DDA1E375-E708-45D0-9119-207D493A75BA}"/>
    <cellStyle name="Normal 9 2 3 2 9 2" xfId="18265" xr:uid="{CA6DF012-4F57-4B0D-AFDF-80FD5E2ED86E}"/>
    <cellStyle name="Normal 9 2 3 2 9 3" xfId="27563" xr:uid="{07DE94D4-7DF1-4AAF-A7C4-314A550CAFB3}"/>
    <cellStyle name="Normal 9 2 3 3" xfId="523" xr:uid="{00000000-0005-0000-0000-0000351F0000}"/>
    <cellStyle name="Normal 9 2 3 3 10" xfId="19295" xr:uid="{00E7C41E-7022-4F0B-BA06-093675F702B5}"/>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EF22E0C7-8432-4E7B-A0E0-39B768DD307B}"/>
    <cellStyle name="Normal 9 2 3 3 2 2 2 3" xfId="26070" xr:uid="{10BDE597-EF6F-4A82-9442-2A86086E77DC}"/>
    <cellStyle name="Normal 9 2 3 3 2 2 3" xfId="12554" xr:uid="{61171FF1-7905-4B14-821F-8F5ACF8C3F16}"/>
    <cellStyle name="Normal 9 2 3 3 2 2 4" xfId="21853" xr:uid="{485B2EF5-5708-4C51-A49A-7064B3E1255B}"/>
    <cellStyle name="Normal 9 2 3 3 2 3" xfId="5300" xr:uid="{00000000-0005-0000-0000-0000391F0000}"/>
    <cellStyle name="Normal 9 2 3 3 2 3 2" xfId="14626" xr:uid="{B2F0EC91-79FA-407A-B151-EF7BC6583080}"/>
    <cellStyle name="Normal 9 2 3 3 2 3 3" xfId="23925" xr:uid="{DE25C0E9-6E75-4C32-B9D2-67D1B2282F28}"/>
    <cellStyle name="Normal 9 2 3 3 2 4" xfId="9470" xr:uid="{B46EA5E7-4A9D-405A-94B0-2C155F0DE1F1}"/>
    <cellStyle name="Normal 9 2 3 3 2 4 2" xfId="18785" xr:uid="{0E6C3F3B-3949-47B0-AAFD-9B72706C755B}"/>
    <cellStyle name="Normal 9 2 3 3 2 4 3" xfId="28082" xr:uid="{0E774D4C-AF6B-48B3-BC5F-D69F9BA0D415}"/>
    <cellStyle name="Normal 9 2 3 3 2 5" xfId="10409" xr:uid="{DB010CCA-A366-4F66-8AF8-8E2CCCB6DC04}"/>
    <cellStyle name="Normal 9 2 3 3 2 6" xfId="19708" xr:uid="{1A8782C5-B754-4729-8C67-DAE5D827B13F}"/>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2A0C949D-A68D-46FF-AEB2-25E091216829}"/>
    <cellStyle name="Normal 9 2 3 3 3 2 2 3" xfId="26483" xr:uid="{7253DB40-5D2B-41C8-BA3F-704D344956B2}"/>
    <cellStyle name="Normal 9 2 3 3 3 2 3" xfId="12967" xr:uid="{E59F429D-74D5-452A-AD96-7D80A69173BB}"/>
    <cellStyle name="Normal 9 2 3 3 3 2 4" xfId="22266" xr:uid="{10E508C0-D2C0-4CC2-B2F0-FDBDD95F910B}"/>
    <cellStyle name="Normal 9 2 3 3 3 3" xfId="5713" xr:uid="{00000000-0005-0000-0000-00003D1F0000}"/>
    <cellStyle name="Normal 9 2 3 3 3 3 2" xfId="15039" xr:uid="{45A08409-0CDE-42C9-A7D3-9646F12E2C5D}"/>
    <cellStyle name="Normal 9 2 3 3 3 3 3" xfId="24338" xr:uid="{591F326B-0224-402B-8B72-7329AC83EDFA}"/>
    <cellStyle name="Normal 9 2 3 3 3 4" xfId="10822" xr:uid="{792154A3-3B42-4A75-9380-B7E050013D07}"/>
    <cellStyle name="Normal 9 2 3 3 3 5" xfId="20121" xr:uid="{B3F29150-BD68-42E0-B439-4EBCA880B31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43E35099-4BFC-49AF-A937-5EBF9D14E461}"/>
    <cellStyle name="Normal 9 2 3 3 4 2 2 3" xfId="26896" xr:uid="{AB8E2167-3C04-4C61-B147-44BC36F1D38B}"/>
    <cellStyle name="Normal 9 2 3 3 4 2 3" xfId="13380" xr:uid="{FCBD1D3D-4359-4F85-A57B-94ABDA845562}"/>
    <cellStyle name="Normal 9 2 3 3 4 2 4" xfId="22679" xr:uid="{C49F6F76-C65D-4590-BD36-8933F60A2271}"/>
    <cellStyle name="Normal 9 2 3 3 4 3" xfId="6126" xr:uid="{00000000-0005-0000-0000-0000411F0000}"/>
    <cellStyle name="Normal 9 2 3 3 4 3 2" xfId="15452" xr:uid="{8C78347B-D33B-4F52-BAF8-A8B757BC274C}"/>
    <cellStyle name="Normal 9 2 3 3 4 3 3" xfId="24751" xr:uid="{EF4EC68E-C277-4827-A807-8B627E8AD02E}"/>
    <cellStyle name="Normal 9 2 3 3 4 4" xfId="11235" xr:uid="{C9A4171F-0612-4F63-92A2-CBA9F9185D69}"/>
    <cellStyle name="Normal 9 2 3 3 4 5" xfId="20534" xr:uid="{A57491E4-4A10-4E52-9284-DC04BB8648FC}"/>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E0F77493-926B-4F81-9449-C8C87E1CD4F6}"/>
    <cellStyle name="Normal 9 2 3 3 5 2 2 3" xfId="27309" xr:uid="{B2320519-994B-4882-9A15-96E2E1630211}"/>
    <cellStyle name="Normal 9 2 3 3 5 2 3" xfId="13793" xr:uid="{80417B56-3AF4-410F-BDB8-E5128922E4CD}"/>
    <cellStyle name="Normal 9 2 3 3 5 2 4" xfId="23092" xr:uid="{1FBEC40A-59C1-4674-BFD8-5D1560FCBBAC}"/>
    <cellStyle name="Normal 9 2 3 3 5 3" xfId="6539" xr:uid="{00000000-0005-0000-0000-0000451F0000}"/>
    <cellStyle name="Normal 9 2 3 3 5 3 2" xfId="15865" xr:uid="{16FA6AF2-D5D9-456E-9EA2-7E5A3D6666B6}"/>
    <cellStyle name="Normal 9 2 3 3 5 3 3" xfId="25164" xr:uid="{6AB8D18C-8519-4DDC-9433-3DB0DF49AF91}"/>
    <cellStyle name="Normal 9 2 3 3 5 4" xfId="11648" xr:uid="{DFF17DE7-EA10-4DB4-BDC0-263334C90850}"/>
    <cellStyle name="Normal 9 2 3 3 5 5" xfId="20947" xr:uid="{0FFB083D-8FB1-4387-AEF7-6C508F8B35B3}"/>
    <cellStyle name="Normal 9 2 3 3 6" xfId="2669" xr:uid="{00000000-0005-0000-0000-0000461F0000}"/>
    <cellStyle name="Normal 9 2 3 3 6 2" xfId="6952" xr:uid="{00000000-0005-0000-0000-0000471F0000}"/>
    <cellStyle name="Normal 9 2 3 3 6 2 2" xfId="16278" xr:uid="{299284FB-0E19-4C8C-9582-CDF5579E357C}"/>
    <cellStyle name="Normal 9 2 3 3 6 2 3" xfId="25577" xr:uid="{44FD5A48-BD7D-4759-BBC8-9BF691B72E8A}"/>
    <cellStyle name="Normal 9 2 3 3 6 3" xfId="12061" xr:uid="{782D0DD8-3E31-4E18-A5EA-3ADB33BE0966}"/>
    <cellStyle name="Normal 9 2 3 3 6 4" xfId="21360" xr:uid="{324FDEEA-6903-4766-A4B2-3F99204BDBD7}"/>
    <cellStyle name="Normal 9 2 3 3 7" xfId="4887" xr:uid="{00000000-0005-0000-0000-0000481F0000}"/>
    <cellStyle name="Normal 9 2 3 3 7 2" xfId="14213" xr:uid="{F29B2395-9DEC-41DC-85C5-309EE197A28D}"/>
    <cellStyle name="Normal 9 2 3 3 7 3" xfId="23512" xr:uid="{0FE50899-8A7B-4072-A27B-127137C193BF}"/>
    <cellStyle name="Normal 9 2 3 3 8" xfId="9045" xr:uid="{CD23D75F-FCE1-471A-A55A-DAC6FB15D069}"/>
    <cellStyle name="Normal 9 2 3 3 8 2" xfId="18369" xr:uid="{B14B3476-28A5-4003-BE19-27155E405E7A}"/>
    <cellStyle name="Normal 9 2 3 3 8 3" xfId="27667" xr:uid="{50A45F2D-64B5-4FE3-B397-5B3C7F27E201}"/>
    <cellStyle name="Normal 9 2 3 3 9" xfId="9996" xr:uid="{3621B7A8-0BC5-40B3-B364-A95E9EC13A5E}"/>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04958314-362A-4CF0-ACEA-14B08290E91F}"/>
    <cellStyle name="Normal 9 2 3 4 2 2 3" xfId="26067" xr:uid="{E977C822-AD28-4B50-9854-661758E9CDB0}"/>
    <cellStyle name="Normal 9 2 3 4 2 3" xfId="12551" xr:uid="{35888792-4E30-4391-9DEA-C93ABA8426D5}"/>
    <cellStyle name="Normal 9 2 3 4 2 4" xfId="21850" xr:uid="{0A75F2B4-037F-48AF-85E2-9AB72C14236A}"/>
    <cellStyle name="Normal 9 2 3 4 3" xfId="5297" xr:uid="{00000000-0005-0000-0000-00004C1F0000}"/>
    <cellStyle name="Normal 9 2 3 4 3 2" xfId="14623" xr:uid="{0A801436-0763-4E4D-B6ED-4CE0C730086B}"/>
    <cellStyle name="Normal 9 2 3 4 3 3" xfId="23922" xr:uid="{D957BA2C-DF18-4AE5-A252-952B0D4A4413}"/>
    <cellStyle name="Normal 9 2 3 4 4" xfId="9263" xr:uid="{8E7B719A-F76B-4A2B-A5A7-1A883FD6976F}"/>
    <cellStyle name="Normal 9 2 3 4 4 2" xfId="18578" xr:uid="{E2EFE3C0-40C7-4F39-84A9-18A940F1FC88}"/>
    <cellStyle name="Normal 9 2 3 4 4 3" xfId="27875" xr:uid="{7F479A2D-9FC7-43BC-AF42-CFAB0F9C474C}"/>
    <cellStyle name="Normal 9 2 3 4 5" xfId="10406" xr:uid="{4B9E554E-4745-46AE-B728-EC98C50CE6F8}"/>
    <cellStyle name="Normal 9 2 3 4 6" xfId="19705" xr:uid="{FB4B3184-913B-4798-9CE8-CCFA1D1C9636}"/>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6D0AB1F8-BF65-465F-BDB3-DDFBF8C2E0A0}"/>
    <cellStyle name="Normal 9 2 3 5 2 2 3" xfId="26480" xr:uid="{E85CF785-08D4-4FF7-AB09-A22DE26AC70F}"/>
    <cellStyle name="Normal 9 2 3 5 2 3" xfId="12964" xr:uid="{BCBD14B8-DA8C-45C2-9708-BF9E58EC2F29}"/>
    <cellStyle name="Normal 9 2 3 5 2 4" xfId="22263" xr:uid="{1008460F-82F6-4FAF-A298-7E427CA0BACD}"/>
    <cellStyle name="Normal 9 2 3 5 3" xfId="5710" xr:uid="{00000000-0005-0000-0000-0000501F0000}"/>
    <cellStyle name="Normal 9 2 3 5 3 2" xfId="15036" xr:uid="{FC6A02C6-3F64-4B9B-BF7E-1CDB6C01C9D1}"/>
    <cellStyle name="Normal 9 2 3 5 3 3" xfId="24335" xr:uid="{6080B652-4B9E-4B4E-9180-960376AAE9FE}"/>
    <cellStyle name="Normal 9 2 3 5 4" xfId="10819" xr:uid="{28AA54A7-12E7-4BCC-87A5-B256C9CBCDDD}"/>
    <cellStyle name="Normal 9 2 3 5 5" xfId="20118" xr:uid="{F07E6A5E-B1D0-4BCC-8A49-682827D0C352}"/>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B656C864-8926-4E31-8407-B9DFCE505FF0}"/>
    <cellStyle name="Normal 9 2 3 6 2 2 3" xfId="26893" xr:uid="{13C1A34F-A4F1-4EFD-97C6-19A119E5C434}"/>
    <cellStyle name="Normal 9 2 3 6 2 3" xfId="13377" xr:uid="{17B6BD85-0141-4830-989C-7B765C96913D}"/>
    <cellStyle name="Normal 9 2 3 6 2 4" xfId="22676" xr:uid="{C5F37DCA-D0EE-479D-BB1B-0CB4432CD45A}"/>
    <cellStyle name="Normal 9 2 3 6 3" xfId="6123" xr:uid="{00000000-0005-0000-0000-0000541F0000}"/>
    <cellStyle name="Normal 9 2 3 6 3 2" xfId="15449" xr:uid="{0081D042-28D7-46D1-BCC1-E852ECA33074}"/>
    <cellStyle name="Normal 9 2 3 6 3 3" xfId="24748" xr:uid="{69856143-0F20-4607-B404-F5D1356CB2BC}"/>
    <cellStyle name="Normal 9 2 3 6 4" xfId="11232" xr:uid="{9D0C3212-3535-4169-9CE8-5EE6307CC817}"/>
    <cellStyle name="Normal 9 2 3 6 5" xfId="20531" xr:uid="{9C351485-087B-4049-BC01-948D086B6370}"/>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3BAB65D7-5163-43CA-89B6-87B0124C1D53}"/>
    <cellStyle name="Normal 9 2 3 7 2 2 3" xfId="27306" xr:uid="{B8D6A9F5-E5BA-49BB-8D0E-0341E4E35FCF}"/>
    <cellStyle name="Normal 9 2 3 7 2 3" xfId="13790" xr:uid="{1AC4BB2B-22BE-4375-A0DF-CC75D36DF67F}"/>
    <cellStyle name="Normal 9 2 3 7 2 4" xfId="23089" xr:uid="{7836957C-0D13-42BA-9BBC-85718E842BB7}"/>
    <cellStyle name="Normal 9 2 3 7 3" xfId="6536" xr:uid="{00000000-0005-0000-0000-0000581F0000}"/>
    <cellStyle name="Normal 9 2 3 7 3 2" xfId="15862" xr:uid="{FA580D5D-0CD6-43DF-BDFC-E5331352A26E}"/>
    <cellStyle name="Normal 9 2 3 7 3 3" xfId="25161" xr:uid="{19543FFC-8690-49FA-9A86-5B2B25C967B1}"/>
    <cellStyle name="Normal 9 2 3 7 4" xfId="11645" xr:uid="{F59C168E-AAA5-40E2-851E-A685D28A33B5}"/>
    <cellStyle name="Normal 9 2 3 7 5" xfId="20944" xr:uid="{B9C8FCBC-5FC1-4EFA-AD96-9CA25BDEFDFC}"/>
    <cellStyle name="Normal 9 2 3 8" xfId="2666" xr:uid="{00000000-0005-0000-0000-0000591F0000}"/>
    <cellStyle name="Normal 9 2 3 8 2" xfId="6949" xr:uid="{00000000-0005-0000-0000-00005A1F0000}"/>
    <cellStyle name="Normal 9 2 3 8 2 2" xfId="16275" xr:uid="{B05A004A-BA70-496E-B7BC-5630CA9120C5}"/>
    <cellStyle name="Normal 9 2 3 8 2 3" xfId="25574" xr:uid="{E4D8BF81-C76C-4799-B32F-C30D9C6DA08B}"/>
    <cellStyle name="Normal 9 2 3 8 3" xfId="12058" xr:uid="{7F2FBAD1-5B7E-4C4E-A3FD-46471D72763D}"/>
    <cellStyle name="Normal 9 2 3 8 4" xfId="21357" xr:uid="{1660E183-7F3D-44D5-8DC5-6CB0D9597817}"/>
    <cellStyle name="Normal 9 2 3 9" xfId="4884" xr:uid="{00000000-0005-0000-0000-00005B1F0000}"/>
    <cellStyle name="Normal 9 2 3 9 2" xfId="14210" xr:uid="{345FB6FC-28D4-467A-9A66-50572D80AFA9}"/>
    <cellStyle name="Normal 9 2 3 9 3" xfId="23509" xr:uid="{FCBC622C-E30E-4B98-8E82-534E392BE038}"/>
    <cellStyle name="Normal 9 2 4" xfId="524" xr:uid="{00000000-0005-0000-0000-00005C1F0000}"/>
    <cellStyle name="Normal 9 2 4 10" xfId="9997" xr:uid="{C86E57B2-42E7-4B38-A2F4-33593D680CA5}"/>
    <cellStyle name="Normal 9 2 4 11" xfId="19296" xr:uid="{CE7FA078-971B-43F7-B9A7-78E8488B4AF8}"/>
    <cellStyle name="Normal 9 2 4 2" xfId="525" xr:uid="{00000000-0005-0000-0000-00005D1F0000}"/>
    <cellStyle name="Normal 9 2 4 2 10" xfId="19297" xr:uid="{B260A5D0-C6C3-490A-AF1B-8DA9BD61086C}"/>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76292AE5-4448-4F35-B3E8-75081D8C27B3}"/>
    <cellStyle name="Normal 9 2 4 2 2 2 2 3" xfId="26072" xr:uid="{0B425EB9-B788-476E-A402-CA60DAE6087B}"/>
    <cellStyle name="Normal 9 2 4 2 2 2 3" xfId="12556" xr:uid="{7509C606-98AB-49F1-9AF7-141355CCF48B}"/>
    <cellStyle name="Normal 9 2 4 2 2 2 4" xfId="21855" xr:uid="{82074EEB-1BC7-40B8-A0E4-DFDE0BBC99E4}"/>
    <cellStyle name="Normal 9 2 4 2 2 3" xfId="5302" xr:uid="{00000000-0005-0000-0000-0000611F0000}"/>
    <cellStyle name="Normal 9 2 4 2 2 3 2" xfId="14628" xr:uid="{9C0843F5-6319-4158-B582-4EC7389AEF63}"/>
    <cellStyle name="Normal 9 2 4 2 2 3 3" xfId="23927" xr:uid="{8C69EC08-120C-4F62-A704-924A71179CAA}"/>
    <cellStyle name="Normal 9 2 4 2 2 4" xfId="9489" xr:uid="{4BA9DC16-58A7-4D6B-90A6-6BB0C51A0279}"/>
    <cellStyle name="Normal 9 2 4 2 2 4 2" xfId="18804" xr:uid="{3029BBBF-1CF6-400F-B238-C2CB6EAC10DA}"/>
    <cellStyle name="Normal 9 2 4 2 2 4 3" xfId="28101" xr:uid="{DB472F6E-F95A-4C1E-8EA0-C779FEED0175}"/>
    <cellStyle name="Normal 9 2 4 2 2 5" xfId="10411" xr:uid="{36ADCA55-4127-4321-8A98-26914FAE4EB8}"/>
    <cellStyle name="Normal 9 2 4 2 2 6" xfId="19710" xr:uid="{387978F1-8944-45C1-80DC-241E6EDE0843}"/>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C856BC12-D46F-4666-A574-991D326EA4A6}"/>
    <cellStyle name="Normal 9 2 4 2 3 2 2 3" xfId="26485" xr:uid="{18BA77DB-529D-495C-9560-53EED9F471A1}"/>
    <cellStyle name="Normal 9 2 4 2 3 2 3" xfId="12969" xr:uid="{D257F78F-8A08-4579-B0BD-19629D99B143}"/>
    <cellStyle name="Normal 9 2 4 2 3 2 4" xfId="22268" xr:uid="{11DF80F1-018D-45D7-8F3E-28FB4861FE87}"/>
    <cellStyle name="Normal 9 2 4 2 3 3" xfId="5715" xr:uid="{00000000-0005-0000-0000-0000651F0000}"/>
    <cellStyle name="Normal 9 2 4 2 3 3 2" xfId="15041" xr:uid="{F1A3D169-F67D-4BBC-B5AC-D6DFFE9C1F0F}"/>
    <cellStyle name="Normal 9 2 4 2 3 3 3" xfId="24340" xr:uid="{D87ABB53-B3BD-4865-B349-D4054DD2C368}"/>
    <cellStyle name="Normal 9 2 4 2 3 4" xfId="10824" xr:uid="{6FE91B4C-04C8-402B-85BA-49DE4908640F}"/>
    <cellStyle name="Normal 9 2 4 2 3 5" xfId="20123" xr:uid="{FF46B449-0472-4F2B-B4FE-E2F6810FD603}"/>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0404464F-B530-486C-9F16-C31D5D0D6FF6}"/>
    <cellStyle name="Normal 9 2 4 2 4 2 2 3" xfId="26898" xr:uid="{D25F900B-059A-4472-99B9-9E8E8E5F4B57}"/>
    <cellStyle name="Normal 9 2 4 2 4 2 3" xfId="13382" xr:uid="{F3CC5BF8-0F23-4F77-9018-51F9050BCE13}"/>
    <cellStyle name="Normal 9 2 4 2 4 2 4" xfId="22681" xr:uid="{FAAA507D-CD17-434E-8ADA-B898ABB526E1}"/>
    <cellStyle name="Normal 9 2 4 2 4 3" xfId="6128" xr:uid="{00000000-0005-0000-0000-0000691F0000}"/>
    <cellStyle name="Normal 9 2 4 2 4 3 2" xfId="15454" xr:uid="{7C1274E6-8A71-4855-812D-F464ED410BAA}"/>
    <cellStyle name="Normal 9 2 4 2 4 3 3" xfId="24753" xr:uid="{0FCA35D9-CAA4-4022-A242-AD9596E7F2BB}"/>
    <cellStyle name="Normal 9 2 4 2 4 4" xfId="11237" xr:uid="{2C8F61CF-A80B-4DE0-AD40-49423BDCBF75}"/>
    <cellStyle name="Normal 9 2 4 2 4 5" xfId="20536" xr:uid="{94AC638E-39A9-48BC-BC12-5C2C4BF7BB78}"/>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19340F27-13EF-4ED3-9B95-A0D8B49DE390}"/>
    <cellStyle name="Normal 9 2 4 2 5 2 2 3" xfId="27311" xr:uid="{480001CB-C04C-4766-ADEB-0D2BE17F8B58}"/>
    <cellStyle name="Normal 9 2 4 2 5 2 3" xfId="13795" xr:uid="{632440E0-0FC0-487F-BCEC-789BA56D3BDA}"/>
    <cellStyle name="Normal 9 2 4 2 5 2 4" xfId="23094" xr:uid="{2765D0ED-2A76-40FF-A3B4-B5760731D4A2}"/>
    <cellStyle name="Normal 9 2 4 2 5 3" xfId="6541" xr:uid="{00000000-0005-0000-0000-00006D1F0000}"/>
    <cellStyle name="Normal 9 2 4 2 5 3 2" xfId="15867" xr:uid="{854D1F3B-346D-4C84-BA78-96343160E763}"/>
    <cellStyle name="Normal 9 2 4 2 5 3 3" xfId="25166" xr:uid="{80AE99D9-2D18-48E5-9D0D-8CF023F5550A}"/>
    <cellStyle name="Normal 9 2 4 2 5 4" xfId="11650" xr:uid="{6ED3868E-7DC3-41FA-8AEC-DB8F8CAF9E48}"/>
    <cellStyle name="Normal 9 2 4 2 5 5" xfId="20949" xr:uid="{7C6C88CC-D96E-4768-B80C-34BD76B69EB5}"/>
    <cellStyle name="Normal 9 2 4 2 6" xfId="2671" xr:uid="{00000000-0005-0000-0000-00006E1F0000}"/>
    <cellStyle name="Normal 9 2 4 2 6 2" xfId="6954" xr:uid="{00000000-0005-0000-0000-00006F1F0000}"/>
    <cellStyle name="Normal 9 2 4 2 6 2 2" xfId="16280" xr:uid="{C408EBF9-10FD-488E-BC52-8539C445468E}"/>
    <cellStyle name="Normal 9 2 4 2 6 2 3" xfId="25579" xr:uid="{549753F3-D53A-4542-8161-89C802791565}"/>
    <cellStyle name="Normal 9 2 4 2 6 3" xfId="12063" xr:uid="{7CA1F037-1260-4E12-8CE6-331713DF6AAB}"/>
    <cellStyle name="Normal 9 2 4 2 6 4" xfId="21362" xr:uid="{8D304D8A-C58A-4043-8185-B32249E504F0}"/>
    <cellStyle name="Normal 9 2 4 2 7" xfId="4889" xr:uid="{00000000-0005-0000-0000-0000701F0000}"/>
    <cellStyle name="Normal 9 2 4 2 7 2" xfId="14215" xr:uid="{F48010E7-A757-4E5E-A03F-B150F57276E5}"/>
    <cellStyle name="Normal 9 2 4 2 7 3" xfId="23514" xr:uid="{89EA2CB1-286D-4E41-A6FA-8318090F5BA3}"/>
    <cellStyle name="Normal 9 2 4 2 8" xfId="9064" xr:uid="{7D4090C3-C767-4FFF-8A1F-282B2C8BAE68}"/>
    <cellStyle name="Normal 9 2 4 2 8 2" xfId="18388" xr:uid="{1953D7F5-D402-4629-95F1-6B6A77436C10}"/>
    <cellStyle name="Normal 9 2 4 2 8 3" xfId="27686" xr:uid="{175BA20F-39E2-4D0A-90BB-F5A260EA50D5}"/>
    <cellStyle name="Normal 9 2 4 2 9" xfId="9998" xr:uid="{2890B95F-B805-4902-B882-ECC18E2F1CD0}"/>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F433CB2F-759C-4E15-9548-D232735B6448}"/>
    <cellStyle name="Normal 9 2 4 3 2 2 3" xfId="26071" xr:uid="{126893AD-0C91-4923-ADA6-D747DF411067}"/>
    <cellStyle name="Normal 9 2 4 3 2 3" xfId="12555" xr:uid="{27793D3F-D6D0-47E7-84A8-0C74282A5B1A}"/>
    <cellStyle name="Normal 9 2 4 3 2 4" xfId="21854" xr:uid="{36F82222-FCEF-4CBD-B605-8F27D3C74330}"/>
    <cellStyle name="Normal 9 2 4 3 3" xfId="5301" xr:uid="{00000000-0005-0000-0000-0000741F0000}"/>
    <cellStyle name="Normal 9 2 4 3 3 2" xfId="14627" xr:uid="{1C439D8F-CD63-43B0-858F-86707BB2EC98}"/>
    <cellStyle name="Normal 9 2 4 3 3 3" xfId="23926" xr:uid="{10CAD0BF-7D48-4F44-BC00-099ECEFC7D48}"/>
    <cellStyle name="Normal 9 2 4 3 4" xfId="9282" xr:uid="{2471E5AC-3D06-4E90-9462-C54FACA9B22B}"/>
    <cellStyle name="Normal 9 2 4 3 4 2" xfId="18597" xr:uid="{3E041DEC-9E6E-470C-B41F-2F328989D0AF}"/>
    <cellStyle name="Normal 9 2 4 3 4 3" xfId="27894" xr:uid="{384858D0-DDBC-4239-B938-5AEA63A4CB70}"/>
    <cellStyle name="Normal 9 2 4 3 5" xfId="10410" xr:uid="{4A7BB546-C511-4C48-A0B5-2A446013BDDA}"/>
    <cellStyle name="Normal 9 2 4 3 6" xfId="19709" xr:uid="{02E5EC5E-BA94-4708-85CA-49459657B47F}"/>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39A9CA6A-CDA4-4B0D-9D7A-7F0E38AD3D0F}"/>
    <cellStyle name="Normal 9 2 4 4 2 2 3" xfId="26484" xr:uid="{4DD4A631-246F-441D-A1C7-8CCFA3188FA0}"/>
    <cellStyle name="Normal 9 2 4 4 2 3" xfId="12968" xr:uid="{D008CD7B-4587-4830-A62E-4D3EE3D23A75}"/>
    <cellStyle name="Normal 9 2 4 4 2 4" xfId="22267" xr:uid="{30ABEE58-F937-45FF-8A1A-7A214823260A}"/>
    <cellStyle name="Normal 9 2 4 4 3" xfId="5714" xr:uid="{00000000-0005-0000-0000-0000781F0000}"/>
    <cellStyle name="Normal 9 2 4 4 3 2" xfId="15040" xr:uid="{4B77ACB3-392C-476F-BF69-50BAD8EFD487}"/>
    <cellStyle name="Normal 9 2 4 4 3 3" xfId="24339" xr:uid="{41F74D13-F087-4EF3-BF37-437BEA621107}"/>
    <cellStyle name="Normal 9 2 4 4 4" xfId="10823" xr:uid="{3D5B1B2D-EAA3-4CE3-B9AD-F989FAC9D8DA}"/>
    <cellStyle name="Normal 9 2 4 4 5" xfId="20122" xr:uid="{1F2458B7-8627-4265-A326-59211AE7B8E5}"/>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7F4FD664-67B6-4931-A66F-75CF61404505}"/>
    <cellStyle name="Normal 9 2 4 5 2 2 3" xfId="26897" xr:uid="{829D8B89-BF79-4337-BB18-9E5EB638FA6D}"/>
    <cellStyle name="Normal 9 2 4 5 2 3" xfId="13381" xr:uid="{564C54C2-D9C8-4E2E-B9B5-096E426A0B0B}"/>
    <cellStyle name="Normal 9 2 4 5 2 4" xfId="22680" xr:uid="{7BA6D04D-12CF-434E-B058-41D7E9D00BA3}"/>
    <cellStyle name="Normal 9 2 4 5 3" xfId="6127" xr:uid="{00000000-0005-0000-0000-00007C1F0000}"/>
    <cellStyle name="Normal 9 2 4 5 3 2" xfId="15453" xr:uid="{23887EA8-FF94-4E29-A2B2-7F20AC195518}"/>
    <cellStyle name="Normal 9 2 4 5 3 3" xfId="24752" xr:uid="{89BF8758-A354-411C-B0FA-A4C86D5B1E6B}"/>
    <cellStyle name="Normal 9 2 4 5 4" xfId="11236" xr:uid="{FBD79CDC-6AA1-4562-B8FE-6FD0F6D0AE46}"/>
    <cellStyle name="Normal 9 2 4 5 5" xfId="20535" xr:uid="{06760342-CEE1-4602-9EBB-93085B21E944}"/>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83E338AB-4F37-4046-A646-09B9B035BBB0}"/>
    <cellStyle name="Normal 9 2 4 6 2 2 3" xfId="27310" xr:uid="{1D2C160E-68E4-451E-8845-A4312EEC8105}"/>
    <cellStyle name="Normal 9 2 4 6 2 3" xfId="13794" xr:uid="{D2E53E86-D1A9-4DCE-A828-D7D9078B4458}"/>
    <cellStyle name="Normal 9 2 4 6 2 4" xfId="23093" xr:uid="{B98FC033-66E7-4948-BECB-4A9E83363F48}"/>
    <cellStyle name="Normal 9 2 4 6 3" xfId="6540" xr:uid="{00000000-0005-0000-0000-0000801F0000}"/>
    <cellStyle name="Normal 9 2 4 6 3 2" xfId="15866" xr:uid="{583EEB08-C3EC-45F1-8B14-EB06DA3E44B9}"/>
    <cellStyle name="Normal 9 2 4 6 3 3" xfId="25165" xr:uid="{F2A8BA6F-FADA-498B-BD6B-062FC2B6FAD6}"/>
    <cellStyle name="Normal 9 2 4 6 4" xfId="11649" xr:uid="{AF9250C8-F7AA-4229-BB61-DFF04B30AB09}"/>
    <cellStyle name="Normal 9 2 4 6 5" xfId="20948" xr:uid="{2DD74431-2ED6-4611-81FE-B56AA9CF18FC}"/>
    <cellStyle name="Normal 9 2 4 7" xfId="2670" xr:uid="{00000000-0005-0000-0000-0000811F0000}"/>
    <cellStyle name="Normal 9 2 4 7 2" xfId="6953" xr:uid="{00000000-0005-0000-0000-0000821F0000}"/>
    <cellStyle name="Normal 9 2 4 7 2 2" xfId="16279" xr:uid="{C0BC4519-96A8-4EEB-B82C-F2A0DDFCCBF7}"/>
    <cellStyle name="Normal 9 2 4 7 2 3" xfId="25578" xr:uid="{FBD8FF4E-0C3C-4BC8-B0ED-F7A6E55CA157}"/>
    <cellStyle name="Normal 9 2 4 7 3" xfId="12062" xr:uid="{2A75FDA7-C74A-4E53-A22E-E24ACAD23B75}"/>
    <cellStyle name="Normal 9 2 4 7 4" xfId="21361" xr:uid="{DA4AFC43-713E-4FBA-B162-D9E068E40A83}"/>
    <cellStyle name="Normal 9 2 4 8" xfId="4888" xr:uid="{00000000-0005-0000-0000-0000831F0000}"/>
    <cellStyle name="Normal 9 2 4 8 2" xfId="14214" xr:uid="{608642C4-2165-4E33-8203-47AE28DD9036}"/>
    <cellStyle name="Normal 9 2 4 8 3" xfId="23513" xr:uid="{02B89D24-45DC-4ED4-9FF6-599B4A2CBB9A}"/>
    <cellStyle name="Normal 9 2 4 9" xfId="8857" xr:uid="{D785C0E6-B403-4CCC-AB0B-78E822EF1E40}"/>
    <cellStyle name="Normal 9 2 4 9 2" xfId="18181" xr:uid="{B98CB3FD-AE44-4C0C-9829-C9F380BFCB5F}"/>
    <cellStyle name="Normal 9 2 4 9 3" xfId="27479" xr:uid="{18A0976C-8147-4441-BE49-9394C6A0C972}"/>
    <cellStyle name="Normal 9 2 5" xfId="526" xr:uid="{00000000-0005-0000-0000-0000841F0000}"/>
    <cellStyle name="Normal 9 2 5 10" xfId="19298" xr:uid="{AADA4AB5-579C-4EFA-A568-44C952383C9E}"/>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AE15B068-7944-496F-BAFC-DEEE20E6323E}"/>
    <cellStyle name="Normal 9 2 5 2 2 2 3" xfId="26073" xr:uid="{E6A5CBB7-AD01-4FA7-865F-731799DF37C9}"/>
    <cellStyle name="Normal 9 2 5 2 2 3" xfId="12557" xr:uid="{DDD33F5D-5574-495D-9391-CB97EDACFA50}"/>
    <cellStyle name="Normal 9 2 5 2 2 4" xfId="21856" xr:uid="{AAAB258C-1EF0-4FCA-A12C-16060112E2A8}"/>
    <cellStyle name="Normal 9 2 5 2 3" xfId="5303" xr:uid="{00000000-0005-0000-0000-0000881F0000}"/>
    <cellStyle name="Normal 9 2 5 2 3 2" xfId="14629" xr:uid="{94237F30-0BB0-49A1-8FF5-97232CF0A36A}"/>
    <cellStyle name="Normal 9 2 5 2 3 3" xfId="23928" xr:uid="{7F20BA58-8B5A-4C2E-B9BF-E2DEC1405B77}"/>
    <cellStyle name="Normal 9 2 5 2 4" xfId="9398" xr:uid="{5B2A416E-986C-4898-8893-9EAFDDDBCDD4}"/>
    <cellStyle name="Normal 9 2 5 2 4 2" xfId="18713" xr:uid="{F352BFEC-ACC3-49C1-BF27-8591C4326AFB}"/>
    <cellStyle name="Normal 9 2 5 2 4 3" xfId="28010" xr:uid="{873A6017-4C07-43E4-9BFC-3CA3B678EFD6}"/>
    <cellStyle name="Normal 9 2 5 2 5" xfId="10412" xr:uid="{57306E8B-82FF-422B-87AE-87DDA1C3E8F5}"/>
    <cellStyle name="Normal 9 2 5 2 6" xfId="19711" xr:uid="{AF2CBEAB-288D-4693-A3C3-27EC823FA7B6}"/>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A95716FD-441B-40E2-9A38-DAB551BDEBC5}"/>
    <cellStyle name="Normal 9 2 5 3 2 2 3" xfId="26486" xr:uid="{B87B2941-BA74-4F61-9203-0C20A62004BB}"/>
    <cellStyle name="Normal 9 2 5 3 2 3" xfId="12970" xr:uid="{A3E43724-43F8-4EAD-A28B-778419DF6FFB}"/>
    <cellStyle name="Normal 9 2 5 3 2 4" xfId="22269" xr:uid="{D251DEDC-6601-4734-BFFD-6D74446BA208}"/>
    <cellStyle name="Normal 9 2 5 3 3" xfId="5716" xr:uid="{00000000-0005-0000-0000-00008C1F0000}"/>
    <cellStyle name="Normal 9 2 5 3 3 2" xfId="15042" xr:uid="{CD1304B7-5B71-4A3F-AFE3-00E0166B4D6C}"/>
    <cellStyle name="Normal 9 2 5 3 3 3" xfId="24341" xr:uid="{C1D50ED3-6B33-4399-81C2-F79E908BEB81}"/>
    <cellStyle name="Normal 9 2 5 3 4" xfId="10825" xr:uid="{D180C56E-9AB5-4BE0-979C-CBE4E09C9417}"/>
    <cellStyle name="Normal 9 2 5 3 5" xfId="20124" xr:uid="{FFA8B346-1203-4E78-AC02-B08CDDDDD949}"/>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F0CFEEE7-FCA1-4E95-9B96-C5CD6914A719}"/>
    <cellStyle name="Normal 9 2 5 4 2 2 3" xfId="26899" xr:uid="{CD56A90E-CE66-4DDB-BB9C-3B6B55D7DD0D}"/>
    <cellStyle name="Normal 9 2 5 4 2 3" xfId="13383" xr:uid="{0E709107-5818-48A4-BD73-5F0EE1408156}"/>
    <cellStyle name="Normal 9 2 5 4 2 4" xfId="22682" xr:uid="{F2D86DDF-A483-4CBF-BD54-D0CDAF001C5C}"/>
    <cellStyle name="Normal 9 2 5 4 3" xfId="6129" xr:uid="{00000000-0005-0000-0000-0000901F0000}"/>
    <cellStyle name="Normal 9 2 5 4 3 2" xfId="15455" xr:uid="{16A6E660-A451-4F8B-9EDD-B5DA9B9D99F1}"/>
    <cellStyle name="Normal 9 2 5 4 3 3" xfId="24754" xr:uid="{58BBF000-3C87-4F38-A013-4D4471E4DF8E}"/>
    <cellStyle name="Normal 9 2 5 4 4" xfId="11238" xr:uid="{66D2AA84-8BEF-43E7-BEA9-1BD88D0481B9}"/>
    <cellStyle name="Normal 9 2 5 4 5" xfId="20537" xr:uid="{0E8164BD-9CC7-46C5-AC4E-C84F0B3CFD74}"/>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E151DF9D-A518-4E24-8AE9-DB188DD252C7}"/>
    <cellStyle name="Normal 9 2 5 5 2 2 3" xfId="27312" xr:uid="{E268D873-44E6-4886-85DE-9E221A19F74A}"/>
    <cellStyle name="Normal 9 2 5 5 2 3" xfId="13796" xr:uid="{1153D07F-86AD-447A-B8DF-02710F7C6654}"/>
    <cellStyle name="Normal 9 2 5 5 2 4" xfId="23095" xr:uid="{6F5749CD-73B1-4A86-B929-DE9B8A8F5EF1}"/>
    <cellStyle name="Normal 9 2 5 5 3" xfId="6542" xr:uid="{00000000-0005-0000-0000-0000941F0000}"/>
    <cellStyle name="Normal 9 2 5 5 3 2" xfId="15868" xr:uid="{C25F3F51-84F0-4422-8588-C6C86E499C21}"/>
    <cellStyle name="Normal 9 2 5 5 3 3" xfId="25167" xr:uid="{75BA192F-5EB0-4412-A036-EF8B50991E76}"/>
    <cellStyle name="Normal 9 2 5 5 4" xfId="11651" xr:uid="{4B4806AE-6A3A-4516-AEDC-60634A70A3A0}"/>
    <cellStyle name="Normal 9 2 5 5 5" xfId="20950" xr:uid="{8FC32E29-EF3F-4183-8191-0F975FF5911D}"/>
    <cellStyle name="Normal 9 2 5 6" xfId="2672" xr:uid="{00000000-0005-0000-0000-0000951F0000}"/>
    <cellStyle name="Normal 9 2 5 6 2" xfId="6955" xr:uid="{00000000-0005-0000-0000-0000961F0000}"/>
    <cellStyle name="Normal 9 2 5 6 2 2" xfId="16281" xr:uid="{EEA3DE11-D7AA-4627-A648-33C963708260}"/>
    <cellStyle name="Normal 9 2 5 6 2 3" xfId="25580" xr:uid="{76E15CA0-BD61-46F9-8C12-9298FC11C822}"/>
    <cellStyle name="Normal 9 2 5 6 3" xfId="12064" xr:uid="{A1B0D5C9-168F-4D5A-9986-670EA0330A19}"/>
    <cellStyle name="Normal 9 2 5 6 4" xfId="21363" xr:uid="{2FDD98BC-8618-42D8-A73F-3B6C4A341D95}"/>
    <cellStyle name="Normal 9 2 5 7" xfId="4890" xr:uid="{00000000-0005-0000-0000-0000971F0000}"/>
    <cellStyle name="Normal 9 2 5 7 2" xfId="14216" xr:uid="{D90DA354-0C42-4437-8FAF-D551CDCF0F18}"/>
    <cellStyle name="Normal 9 2 5 7 3" xfId="23515" xr:uid="{0EFD29F2-D449-4173-9273-D5966C8EDC9F}"/>
    <cellStyle name="Normal 9 2 5 8" xfId="8973" xr:uid="{BA9464C2-72F7-4B38-B1BD-6986FFA433D9}"/>
    <cellStyle name="Normal 9 2 5 8 2" xfId="18297" xr:uid="{0DDEE932-31CB-4A54-854C-15EAFCEAD9C4}"/>
    <cellStyle name="Normal 9 2 5 8 3" xfId="27595" xr:uid="{7AC67917-F531-4641-85FF-47065F0F1B00}"/>
    <cellStyle name="Normal 9 2 5 9" xfId="9999" xr:uid="{335A4271-A255-4DEA-A429-E7BED03BC423}"/>
    <cellStyle name="Normal 9 2 6" xfId="978" xr:uid="{00000000-0005-0000-0000-0000981F0000}"/>
    <cellStyle name="Normal 9 2 6 2" xfId="3211" xr:uid="{00000000-0005-0000-0000-0000991F0000}"/>
    <cellStyle name="Normal 9 2 6 2 2" xfId="7433" xr:uid="{00000000-0005-0000-0000-00009A1F0000}"/>
    <cellStyle name="Normal 9 2 6 2 2 2" xfId="16759" xr:uid="{8FC674D3-8B1B-4394-AB8D-14BA65CACD30}"/>
    <cellStyle name="Normal 9 2 6 2 2 3" xfId="26058" xr:uid="{3DC5BC30-028C-40DA-AE9A-C48DD2764095}"/>
    <cellStyle name="Normal 9 2 6 2 3" xfId="12542" xr:uid="{D095F098-5229-475B-BFA3-3ACDDFB79DEA}"/>
    <cellStyle name="Normal 9 2 6 2 4" xfId="21841" xr:uid="{707BB66A-7EE6-4683-A1AD-598F2A9CAED1}"/>
    <cellStyle name="Normal 9 2 6 3" xfId="5288" xr:uid="{00000000-0005-0000-0000-00009B1F0000}"/>
    <cellStyle name="Normal 9 2 6 3 2" xfId="14614" xr:uid="{E325D46C-643D-4AF6-ADFF-2A7A8AFD9B22}"/>
    <cellStyle name="Normal 9 2 6 3 3" xfId="23913" xr:uid="{AD26E401-2E60-48FA-8518-5857EACF7A23}"/>
    <cellStyle name="Normal 9 2 6 4" xfId="9176" xr:uid="{F3933A08-5B20-47C9-B0FC-7B73F4B0BA7D}"/>
    <cellStyle name="Normal 9 2 6 4 2" xfId="18494" xr:uid="{62A0ED35-3732-418C-874C-C0C0A1DA0650}"/>
    <cellStyle name="Normal 9 2 6 4 3" xfId="27791" xr:uid="{D679B957-F248-4CBB-AA3A-3CFBF6FE29D1}"/>
    <cellStyle name="Normal 9 2 6 5" xfId="10397" xr:uid="{19D7E721-FF11-4AEB-A382-425B1F1074A1}"/>
    <cellStyle name="Normal 9 2 6 6" xfId="19696" xr:uid="{0AE20C5C-70E2-42A8-83C8-81FFAD9E1B89}"/>
    <cellStyle name="Normal 9 2 7" xfId="1394" xr:uid="{00000000-0005-0000-0000-00009C1F0000}"/>
    <cellStyle name="Normal 9 2 7 2" xfId="3624" xr:uid="{00000000-0005-0000-0000-00009D1F0000}"/>
    <cellStyle name="Normal 9 2 7 2 2" xfId="7846" xr:uid="{00000000-0005-0000-0000-00009E1F0000}"/>
    <cellStyle name="Normal 9 2 7 2 2 2" xfId="17172" xr:uid="{05AC356E-42BB-4598-8AA0-7D5949DA84BC}"/>
    <cellStyle name="Normal 9 2 7 2 2 3" xfId="26471" xr:uid="{009D03F3-9BD7-45EA-9400-35E6A3C8F7D7}"/>
    <cellStyle name="Normal 9 2 7 2 3" xfId="12955" xr:uid="{7D8BCA01-76AF-49FD-B085-98B4C17FCD66}"/>
    <cellStyle name="Normal 9 2 7 2 4" xfId="22254" xr:uid="{3BF392F1-E761-40B1-82E2-20C6B7F5F579}"/>
    <cellStyle name="Normal 9 2 7 3" xfId="5701" xr:uid="{00000000-0005-0000-0000-00009F1F0000}"/>
    <cellStyle name="Normal 9 2 7 3 2" xfId="15027" xr:uid="{97F5A6B0-4A3B-45F4-92A3-B594395D7185}"/>
    <cellStyle name="Normal 9 2 7 3 3" xfId="24326" xr:uid="{1B5CD87D-6376-4068-9214-15DCE3B10930}"/>
    <cellStyle name="Normal 9 2 7 4" xfId="10810" xr:uid="{69F5228D-C634-470D-9310-CAFBFFFF38D7}"/>
    <cellStyle name="Normal 9 2 7 5" xfId="20109" xr:uid="{7939EBAA-7450-4362-B0F4-471D6A331C9B}"/>
    <cellStyle name="Normal 9 2 8" xfId="1807" xr:uid="{00000000-0005-0000-0000-0000A01F0000}"/>
    <cellStyle name="Normal 9 2 8 2" xfId="4037" xr:uid="{00000000-0005-0000-0000-0000A11F0000}"/>
    <cellStyle name="Normal 9 2 8 2 2" xfId="8259" xr:uid="{00000000-0005-0000-0000-0000A21F0000}"/>
    <cellStyle name="Normal 9 2 8 2 2 2" xfId="17585" xr:uid="{F63F5313-CA7C-4122-A65E-20A8C4A63F5E}"/>
    <cellStyle name="Normal 9 2 8 2 2 3" xfId="26884" xr:uid="{7223E8D5-8BCA-4800-8782-66D991C8C0C2}"/>
    <cellStyle name="Normal 9 2 8 2 3" xfId="13368" xr:uid="{01092471-26FE-4A77-8297-548BF6397207}"/>
    <cellStyle name="Normal 9 2 8 2 4" xfId="22667" xr:uid="{483FF838-B925-4094-B173-1C3F10E26E2E}"/>
    <cellStyle name="Normal 9 2 8 3" xfId="6114" xr:uid="{00000000-0005-0000-0000-0000A31F0000}"/>
    <cellStyle name="Normal 9 2 8 3 2" xfId="15440" xr:uid="{C2AB5184-9B21-49F5-B3A6-5C2061AC5348}"/>
    <cellStyle name="Normal 9 2 8 3 3" xfId="24739" xr:uid="{1365D56F-9D59-4B8F-BE20-C4F8D24BCE36}"/>
    <cellStyle name="Normal 9 2 8 4" xfId="11223" xr:uid="{9B3CB3FC-DB97-4AE7-98F9-ED1CD536BFEC}"/>
    <cellStyle name="Normal 9 2 8 5" xfId="20522" xr:uid="{DCA7B43A-DC4D-40BD-A2A0-156A6BB6A130}"/>
    <cellStyle name="Normal 9 2 9" xfId="2221" xr:uid="{00000000-0005-0000-0000-0000A41F0000}"/>
    <cellStyle name="Normal 9 2 9 2" xfId="4450" xr:uid="{00000000-0005-0000-0000-0000A51F0000}"/>
    <cellStyle name="Normal 9 2 9 2 2" xfId="8672" xr:uid="{00000000-0005-0000-0000-0000A61F0000}"/>
    <cellStyle name="Normal 9 2 9 2 2 2" xfId="17998" xr:uid="{9A0E3C62-A717-4E51-93AC-F5C97183522D}"/>
    <cellStyle name="Normal 9 2 9 2 2 3" xfId="27297" xr:uid="{1ED3968E-4EE7-4840-BD63-8FF7EE129E3C}"/>
    <cellStyle name="Normal 9 2 9 2 3" xfId="13781" xr:uid="{484FF455-DBF9-499F-94EC-0B36C847E917}"/>
    <cellStyle name="Normal 9 2 9 2 4" xfId="23080" xr:uid="{79EAB270-C9C9-4C0D-8887-4C09E8CF4A6F}"/>
    <cellStyle name="Normal 9 2 9 3" xfId="6527" xr:uid="{00000000-0005-0000-0000-0000A71F0000}"/>
    <cellStyle name="Normal 9 2 9 3 2" xfId="15853" xr:uid="{A9506F9B-A659-4794-9ED4-A62FCFC28CFD}"/>
    <cellStyle name="Normal 9 2 9 3 3" xfId="25152" xr:uid="{46201B16-3EF2-46CC-8B4C-F7855C1A2A24}"/>
    <cellStyle name="Normal 9 2 9 4" xfId="11636" xr:uid="{47C5A217-E363-4693-8B21-D11A696E6AD8}"/>
    <cellStyle name="Normal 9 2 9 5" xfId="20935" xr:uid="{9A6E9B3E-6ADA-4BDA-86E9-32C05DB6EB97}"/>
    <cellStyle name="Normal 9 3" xfId="527" xr:uid="{00000000-0005-0000-0000-0000A81F0000}"/>
    <cellStyle name="Normal 9 3 10" xfId="4891" xr:uid="{00000000-0005-0000-0000-0000A91F0000}"/>
    <cellStyle name="Normal 9 3 10 2" xfId="14217" xr:uid="{D5C1CB1A-5E6A-4027-8C72-155A78F9F324}"/>
    <cellStyle name="Normal 9 3 10 3" xfId="23516" xr:uid="{1B05BBCD-587F-4934-880C-CFF72B0A3BA2}"/>
    <cellStyle name="Normal 9 3 11" xfId="8777" xr:uid="{1F3D7E21-FC22-4F0C-9371-3D8250746BB7}"/>
    <cellStyle name="Normal 9 3 11 2" xfId="18101" xr:uid="{E2DE6284-6F21-491A-9DCA-E82562F3E911}"/>
    <cellStyle name="Normal 9 3 11 3" xfId="27399" xr:uid="{5D3E87F7-3AC2-40B8-8B56-D49256F98DE9}"/>
    <cellStyle name="Normal 9 3 12" xfId="10000" xr:uid="{2592D735-0A25-45F3-988D-2AA4007F6636}"/>
    <cellStyle name="Normal 9 3 13" xfId="19299" xr:uid="{A6E9E887-DD30-4B92-B625-A9B62C507B9E}"/>
    <cellStyle name="Normal 9 3 2" xfId="528" xr:uid="{00000000-0005-0000-0000-0000AA1F0000}"/>
    <cellStyle name="Normal 9 3 2 10" xfId="8840" xr:uid="{94797BE2-1721-4871-A768-79D4D45F48BB}"/>
    <cellStyle name="Normal 9 3 2 10 2" xfId="18164" xr:uid="{12F64E7B-4B85-4FF2-A04B-CBFFE0073412}"/>
    <cellStyle name="Normal 9 3 2 10 3" xfId="27462" xr:uid="{35261277-8B93-40B4-9C7F-F4EE1F55E4A7}"/>
    <cellStyle name="Normal 9 3 2 11" xfId="10001" xr:uid="{A55DFA41-C329-42EC-B5BA-92DA15BB73AB}"/>
    <cellStyle name="Normal 9 3 2 12" xfId="19300" xr:uid="{339B81CD-F346-4873-9B42-87273E74699D}"/>
    <cellStyle name="Normal 9 3 2 2" xfId="529" xr:uid="{00000000-0005-0000-0000-0000AB1F0000}"/>
    <cellStyle name="Normal 9 3 2 2 10" xfId="10002" xr:uid="{AA34963A-450B-4396-A3F5-20EDCB2999B0}"/>
    <cellStyle name="Normal 9 3 2 2 11" xfId="19301" xr:uid="{5269AA78-4319-48C2-8514-52589A38E63E}"/>
    <cellStyle name="Normal 9 3 2 2 2" xfId="530" xr:uid="{00000000-0005-0000-0000-0000AC1F0000}"/>
    <cellStyle name="Normal 9 3 2 2 2 10" xfId="19302" xr:uid="{D8ABA61E-F4A2-48FA-980D-5C2BBFACE578}"/>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F48C559F-3C8C-4210-B879-80D27D0235D1}"/>
    <cellStyle name="Normal 9 3 2 2 2 2 2 2 3" xfId="26077" xr:uid="{F1F93429-32BD-4A77-8CE5-07EF3EEB3D5C}"/>
    <cellStyle name="Normal 9 3 2 2 2 2 2 3" xfId="12561" xr:uid="{F592A6A8-0966-4FAA-A342-7292CE108110}"/>
    <cellStyle name="Normal 9 3 2 2 2 2 2 4" xfId="21860" xr:uid="{86B4B27A-B0A1-4823-B698-434937044C4F}"/>
    <cellStyle name="Normal 9 3 2 2 2 2 3" xfId="5307" xr:uid="{00000000-0005-0000-0000-0000B01F0000}"/>
    <cellStyle name="Normal 9 3 2 2 2 2 3 2" xfId="14633" xr:uid="{1D1CC4DA-2AA1-4DD5-BEAD-AC5454798005}"/>
    <cellStyle name="Normal 9 3 2 2 2 2 3 3" xfId="23932" xr:uid="{CD843582-23DA-46B6-8076-A65D482F73A6}"/>
    <cellStyle name="Normal 9 3 2 2 2 2 4" xfId="9575" xr:uid="{DA05DE06-1987-4B8E-8439-C692853FF296}"/>
    <cellStyle name="Normal 9 3 2 2 2 2 4 2" xfId="18890" xr:uid="{74A59947-23D6-41F5-A017-5C1BCDE48C79}"/>
    <cellStyle name="Normal 9 3 2 2 2 2 4 3" xfId="28187" xr:uid="{7095F9B1-BE3E-4CAE-8D2E-5A12B5CF8846}"/>
    <cellStyle name="Normal 9 3 2 2 2 2 5" xfId="10416" xr:uid="{3E676A17-D131-445C-B992-20CA97F5A3DD}"/>
    <cellStyle name="Normal 9 3 2 2 2 2 6" xfId="19715" xr:uid="{ED735A2E-3E8E-4EC3-97F8-4D5BB0E3EE6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A3B28D14-8C93-406C-939D-48CD29843A2E}"/>
    <cellStyle name="Normal 9 3 2 2 2 3 2 2 3" xfId="26490" xr:uid="{64D7E239-E82D-4FA3-BE49-9AB4B799B150}"/>
    <cellStyle name="Normal 9 3 2 2 2 3 2 3" xfId="12974" xr:uid="{E947467B-A003-44FB-92A2-B3B7403111BE}"/>
    <cellStyle name="Normal 9 3 2 2 2 3 2 4" xfId="22273" xr:uid="{25CF0942-6436-472A-A8B2-C77531065EA2}"/>
    <cellStyle name="Normal 9 3 2 2 2 3 3" xfId="5720" xr:uid="{00000000-0005-0000-0000-0000B41F0000}"/>
    <cellStyle name="Normal 9 3 2 2 2 3 3 2" xfId="15046" xr:uid="{0707A2D6-2BE7-4734-B740-58C1C81324D7}"/>
    <cellStyle name="Normal 9 3 2 2 2 3 3 3" xfId="24345" xr:uid="{52255492-599A-4EC4-AF09-F473E4B17112}"/>
    <cellStyle name="Normal 9 3 2 2 2 3 4" xfId="10829" xr:uid="{78BDBC9B-902F-456C-8B37-3EF49C79CC32}"/>
    <cellStyle name="Normal 9 3 2 2 2 3 5" xfId="20128" xr:uid="{17C9FF9D-D205-4066-AE4D-2CABAA08F1E2}"/>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593B7980-79A2-43C9-A255-7DB42BD954CC}"/>
    <cellStyle name="Normal 9 3 2 2 2 4 2 2 3" xfId="26903" xr:uid="{575E563C-8052-439C-967D-6A53260DE5F9}"/>
    <cellStyle name="Normal 9 3 2 2 2 4 2 3" xfId="13387" xr:uid="{0C49923C-BD41-408A-A491-30E698817481}"/>
    <cellStyle name="Normal 9 3 2 2 2 4 2 4" xfId="22686" xr:uid="{A42B82E6-14E8-4CCF-87CA-3E03C848D0FE}"/>
    <cellStyle name="Normal 9 3 2 2 2 4 3" xfId="6133" xr:uid="{00000000-0005-0000-0000-0000B81F0000}"/>
    <cellStyle name="Normal 9 3 2 2 2 4 3 2" xfId="15459" xr:uid="{EBA0EACB-42FF-413A-8EF9-945F69D4D9B6}"/>
    <cellStyle name="Normal 9 3 2 2 2 4 3 3" xfId="24758" xr:uid="{936C6392-BCD8-479B-893A-430ED4009D73}"/>
    <cellStyle name="Normal 9 3 2 2 2 4 4" xfId="11242" xr:uid="{245AC856-1626-4073-92C2-AAD6BD585252}"/>
    <cellStyle name="Normal 9 3 2 2 2 4 5" xfId="20541" xr:uid="{7D1BC5F8-B85E-401F-B440-CA0330F13B8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952CFEC2-174F-477C-93E1-4D8879342659}"/>
    <cellStyle name="Normal 9 3 2 2 2 5 2 2 3" xfId="27316" xr:uid="{ADAF4845-686B-4002-A0A2-97B1C5290858}"/>
    <cellStyle name="Normal 9 3 2 2 2 5 2 3" xfId="13800" xr:uid="{30645A18-0668-46C4-8CD3-F596A3FAAC0F}"/>
    <cellStyle name="Normal 9 3 2 2 2 5 2 4" xfId="23099" xr:uid="{A9F20EE6-3FEC-44AE-98BF-445C005D440F}"/>
    <cellStyle name="Normal 9 3 2 2 2 5 3" xfId="6546" xr:uid="{00000000-0005-0000-0000-0000BC1F0000}"/>
    <cellStyle name="Normal 9 3 2 2 2 5 3 2" xfId="15872" xr:uid="{D18703D2-0DFE-49B9-B170-AA8BEABD364F}"/>
    <cellStyle name="Normal 9 3 2 2 2 5 3 3" xfId="25171" xr:uid="{E83DF2CE-4037-4165-8A7B-3DC7A6FF2BC3}"/>
    <cellStyle name="Normal 9 3 2 2 2 5 4" xfId="11655" xr:uid="{48BA75A0-1E1D-464B-8176-3EA7D37BCCBD}"/>
    <cellStyle name="Normal 9 3 2 2 2 5 5" xfId="20954" xr:uid="{0D2B292F-7684-4B88-AA8A-ED32DD584885}"/>
    <cellStyle name="Normal 9 3 2 2 2 6" xfId="2676" xr:uid="{00000000-0005-0000-0000-0000BD1F0000}"/>
    <cellStyle name="Normal 9 3 2 2 2 6 2" xfId="6959" xr:uid="{00000000-0005-0000-0000-0000BE1F0000}"/>
    <cellStyle name="Normal 9 3 2 2 2 6 2 2" xfId="16285" xr:uid="{DB92D3B1-A2AD-4679-939D-4A362EF92776}"/>
    <cellStyle name="Normal 9 3 2 2 2 6 2 3" xfId="25584" xr:uid="{FDA3F3D2-DC74-4AC2-ABDF-C813CA70DC7F}"/>
    <cellStyle name="Normal 9 3 2 2 2 6 3" xfId="12068" xr:uid="{8F9FDD63-9FEE-41BB-819A-6622D67CCDC7}"/>
    <cellStyle name="Normal 9 3 2 2 2 6 4" xfId="21367" xr:uid="{A09F22DF-D3AA-48B9-B870-501E58EC40D5}"/>
    <cellStyle name="Normal 9 3 2 2 2 7" xfId="4894" xr:uid="{00000000-0005-0000-0000-0000BF1F0000}"/>
    <cellStyle name="Normal 9 3 2 2 2 7 2" xfId="14220" xr:uid="{482801FE-5B49-46A4-8D54-2648CA40017E}"/>
    <cellStyle name="Normal 9 3 2 2 2 7 3" xfId="23519" xr:uid="{48FB5586-8B1D-4677-8F7A-DE7AC08CC234}"/>
    <cellStyle name="Normal 9 3 2 2 2 8" xfId="9150" xr:uid="{F54F74BE-A583-4C94-A198-8E0D27AD7F4F}"/>
    <cellStyle name="Normal 9 3 2 2 2 8 2" xfId="18474" xr:uid="{D684E735-D7B3-4F76-9EAD-7299C52AD6DD}"/>
    <cellStyle name="Normal 9 3 2 2 2 8 3" xfId="27772" xr:uid="{781AA816-A51B-4848-A1C0-5897D04950DD}"/>
    <cellStyle name="Normal 9 3 2 2 2 9" xfId="10003" xr:uid="{FC4B650B-8BB8-47CA-9883-2FD31BD28F63}"/>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FF5387D1-6111-4253-9E78-048605D3889E}"/>
    <cellStyle name="Normal 9 3 2 2 3 2 2 3" xfId="26076" xr:uid="{319496B9-C660-4388-9CCF-5DA2E81D5A2E}"/>
    <cellStyle name="Normal 9 3 2 2 3 2 3" xfId="12560" xr:uid="{C147B030-78D5-431A-A2E7-F982CBAB574E}"/>
    <cellStyle name="Normal 9 3 2 2 3 2 4" xfId="21859" xr:uid="{89F38C01-4CC9-474B-8909-5C8D3D738345}"/>
    <cellStyle name="Normal 9 3 2 2 3 3" xfId="5306" xr:uid="{00000000-0005-0000-0000-0000C31F0000}"/>
    <cellStyle name="Normal 9 3 2 2 3 3 2" xfId="14632" xr:uid="{FCDA5A3F-8DAB-4257-9895-93C138CFD7CE}"/>
    <cellStyle name="Normal 9 3 2 2 3 3 3" xfId="23931" xr:uid="{49A0A72C-C126-4B60-A8A8-0972F5360EF3}"/>
    <cellStyle name="Normal 9 3 2 2 3 4" xfId="9368" xr:uid="{B3189122-1774-442D-BD5B-8DA329618536}"/>
    <cellStyle name="Normal 9 3 2 2 3 4 2" xfId="18683" xr:uid="{C6B2DD5C-EA5A-476C-AD60-11162680BDDA}"/>
    <cellStyle name="Normal 9 3 2 2 3 4 3" xfId="27980" xr:uid="{374F0F0F-7A04-4F21-997C-E81C2FA4A5F4}"/>
    <cellStyle name="Normal 9 3 2 2 3 5" xfId="10415" xr:uid="{3E9232C6-EFE4-4BAC-A2BD-6E0A4F983C6E}"/>
    <cellStyle name="Normal 9 3 2 2 3 6" xfId="19714" xr:uid="{2348314E-0B1A-48C8-8FF6-B92A6FF7C139}"/>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380EBD76-E6F6-4234-9B7C-833A1D87CF6B}"/>
    <cellStyle name="Normal 9 3 2 2 4 2 2 3" xfId="26489" xr:uid="{66804A76-DBF4-42D2-B1EB-A2CB5966BEAE}"/>
    <cellStyle name="Normal 9 3 2 2 4 2 3" xfId="12973" xr:uid="{E9683BDB-5F06-486A-9D28-A6201E37036D}"/>
    <cellStyle name="Normal 9 3 2 2 4 2 4" xfId="22272" xr:uid="{01DB8546-9415-4CD4-9483-BE0A61FBF53E}"/>
    <cellStyle name="Normal 9 3 2 2 4 3" xfId="5719" xr:uid="{00000000-0005-0000-0000-0000C71F0000}"/>
    <cellStyle name="Normal 9 3 2 2 4 3 2" xfId="15045" xr:uid="{DC54E357-C4B6-4DFE-BFC5-C3D63C489AA0}"/>
    <cellStyle name="Normal 9 3 2 2 4 3 3" xfId="24344" xr:uid="{ADC42A9E-D1EC-4D44-9972-FDBE987E9918}"/>
    <cellStyle name="Normal 9 3 2 2 4 4" xfId="10828" xr:uid="{34E7B8ED-ACE3-40C6-A0FD-9C38C80BE22A}"/>
    <cellStyle name="Normal 9 3 2 2 4 5" xfId="20127" xr:uid="{21012849-1F3D-40E7-B066-523B563A86A5}"/>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F830D426-E7E1-46A6-AF1F-8823E401E95E}"/>
    <cellStyle name="Normal 9 3 2 2 5 2 2 3" xfId="26902" xr:uid="{40FFD980-7878-4022-BC2D-E56F3AB6D9F0}"/>
    <cellStyle name="Normal 9 3 2 2 5 2 3" xfId="13386" xr:uid="{1EF8539A-B443-444C-A78F-F665D09692B4}"/>
    <cellStyle name="Normal 9 3 2 2 5 2 4" xfId="22685" xr:uid="{B12340F3-8148-4B26-8AD6-CD28500499B9}"/>
    <cellStyle name="Normal 9 3 2 2 5 3" xfId="6132" xr:uid="{00000000-0005-0000-0000-0000CB1F0000}"/>
    <cellStyle name="Normal 9 3 2 2 5 3 2" xfId="15458" xr:uid="{704B1138-F8FC-4133-BFB4-2E37BB3BC804}"/>
    <cellStyle name="Normal 9 3 2 2 5 3 3" xfId="24757" xr:uid="{CFE57646-BF74-4BAF-B594-FE884917A6DC}"/>
    <cellStyle name="Normal 9 3 2 2 5 4" xfId="11241" xr:uid="{DB10FBEA-4EE4-4A5F-9E99-822DF925E689}"/>
    <cellStyle name="Normal 9 3 2 2 5 5" xfId="20540" xr:uid="{BC553143-CF09-4DF2-B6D2-CE205F51C2C9}"/>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41EF2C07-92C5-4229-BC3B-DBB1AE3F4079}"/>
    <cellStyle name="Normal 9 3 2 2 6 2 2 3" xfId="27315" xr:uid="{D156ABE7-3552-443E-9002-C19B180A8486}"/>
    <cellStyle name="Normal 9 3 2 2 6 2 3" xfId="13799" xr:uid="{04CC79B5-0535-4BC9-AFD2-1B20099819C9}"/>
    <cellStyle name="Normal 9 3 2 2 6 2 4" xfId="23098" xr:uid="{1CC5A717-3C82-4EA9-B203-FBC5A971DCF3}"/>
    <cellStyle name="Normal 9 3 2 2 6 3" xfId="6545" xr:uid="{00000000-0005-0000-0000-0000CF1F0000}"/>
    <cellStyle name="Normal 9 3 2 2 6 3 2" xfId="15871" xr:uid="{1A885150-C2A0-432C-AB5D-F80CCE66CC3A}"/>
    <cellStyle name="Normal 9 3 2 2 6 3 3" xfId="25170" xr:uid="{9E186F58-B750-4AAE-A4DD-8247D9A3B897}"/>
    <cellStyle name="Normal 9 3 2 2 6 4" xfId="11654" xr:uid="{E829764E-5EC5-4237-AA4A-F77D99CE1C45}"/>
    <cellStyle name="Normal 9 3 2 2 6 5" xfId="20953" xr:uid="{1ADFE0F4-20AB-4854-8FA0-FAB28A497AD8}"/>
    <cellStyle name="Normal 9 3 2 2 7" xfId="2675" xr:uid="{00000000-0005-0000-0000-0000D01F0000}"/>
    <cellStyle name="Normal 9 3 2 2 7 2" xfId="6958" xr:uid="{00000000-0005-0000-0000-0000D11F0000}"/>
    <cellStyle name="Normal 9 3 2 2 7 2 2" xfId="16284" xr:uid="{3412E8B4-DAC8-417A-9827-2449675D63FA}"/>
    <cellStyle name="Normal 9 3 2 2 7 2 3" xfId="25583" xr:uid="{DA6CE899-1559-49D2-8592-0696F63B11CE}"/>
    <cellStyle name="Normal 9 3 2 2 7 3" xfId="12067" xr:uid="{AAAE5955-46A1-460D-9AB3-A18098FBA84A}"/>
    <cellStyle name="Normal 9 3 2 2 7 4" xfId="21366" xr:uid="{77DF6CFE-AD0F-48B8-B4BE-64FF8DE02BCE}"/>
    <cellStyle name="Normal 9 3 2 2 8" xfId="4893" xr:uid="{00000000-0005-0000-0000-0000D21F0000}"/>
    <cellStyle name="Normal 9 3 2 2 8 2" xfId="14219" xr:uid="{6AA6AFBE-B9EE-46D0-A58C-2229B17DADDB}"/>
    <cellStyle name="Normal 9 3 2 2 8 3" xfId="23518" xr:uid="{8ACE0F09-2438-4982-8426-369F7BA76177}"/>
    <cellStyle name="Normal 9 3 2 2 9" xfId="8943" xr:uid="{1E59706A-169E-45B8-A6E4-1A0514B9DDBD}"/>
    <cellStyle name="Normal 9 3 2 2 9 2" xfId="18267" xr:uid="{3817C180-2B52-431F-830E-0DA8C3380695}"/>
    <cellStyle name="Normal 9 3 2 2 9 3" xfId="27565" xr:uid="{09998C1D-E5D5-4630-9D62-A3DA94781D2B}"/>
    <cellStyle name="Normal 9 3 2 3" xfId="531" xr:uid="{00000000-0005-0000-0000-0000D31F0000}"/>
    <cellStyle name="Normal 9 3 2 3 10" xfId="19303" xr:uid="{AD0A738F-4E6B-4300-B5A0-74A56885D123}"/>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DDB0E11B-0108-444D-84E6-EA58F6D73D06}"/>
    <cellStyle name="Normal 9 3 2 3 2 2 2 3" xfId="26078" xr:uid="{443F8E34-BE5E-4743-AC61-AE3A3AFBF90B}"/>
    <cellStyle name="Normal 9 3 2 3 2 2 3" xfId="12562" xr:uid="{E7199760-15BF-44CB-A917-2AF536C1A88B}"/>
    <cellStyle name="Normal 9 3 2 3 2 2 4" xfId="21861" xr:uid="{B05251AA-E5AC-4DD7-915B-9F8E1DB026EE}"/>
    <cellStyle name="Normal 9 3 2 3 2 3" xfId="5308" xr:uid="{00000000-0005-0000-0000-0000D71F0000}"/>
    <cellStyle name="Normal 9 3 2 3 2 3 2" xfId="14634" xr:uid="{748BE685-78D6-488F-A029-9C4DE7B5A037}"/>
    <cellStyle name="Normal 9 3 2 3 2 3 3" xfId="23933" xr:uid="{F177E25D-2D8B-4ACD-A0F8-560D10DC4ED8}"/>
    <cellStyle name="Normal 9 3 2 3 2 4" xfId="9472" xr:uid="{427A8E71-9BC4-47C0-A855-6886AF96C97E}"/>
    <cellStyle name="Normal 9 3 2 3 2 4 2" xfId="18787" xr:uid="{459988FA-59BB-45E6-9BC7-B0631A5CCD1F}"/>
    <cellStyle name="Normal 9 3 2 3 2 4 3" xfId="28084" xr:uid="{138141F7-02E1-4F28-8F6D-80CEEA4B3767}"/>
    <cellStyle name="Normal 9 3 2 3 2 5" xfId="10417" xr:uid="{C87C878B-CCDA-4CB0-AEA4-DF22AE3F1D5D}"/>
    <cellStyle name="Normal 9 3 2 3 2 6" xfId="19716" xr:uid="{65DE07B9-528F-44BB-A86A-0CDAEF109534}"/>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BE112201-8B2F-4086-AD13-D62249AA4708}"/>
    <cellStyle name="Normal 9 3 2 3 3 2 2 3" xfId="26491" xr:uid="{992E25AA-D5A3-41F9-A86C-E8832FE31F40}"/>
    <cellStyle name="Normal 9 3 2 3 3 2 3" xfId="12975" xr:uid="{12689B9D-97BF-4A67-806E-616769CFBF7F}"/>
    <cellStyle name="Normal 9 3 2 3 3 2 4" xfId="22274" xr:uid="{6AC62359-AA9D-4EB2-AA69-486A803D090A}"/>
    <cellStyle name="Normal 9 3 2 3 3 3" xfId="5721" xr:uid="{00000000-0005-0000-0000-0000DB1F0000}"/>
    <cellStyle name="Normal 9 3 2 3 3 3 2" xfId="15047" xr:uid="{726C39F1-0730-4825-A23B-77562786F300}"/>
    <cellStyle name="Normal 9 3 2 3 3 3 3" xfId="24346" xr:uid="{0E6AD476-9AAD-46DA-9041-49C74BF50302}"/>
    <cellStyle name="Normal 9 3 2 3 3 4" xfId="10830" xr:uid="{A6095B88-A6E8-4CA9-ABEC-A1EC4DDC5377}"/>
    <cellStyle name="Normal 9 3 2 3 3 5" xfId="20129" xr:uid="{23DC5617-7A9F-4B22-A7A5-4635CBEE6B15}"/>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06F595E1-2818-4FDE-87A8-BA9EBDE3945A}"/>
    <cellStyle name="Normal 9 3 2 3 4 2 2 3" xfId="26904" xr:uid="{31AF5AF2-7ACF-4653-8382-04D778BD3EFA}"/>
    <cellStyle name="Normal 9 3 2 3 4 2 3" xfId="13388" xr:uid="{C41B4054-6DD3-43D7-978B-5DB9EB7767CC}"/>
    <cellStyle name="Normal 9 3 2 3 4 2 4" xfId="22687" xr:uid="{ADE101F1-F477-4C65-A0F0-E89C5D9907A2}"/>
    <cellStyle name="Normal 9 3 2 3 4 3" xfId="6134" xr:uid="{00000000-0005-0000-0000-0000DF1F0000}"/>
    <cellStyle name="Normal 9 3 2 3 4 3 2" xfId="15460" xr:uid="{5AD451D0-A9C7-40A5-BB9C-31564C078040}"/>
    <cellStyle name="Normal 9 3 2 3 4 3 3" xfId="24759" xr:uid="{99051D45-1170-4B1F-9B05-917821C51FF6}"/>
    <cellStyle name="Normal 9 3 2 3 4 4" xfId="11243" xr:uid="{14C1495B-7D95-4990-838E-B38D71C4FA82}"/>
    <cellStyle name="Normal 9 3 2 3 4 5" xfId="20542" xr:uid="{A64DCC37-0D3C-4FE0-A949-CDA8D42D0D4F}"/>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933B3414-5C39-4500-AF9E-AAF235A6A01E}"/>
    <cellStyle name="Normal 9 3 2 3 5 2 2 3" xfId="27317" xr:uid="{A2F0B64C-B5E0-4F5C-97A6-1BC531EBAE83}"/>
    <cellStyle name="Normal 9 3 2 3 5 2 3" xfId="13801" xr:uid="{C93D926C-8BC3-4FDC-B896-DEBB269CB832}"/>
    <cellStyle name="Normal 9 3 2 3 5 2 4" xfId="23100" xr:uid="{C74F59F5-6ACF-4C04-BB01-7D3FFC90D19E}"/>
    <cellStyle name="Normal 9 3 2 3 5 3" xfId="6547" xr:uid="{00000000-0005-0000-0000-0000E31F0000}"/>
    <cellStyle name="Normal 9 3 2 3 5 3 2" xfId="15873" xr:uid="{18AB7129-933D-46C1-9534-07F1F44669F1}"/>
    <cellStyle name="Normal 9 3 2 3 5 3 3" xfId="25172" xr:uid="{F0E2733E-AAC3-4DA1-B7AC-39ED47280FDB}"/>
    <cellStyle name="Normal 9 3 2 3 5 4" xfId="11656" xr:uid="{B62EA783-C103-40B9-AA01-DCCF30B7F0DA}"/>
    <cellStyle name="Normal 9 3 2 3 5 5" xfId="20955" xr:uid="{C1D1DB59-5583-49FA-AF77-EA93ECA61EAE}"/>
    <cellStyle name="Normal 9 3 2 3 6" xfId="2677" xr:uid="{00000000-0005-0000-0000-0000E41F0000}"/>
    <cellStyle name="Normal 9 3 2 3 6 2" xfId="6960" xr:uid="{00000000-0005-0000-0000-0000E51F0000}"/>
    <cellStyle name="Normal 9 3 2 3 6 2 2" xfId="16286" xr:uid="{76F0B44F-335A-4653-89A4-AB383C4932D5}"/>
    <cellStyle name="Normal 9 3 2 3 6 2 3" xfId="25585" xr:uid="{31A6C0DC-4718-4029-9686-245D326B8C94}"/>
    <cellStyle name="Normal 9 3 2 3 6 3" xfId="12069" xr:uid="{3F3B0FBB-AF8D-47EB-875A-819AF932AF1A}"/>
    <cellStyle name="Normal 9 3 2 3 6 4" xfId="21368" xr:uid="{36740B02-9491-4249-ACCF-A2399EE2A41A}"/>
    <cellStyle name="Normal 9 3 2 3 7" xfId="4895" xr:uid="{00000000-0005-0000-0000-0000E61F0000}"/>
    <cellStyle name="Normal 9 3 2 3 7 2" xfId="14221" xr:uid="{BB72B107-B0F4-44B6-853D-BA28305D5947}"/>
    <cellStyle name="Normal 9 3 2 3 7 3" xfId="23520" xr:uid="{8955EDAF-74B8-4AAE-B86B-7458C1C462DD}"/>
    <cellStyle name="Normal 9 3 2 3 8" xfId="9047" xr:uid="{4CBBBE80-D24B-484D-910E-0072EA0E95DD}"/>
    <cellStyle name="Normal 9 3 2 3 8 2" xfId="18371" xr:uid="{21982597-CAB9-483B-9984-9D2171B31215}"/>
    <cellStyle name="Normal 9 3 2 3 8 3" xfId="27669" xr:uid="{84711A2C-5032-4728-9F6F-3A388AE0B775}"/>
    <cellStyle name="Normal 9 3 2 3 9" xfId="10004" xr:uid="{AC0AF7D2-5FFF-4956-8ADC-49AB6B60C846}"/>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1F7CE79F-614B-4093-A117-9E7AF438BF9E}"/>
    <cellStyle name="Normal 9 3 2 4 2 2 3" xfId="26075" xr:uid="{0ACCE131-2A5E-4E3F-9546-6CDF043F7722}"/>
    <cellStyle name="Normal 9 3 2 4 2 3" xfId="12559" xr:uid="{25D4E13A-94F4-4FC5-9CF0-D16A82F1A4DF}"/>
    <cellStyle name="Normal 9 3 2 4 2 4" xfId="21858" xr:uid="{B838D70A-CB93-461E-99C3-0CAE569BEB1F}"/>
    <cellStyle name="Normal 9 3 2 4 3" xfId="5305" xr:uid="{00000000-0005-0000-0000-0000EA1F0000}"/>
    <cellStyle name="Normal 9 3 2 4 3 2" xfId="14631" xr:uid="{0B7B6841-8D12-40A7-B882-E3654AAF62E1}"/>
    <cellStyle name="Normal 9 3 2 4 3 3" xfId="23930" xr:uid="{DC8D3ADC-7219-427D-817A-FB78B49AB0C9}"/>
    <cellStyle name="Normal 9 3 2 4 4" xfId="9265" xr:uid="{BF00A9B8-67BA-48F6-8D48-0E4380D60577}"/>
    <cellStyle name="Normal 9 3 2 4 4 2" xfId="18580" xr:uid="{0184207A-68B1-41B0-A032-2E76A907A120}"/>
    <cellStyle name="Normal 9 3 2 4 4 3" xfId="27877" xr:uid="{5131A108-4DBC-49ED-A87B-2A3F511D602A}"/>
    <cellStyle name="Normal 9 3 2 4 5" xfId="10414" xr:uid="{5353A98C-02DA-4F69-92C2-B21AA0D36B3F}"/>
    <cellStyle name="Normal 9 3 2 4 6" xfId="19713" xr:uid="{DA0ABB32-2A1B-4EAC-A575-29BCA5F0D475}"/>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76C5AAFE-A389-4F5E-BE93-1EAFBFD382E2}"/>
    <cellStyle name="Normal 9 3 2 5 2 2 3" xfId="26488" xr:uid="{877FD6B0-B75E-429C-BB6E-DB9B95B13F48}"/>
    <cellStyle name="Normal 9 3 2 5 2 3" xfId="12972" xr:uid="{82EB23A6-CA1A-4FCA-8C37-8575B122476C}"/>
    <cellStyle name="Normal 9 3 2 5 2 4" xfId="22271" xr:uid="{5D17C362-C41A-4397-981D-5BCF52C790D0}"/>
    <cellStyle name="Normal 9 3 2 5 3" xfId="5718" xr:uid="{00000000-0005-0000-0000-0000EE1F0000}"/>
    <cellStyle name="Normal 9 3 2 5 3 2" xfId="15044" xr:uid="{E1785D20-9644-433B-B2EB-5C85A89F61CC}"/>
    <cellStyle name="Normal 9 3 2 5 3 3" xfId="24343" xr:uid="{7E62E73B-BEF9-4F26-8C13-DB0451C41AC7}"/>
    <cellStyle name="Normal 9 3 2 5 4" xfId="10827" xr:uid="{4791F12A-6086-4387-864C-C525762AEE81}"/>
    <cellStyle name="Normal 9 3 2 5 5" xfId="20126" xr:uid="{E9AA5388-1E4D-4FF1-A83B-727D52671F18}"/>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888226A6-AF0B-4771-982E-CC6D375A2102}"/>
    <cellStyle name="Normal 9 3 2 6 2 2 3" xfId="26901" xr:uid="{A72C9377-6C74-4105-A21B-07FCE4DC386D}"/>
    <cellStyle name="Normal 9 3 2 6 2 3" xfId="13385" xr:uid="{243F0C92-1CAF-469F-A550-785A3F5D961C}"/>
    <cellStyle name="Normal 9 3 2 6 2 4" xfId="22684" xr:uid="{21D904D8-A769-4814-9A06-5674F5C20C44}"/>
    <cellStyle name="Normal 9 3 2 6 3" xfId="6131" xr:uid="{00000000-0005-0000-0000-0000F21F0000}"/>
    <cellStyle name="Normal 9 3 2 6 3 2" xfId="15457" xr:uid="{F4DA0576-9AB8-411F-8E64-054AAFA0730E}"/>
    <cellStyle name="Normal 9 3 2 6 3 3" xfId="24756" xr:uid="{AF09280B-CAEC-45FF-B423-873A63EAE2D2}"/>
    <cellStyle name="Normal 9 3 2 6 4" xfId="11240" xr:uid="{5037EBFA-B4B1-413A-AD24-FB38538294E5}"/>
    <cellStyle name="Normal 9 3 2 6 5" xfId="20539" xr:uid="{D26F2D12-A321-433A-A94F-697653212759}"/>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C4A65D9F-E69D-4DFE-BAB0-218587C02DD9}"/>
    <cellStyle name="Normal 9 3 2 7 2 2 3" xfId="27314" xr:uid="{FF9B4D7C-275E-49FC-A3E6-844ABDA5FE5F}"/>
    <cellStyle name="Normal 9 3 2 7 2 3" xfId="13798" xr:uid="{6C028F07-A544-4F9C-B4D4-F14808136015}"/>
    <cellStyle name="Normal 9 3 2 7 2 4" xfId="23097" xr:uid="{8C0A2045-9BC0-49EC-B82F-10C9C40BA9EF}"/>
    <cellStyle name="Normal 9 3 2 7 3" xfId="6544" xr:uid="{00000000-0005-0000-0000-0000F61F0000}"/>
    <cellStyle name="Normal 9 3 2 7 3 2" xfId="15870" xr:uid="{7DBC61F9-0F5F-471D-9641-0C1B4A2339F3}"/>
    <cellStyle name="Normal 9 3 2 7 3 3" xfId="25169" xr:uid="{C83F0582-8980-4D34-89E3-92F8F7EEC485}"/>
    <cellStyle name="Normal 9 3 2 7 4" xfId="11653" xr:uid="{15BC6EC4-3AA6-42DA-9FCD-484CADA4C5FD}"/>
    <cellStyle name="Normal 9 3 2 7 5" xfId="20952" xr:uid="{C96D92E9-AAAE-48CB-B66A-6CE8225F8890}"/>
    <cellStyle name="Normal 9 3 2 8" xfId="2674" xr:uid="{00000000-0005-0000-0000-0000F71F0000}"/>
    <cellStyle name="Normal 9 3 2 8 2" xfId="6957" xr:uid="{00000000-0005-0000-0000-0000F81F0000}"/>
    <cellStyle name="Normal 9 3 2 8 2 2" xfId="16283" xr:uid="{A203229A-C492-4028-8748-201E9A1A6AE4}"/>
    <cellStyle name="Normal 9 3 2 8 2 3" xfId="25582" xr:uid="{4A4B82C1-DD04-473E-BF0A-F41A70B055FD}"/>
    <cellStyle name="Normal 9 3 2 8 3" xfId="12066" xr:uid="{BB3358E3-D0D0-4B9D-8C05-54BD1EE42820}"/>
    <cellStyle name="Normal 9 3 2 8 4" xfId="21365" xr:uid="{7BA2B345-8D60-4597-AD45-081AA945C80B}"/>
    <cellStyle name="Normal 9 3 2 9" xfId="4892" xr:uid="{00000000-0005-0000-0000-0000F91F0000}"/>
    <cellStyle name="Normal 9 3 2 9 2" xfId="14218" xr:uid="{D5C69E04-FFB3-408D-B04E-5B0C5DE78B6C}"/>
    <cellStyle name="Normal 9 3 2 9 3" xfId="23517" xr:uid="{7C75BC64-B61C-4486-B421-A98BFC3B837E}"/>
    <cellStyle name="Normal 9 3 3" xfId="532" xr:uid="{00000000-0005-0000-0000-0000FA1F0000}"/>
    <cellStyle name="Normal 9 3 3 10" xfId="10005" xr:uid="{80DA3D5F-105B-4CA5-ABD2-68A68E463005}"/>
    <cellStyle name="Normal 9 3 3 11" xfId="19304" xr:uid="{6AC17059-0467-4FA1-B71D-DCC5829E952F}"/>
    <cellStyle name="Normal 9 3 3 2" xfId="533" xr:uid="{00000000-0005-0000-0000-0000FB1F0000}"/>
    <cellStyle name="Normal 9 3 3 2 10" xfId="19305" xr:uid="{0894A9C2-90BB-4B78-8A56-E9C1214532BA}"/>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C7D7A836-EFB3-42AA-A313-7B981C40D2F3}"/>
    <cellStyle name="Normal 9 3 3 2 2 2 2 3" xfId="26080" xr:uid="{7F6D2A24-113E-4CC3-A915-22FE6ABACF4A}"/>
    <cellStyle name="Normal 9 3 3 2 2 2 3" xfId="12564" xr:uid="{A5C2789F-FCAE-4F62-89D9-3C70E2AF6A75}"/>
    <cellStyle name="Normal 9 3 3 2 2 2 4" xfId="21863" xr:uid="{38912F04-BDE4-4BA1-884B-2AA35B64378A}"/>
    <cellStyle name="Normal 9 3 3 2 2 3" xfId="5310" xr:uid="{00000000-0005-0000-0000-0000FF1F0000}"/>
    <cellStyle name="Normal 9 3 3 2 2 3 2" xfId="14636" xr:uid="{58BCA934-A1F6-406B-98ED-879341369D09}"/>
    <cellStyle name="Normal 9 3 3 2 2 3 3" xfId="23935" xr:uid="{27C39A7D-68A9-48FD-B1C1-C173A8832E2E}"/>
    <cellStyle name="Normal 9 3 3 2 2 4" xfId="9512" xr:uid="{2D87B26D-94B2-43FF-B3AD-59DF0A117D21}"/>
    <cellStyle name="Normal 9 3 3 2 2 4 2" xfId="18827" xr:uid="{78630E45-A727-4C35-A59D-70497C5858CC}"/>
    <cellStyle name="Normal 9 3 3 2 2 4 3" xfId="28124" xr:uid="{B4093236-9E67-416B-8C82-88A3D7223D10}"/>
    <cellStyle name="Normal 9 3 3 2 2 5" xfId="10419" xr:uid="{D3E96178-027F-46CA-88F9-E965980A57EE}"/>
    <cellStyle name="Normal 9 3 3 2 2 6" xfId="19718" xr:uid="{5FEC9542-8A9E-4796-940B-6BF43FD5521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A16F1B88-4196-41EF-87C0-2665438ECB53}"/>
    <cellStyle name="Normal 9 3 3 2 3 2 2 3" xfId="26493" xr:uid="{E01D9FE7-0280-40F7-A4F9-D931360B0F1D}"/>
    <cellStyle name="Normal 9 3 3 2 3 2 3" xfId="12977" xr:uid="{60AC0696-C355-4C07-9AD8-80B7DE3E4430}"/>
    <cellStyle name="Normal 9 3 3 2 3 2 4" xfId="22276" xr:uid="{5509B2EE-FEFA-4B31-BAD5-9A905A8AA714}"/>
    <cellStyle name="Normal 9 3 3 2 3 3" xfId="5723" xr:uid="{00000000-0005-0000-0000-000003200000}"/>
    <cellStyle name="Normal 9 3 3 2 3 3 2" xfId="15049" xr:uid="{92B641EC-7F8C-4712-BA2C-040401B6FD1E}"/>
    <cellStyle name="Normal 9 3 3 2 3 3 3" xfId="24348" xr:uid="{82B79F58-21E5-4EF3-BF3D-7F2D0D1A9CFE}"/>
    <cellStyle name="Normal 9 3 3 2 3 4" xfId="10832" xr:uid="{5FA0CA7F-23C7-4939-9A5C-92307D590F0F}"/>
    <cellStyle name="Normal 9 3 3 2 3 5" xfId="20131" xr:uid="{2DA7F155-8138-4F67-B3F7-0E9C60A88E57}"/>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13186767-F245-43FD-8996-485D3DA2FA1F}"/>
    <cellStyle name="Normal 9 3 3 2 4 2 2 3" xfId="26906" xr:uid="{0BE38FA6-21E8-4D22-BED3-7D660B464035}"/>
    <cellStyle name="Normal 9 3 3 2 4 2 3" xfId="13390" xr:uid="{09C79987-F9C9-46E4-8532-4FC76F39B7F5}"/>
    <cellStyle name="Normal 9 3 3 2 4 2 4" xfId="22689" xr:uid="{76E21406-68B9-4259-8FB5-C06EFB871801}"/>
    <cellStyle name="Normal 9 3 3 2 4 3" xfId="6136" xr:uid="{00000000-0005-0000-0000-000007200000}"/>
    <cellStyle name="Normal 9 3 3 2 4 3 2" xfId="15462" xr:uid="{EEBCBFA6-F1CF-4C02-86B4-3F5B2E5FBFBD}"/>
    <cellStyle name="Normal 9 3 3 2 4 3 3" xfId="24761" xr:uid="{4ABF384B-B071-4C08-B4EC-E0DDA627D5C3}"/>
    <cellStyle name="Normal 9 3 3 2 4 4" xfId="11245" xr:uid="{5A9CC870-5412-4BD3-A842-C68C6F78A5DB}"/>
    <cellStyle name="Normal 9 3 3 2 4 5" xfId="20544" xr:uid="{173885F8-F628-4D5F-9125-42C83E56BBDC}"/>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509FEDEC-DB1A-49C8-818A-4885DE3FAC9B}"/>
    <cellStyle name="Normal 9 3 3 2 5 2 2 3" xfId="27319" xr:uid="{1007FEBA-8715-4302-8FE5-46AFB63F938F}"/>
    <cellStyle name="Normal 9 3 3 2 5 2 3" xfId="13803" xr:uid="{2A7C1249-6D57-4706-A440-87738AB96B2C}"/>
    <cellStyle name="Normal 9 3 3 2 5 2 4" xfId="23102" xr:uid="{B7D9032A-3BBF-4CED-85A0-E7A2C871056F}"/>
    <cellStyle name="Normal 9 3 3 2 5 3" xfId="6549" xr:uid="{00000000-0005-0000-0000-00000B200000}"/>
    <cellStyle name="Normal 9 3 3 2 5 3 2" xfId="15875" xr:uid="{006979AF-D6E9-4843-80E1-268724B3B418}"/>
    <cellStyle name="Normal 9 3 3 2 5 3 3" xfId="25174" xr:uid="{12F6F6E2-FFE3-43EF-84F6-DA9FBF4CD297}"/>
    <cellStyle name="Normal 9 3 3 2 5 4" xfId="11658" xr:uid="{340CE288-D9B3-4AD5-AE76-9589C44DAFF7}"/>
    <cellStyle name="Normal 9 3 3 2 5 5" xfId="20957" xr:uid="{D701AA70-A556-4E90-9139-4B2B1BFDD932}"/>
    <cellStyle name="Normal 9 3 3 2 6" xfId="2679" xr:uid="{00000000-0005-0000-0000-00000C200000}"/>
    <cellStyle name="Normal 9 3 3 2 6 2" xfId="6962" xr:uid="{00000000-0005-0000-0000-00000D200000}"/>
    <cellStyle name="Normal 9 3 3 2 6 2 2" xfId="16288" xr:uid="{E6DA4169-22B7-46D1-A713-F17879C804C7}"/>
    <cellStyle name="Normal 9 3 3 2 6 2 3" xfId="25587" xr:uid="{74F126F1-C7FA-48A9-B48D-6480794895E8}"/>
    <cellStyle name="Normal 9 3 3 2 6 3" xfId="12071" xr:uid="{46BC04B3-60EA-4676-B0A3-B10B0E3C10FD}"/>
    <cellStyle name="Normal 9 3 3 2 6 4" xfId="21370" xr:uid="{F5FCA79D-D3E3-4819-9C6A-87723D9A0AB1}"/>
    <cellStyle name="Normal 9 3 3 2 7" xfId="4897" xr:uid="{00000000-0005-0000-0000-00000E200000}"/>
    <cellStyle name="Normal 9 3 3 2 7 2" xfId="14223" xr:uid="{E33722B1-E7D7-469D-A855-DAE6CBA15D2D}"/>
    <cellStyle name="Normal 9 3 3 2 7 3" xfId="23522" xr:uid="{753086BF-8EEC-4BCA-875E-7E786400915A}"/>
    <cellStyle name="Normal 9 3 3 2 8" xfId="9087" xr:uid="{B1C8DB1F-59B6-4D6A-B3E7-0CFC4D29D9A9}"/>
    <cellStyle name="Normal 9 3 3 2 8 2" xfId="18411" xr:uid="{3C54732E-4A85-4CB9-962E-9FD60EE9DA36}"/>
    <cellStyle name="Normal 9 3 3 2 8 3" xfId="27709" xr:uid="{151F44B4-7790-49E1-BF83-42AFA2222094}"/>
    <cellStyle name="Normal 9 3 3 2 9" xfId="10006" xr:uid="{41F05FC3-74B5-4B3B-AC2E-8B31F2A3E40D}"/>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59054347-281C-4167-B851-7854BF12FE48}"/>
    <cellStyle name="Normal 9 3 3 3 2 2 3" xfId="26079" xr:uid="{556AAC77-C046-4332-B4C0-0AB9597C1C61}"/>
    <cellStyle name="Normal 9 3 3 3 2 3" xfId="12563" xr:uid="{534CD2CF-89C6-4655-BED9-1C6CD3D3C781}"/>
    <cellStyle name="Normal 9 3 3 3 2 4" xfId="21862" xr:uid="{655B1955-11F0-4397-A7DA-AB0D73227503}"/>
    <cellStyle name="Normal 9 3 3 3 3" xfId="5309" xr:uid="{00000000-0005-0000-0000-000012200000}"/>
    <cellStyle name="Normal 9 3 3 3 3 2" xfId="14635" xr:uid="{C35C9EEF-3F6C-428C-82EB-B641A56A1BB9}"/>
    <cellStyle name="Normal 9 3 3 3 3 3" xfId="23934" xr:uid="{AA23D44C-7AF5-4240-9214-5E4CD18AB8E9}"/>
    <cellStyle name="Normal 9 3 3 3 4" xfId="9305" xr:uid="{F54F3A88-B268-4905-B4D1-34B996B920C6}"/>
    <cellStyle name="Normal 9 3 3 3 4 2" xfId="18620" xr:uid="{5B16C6AE-3F73-4FF3-B003-F5ED47D70BF2}"/>
    <cellStyle name="Normal 9 3 3 3 4 3" xfId="27917" xr:uid="{D90B35E1-B444-4B60-B784-3B3CE0A94D95}"/>
    <cellStyle name="Normal 9 3 3 3 5" xfId="10418" xr:uid="{42399EDE-559A-4295-9B3E-FB9AB57DD354}"/>
    <cellStyle name="Normal 9 3 3 3 6" xfId="19717" xr:uid="{6F914A30-B34A-455F-8793-B053CFAC9FC2}"/>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70C761D6-7FE7-4AAE-B7A6-45ACBAC9DBED}"/>
    <cellStyle name="Normal 9 3 3 4 2 2 3" xfId="26492" xr:uid="{9F08BE82-9EDA-4E17-BB69-1856590D5248}"/>
    <cellStyle name="Normal 9 3 3 4 2 3" xfId="12976" xr:uid="{9E3C3EA8-FAD3-4BEB-8C9B-BC7A7BDC1FF3}"/>
    <cellStyle name="Normal 9 3 3 4 2 4" xfId="22275" xr:uid="{EBDDC755-B950-4D60-A6CF-B4BF36F533B7}"/>
    <cellStyle name="Normal 9 3 3 4 3" xfId="5722" xr:uid="{00000000-0005-0000-0000-000016200000}"/>
    <cellStyle name="Normal 9 3 3 4 3 2" xfId="15048" xr:uid="{8853B254-6424-4257-A754-B2367248CEC5}"/>
    <cellStyle name="Normal 9 3 3 4 3 3" xfId="24347" xr:uid="{2DF1240D-2A29-4AAB-913E-6F6BEFEDFB70}"/>
    <cellStyle name="Normal 9 3 3 4 4" xfId="10831" xr:uid="{CF870E63-27E7-4229-81BB-87C665546818}"/>
    <cellStyle name="Normal 9 3 3 4 5" xfId="20130" xr:uid="{FAE4E2D4-7C76-45B5-A609-59ACE90AC915}"/>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23F784BE-57CD-4F78-B63B-FEA096CE9D8E}"/>
    <cellStyle name="Normal 9 3 3 5 2 2 3" xfId="26905" xr:uid="{5EA84152-142C-4580-91EA-AD24045CE3DF}"/>
    <cellStyle name="Normal 9 3 3 5 2 3" xfId="13389" xr:uid="{AAD8FCAA-176C-4A4B-9D1C-9CAC5A31CC3D}"/>
    <cellStyle name="Normal 9 3 3 5 2 4" xfId="22688" xr:uid="{E69AF966-8D40-41DC-AE46-2A9856BDAAA7}"/>
    <cellStyle name="Normal 9 3 3 5 3" xfId="6135" xr:uid="{00000000-0005-0000-0000-00001A200000}"/>
    <cellStyle name="Normal 9 3 3 5 3 2" xfId="15461" xr:uid="{8C61F54A-FB7A-4E04-8FDA-03AC6D3FFAF7}"/>
    <cellStyle name="Normal 9 3 3 5 3 3" xfId="24760" xr:uid="{B13261DB-38CB-4CAF-8FD3-1C14B0D45713}"/>
    <cellStyle name="Normal 9 3 3 5 4" xfId="11244" xr:uid="{DFF0CA9E-0FB3-4253-AAC2-A666382BB2CB}"/>
    <cellStyle name="Normal 9 3 3 5 5" xfId="20543" xr:uid="{75AD95DB-F846-40AA-84CC-1C77F7057121}"/>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E0B83CA1-586A-444F-A0D0-79B0C774A69A}"/>
    <cellStyle name="Normal 9 3 3 6 2 2 3" xfId="27318" xr:uid="{C3DCF0AE-3ED7-421A-826F-5807EA64495D}"/>
    <cellStyle name="Normal 9 3 3 6 2 3" xfId="13802" xr:uid="{9FE53EFB-AFBF-43E4-A0E3-90678DEB0DC3}"/>
    <cellStyle name="Normal 9 3 3 6 2 4" xfId="23101" xr:uid="{BCCA9C16-C2BF-481D-93C8-70154ABE722F}"/>
    <cellStyle name="Normal 9 3 3 6 3" xfId="6548" xr:uid="{00000000-0005-0000-0000-00001E200000}"/>
    <cellStyle name="Normal 9 3 3 6 3 2" xfId="15874" xr:uid="{4848BE2B-A9F2-4542-9670-9EA0D1A58C71}"/>
    <cellStyle name="Normal 9 3 3 6 3 3" xfId="25173" xr:uid="{1E0FB843-476A-426F-82F8-08D34299A841}"/>
    <cellStyle name="Normal 9 3 3 6 4" xfId="11657" xr:uid="{2237312D-A461-4C76-B73B-06F4A568F904}"/>
    <cellStyle name="Normal 9 3 3 6 5" xfId="20956" xr:uid="{DE2F09C1-38F2-4A10-86FE-8A5D8AB61CF6}"/>
    <cellStyle name="Normal 9 3 3 7" xfId="2678" xr:uid="{00000000-0005-0000-0000-00001F200000}"/>
    <cellStyle name="Normal 9 3 3 7 2" xfId="6961" xr:uid="{00000000-0005-0000-0000-000020200000}"/>
    <cellStyle name="Normal 9 3 3 7 2 2" xfId="16287" xr:uid="{09499CF6-F447-4410-8B9F-E30ECD395004}"/>
    <cellStyle name="Normal 9 3 3 7 2 3" xfId="25586" xr:uid="{ABF38266-5163-4A0C-9062-A0389BE840DF}"/>
    <cellStyle name="Normal 9 3 3 7 3" xfId="12070" xr:uid="{DF0A7482-FED7-4D65-B336-BB37EE199710}"/>
    <cellStyle name="Normal 9 3 3 7 4" xfId="21369" xr:uid="{C62E1B60-9FBB-4AEE-92D4-5E055C6E710E}"/>
    <cellStyle name="Normal 9 3 3 8" xfId="4896" xr:uid="{00000000-0005-0000-0000-000021200000}"/>
    <cellStyle name="Normal 9 3 3 8 2" xfId="14222" xr:uid="{66F361BB-153E-406D-9F2C-EC2D0A0D2BE2}"/>
    <cellStyle name="Normal 9 3 3 8 3" xfId="23521" xr:uid="{3E46E3CB-BDEC-4F5F-865D-79F527FDAA4A}"/>
    <cellStyle name="Normal 9 3 3 9" xfId="8880" xr:uid="{36521590-FD5B-45F7-80A9-41BA557EA820}"/>
    <cellStyle name="Normal 9 3 3 9 2" xfId="18204" xr:uid="{915FF7E8-F71F-4BD5-9D6A-509C641D1141}"/>
    <cellStyle name="Normal 9 3 3 9 3" xfId="27502" xr:uid="{1E572F1D-7DFF-4A50-B6D3-3521B27AB35D}"/>
    <cellStyle name="Normal 9 3 4" xfId="534" xr:uid="{00000000-0005-0000-0000-000022200000}"/>
    <cellStyle name="Normal 9 3 4 10" xfId="19306" xr:uid="{1146D0A0-F10C-4C72-B7B8-2CC5497A60C6}"/>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3F81063E-8514-4983-B90E-C04C4E9C01D2}"/>
    <cellStyle name="Normal 9 3 4 2 2 2 3" xfId="26081" xr:uid="{A542CF58-A505-46E9-A3F6-54565FF644D4}"/>
    <cellStyle name="Normal 9 3 4 2 2 3" xfId="12565" xr:uid="{E98E92CF-E9CE-4B6F-B887-1F372B8211F2}"/>
    <cellStyle name="Normal 9 3 4 2 2 4" xfId="21864" xr:uid="{32930BAB-5FAF-467A-9050-DD7E32B78D72}"/>
    <cellStyle name="Normal 9 3 4 2 3" xfId="5311" xr:uid="{00000000-0005-0000-0000-000026200000}"/>
    <cellStyle name="Normal 9 3 4 2 3 2" xfId="14637" xr:uid="{2C57A1CF-3C1E-4EB7-BF08-5E7112C69129}"/>
    <cellStyle name="Normal 9 3 4 2 3 3" xfId="23936" xr:uid="{3D3C8062-DA07-48AA-9083-F553490EC420}"/>
    <cellStyle name="Normal 9 3 4 2 4" xfId="9409" xr:uid="{F8EFC02C-357C-44AD-9BF7-6459F3C595DA}"/>
    <cellStyle name="Normal 9 3 4 2 4 2" xfId="18724" xr:uid="{FBF9C30C-145F-45B2-A50D-1FBD59CBAA5F}"/>
    <cellStyle name="Normal 9 3 4 2 4 3" xfId="28021" xr:uid="{EA02B2CB-FF17-49FA-921B-3CC0C364E7EC}"/>
    <cellStyle name="Normal 9 3 4 2 5" xfId="10420" xr:uid="{1929EDDF-A628-431B-8448-856E1EEFC3D0}"/>
    <cellStyle name="Normal 9 3 4 2 6" xfId="19719" xr:uid="{3C296093-DB24-4EC7-9FE9-A4AE0D4D0882}"/>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0A7BB411-3DFC-4B42-B137-B25057FC28FD}"/>
    <cellStyle name="Normal 9 3 4 3 2 2 3" xfId="26494" xr:uid="{F935EA7B-7366-48D5-87BD-0FCE7E0E2B6C}"/>
    <cellStyle name="Normal 9 3 4 3 2 3" xfId="12978" xr:uid="{5997CF05-7D94-4CBF-92F4-1F0B11A5B493}"/>
    <cellStyle name="Normal 9 3 4 3 2 4" xfId="22277" xr:uid="{1528B645-A72C-4153-9FE0-27423CF6250A}"/>
    <cellStyle name="Normal 9 3 4 3 3" xfId="5724" xr:uid="{00000000-0005-0000-0000-00002A200000}"/>
    <cellStyle name="Normal 9 3 4 3 3 2" xfId="15050" xr:uid="{CCF24F32-6D6B-425B-AD52-CB9E474FF2C2}"/>
    <cellStyle name="Normal 9 3 4 3 3 3" xfId="24349" xr:uid="{3270FB45-02DB-4E6A-A6FD-C0089CFCF5FD}"/>
    <cellStyle name="Normal 9 3 4 3 4" xfId="10833" xr:uid="{8FEFCCBD-8C11-43AF-BE97-7FE5ECF00386}"/>
    <cellStyle name="Normal 9 3 4 3 5" xfId="20132" xr:uid="{6746383D-B046-4EB8-A0E0-767F9812E444}"/>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69F0EFCB-929B-4B1E-9DF3-93DDB430CC41}"/>
    <cellStyle name="Normal 9 3 4 4 2 2 3" xfId="26907" xr:uid="{55D28B64-E3CF-4E41-9995-2DE3CA7B341D}"/>
    <cellStyle name="Normal 9 3 4 4 2 3" xfId="13391" xr:uid="{B669D787-7D77-4B27-81AD-37CA70F8B611}"/>
    <cellStyle name="Normal 9 3 4 4 2 4" xfId="22690" xr:uid="{9290A2D3-4E48-4AAC-8B96-2304D27DDF69}"/>
    <cellStyle name="Normal 9 3 4 4 3" xfId="6137" xr:uid="{00000000-0005-0000-0000-00002E200000}"/>
    <cellStyle name="Normal 9 3 4 4 3 2" xfId="15463" xr:uid="{CD428680-07F2-44A8-8D97-3AEA2892E7C9}"/>
    <cellStyle name="Normal 9 3 4 4 3 3" xfId="24762" xr:uid="{B8B89D0A-9DBD-4EBE-8518-0FE93BC16CD8}"/>
    <cellStyle name="Normal 9 3 4 4 4" xfId="11246" xr:uid="{FF844C28-8DC3-44E1-9C41-20FC4CE86615}"/>
    <cellStyle name="Normal 9 3 4 4 5" xfId="20545" xr:uid="{FBD098EA-C344-47CA-933D-A689D13F941B}"/>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C8092361-FDBD-428B-A5A1-7991C84444D3}"/>
    <cellStyle name="Normal 9 3 4 5 2 2 3" xfId="27320" xr:uid="{CB4D7EC4-FACE-4964-83EB-5DA47B9BCFB9}"/>
    <cellStyle name="Normal 9 3 4 5 2 3" xfId="13804" xr:uid="{05070BCF-51DE-4CF5-835D-EE272C4AC449}"/>
    <cellStyle name="Normal 9 3 4 5 2 4" xfId="23103" xr:uid="{5C24C043-C48C-4865-861F-E07960DEA517}"/>
    <cellStyle name="Normal 9 3 4 5 3" xfId="6550" xr:uid="{00000000-0005-0000-0000-000032200000}"/>
    <cellStyle name="Normal 9 3 4 5 3 2" xfId="15876" xr:uid="{FA1E2E61-4571-4ADB-A6D5-21A8DAF5AB0E}"/>
    <cellStyle name="Normal 9 3 4 5 3 3" xfId="25175" xr:uid="{5099DB40-B1BC-4773-9D42-C1A658B79F69}"/>
    <cellStyle name="Normal 9 3 4 5 4" xfId="11659" xr:uid="{04C45200-FEE6-4DE7-A9AF-9BA9C15DF384}"/>
    <cellStyle name="Normal 9 3 4 5 5" xfId="20958" xr:uid="{F97930C3-C9D0-4FD6-8DA0-2005E70256E6}"/>
    <cellStyle name="Normal 9 3 4 6" xfId="2680" xr:uid="{00000000-0005-0000-0000-000033200000}"/>
    <cellStyle name="Normal 9 3 4 6 2" xfId="6963" xr:uid="{00000000-0005-0000-0000-000034200000}"/>
    <cellStyle name="Normal 9 3 4 6 2 2" xfId="16289" xr:uid="{18B19EA4-DDE7-4198-9F40-B621A26FE7F1}"/>
    <cellStyle name="Normal 9 3 4 6 2 3" xfId="25588" xr:uid="{613F0FD3-2ED0-49D9-A0E4-55C6E1638531}"/>
    <cellStyle name="Normal 9 3 4 6 3" xfId="12072" xr:uid="{87FD471D-C975-4A78-BF50-29C10444682C}"/>
    <cellStyle name="Normal 9 3 4 6 4" xfId="21371" xr:uid="{A73221B8-969C-4E4A-96D4-09CBF19CC3D0}"/>
    <cellStyle name="Normal 9 3 4 7" xfId="4898" xr:uid="{00000000-0005-0000-0000-000035200000}"/>
    <cellStyle name="Normal 9 3 4 7 2" xfId="14224" xr:uid="{2A679CFC-93C0-401B-9727-3586B84D5EB1}"/>
    <cellStyle name="Normal 9 3 4 7 3" xfId="23523" xr:uid="{B12D7F57-E332-4A47-A8E2-E595B58EA514}"/>
    <cellStyle name="Normal 9 3 4 8" xfId="8984" xr:uid="{A39B104A-EAEF-4D5B-B504-6104111E924B}"/>
    <cellStyle name="Normal 9 3 4 8 2" xfId="18308" xr:uid="{C099E740-BC04-4D23-AC29-0086F3C23268}"/>
    <cellStyle name="Normal 9 3 4 8 3" xfId="27606" xr:uid="{D0941039-4E16-4B07-9928-2E27B383B960}"/>
    <cellStyle name="Normal 9 3 4 9" xfId="10007" xr:uid="{52FD34F1-3C3F-4048-B7D8-A568E9F1F323}"/>
    <cellStyle name="Normal 9 3 5" xfId="994" xr:uid="{00000000-0005-0000-0000-000036200000}"/>
    <cellStyle name="Normal 9 3 5 2" xfId="3227" xr:uid="{00000000-0005-0000-0000-000037200000}"/>
    <cellStyle name="Normal 9 3 5 2 2" xfId="7449" xr:uid="{00000000-0005-0000-0000-000038200000}"/>
    <cellStyle name="Normal 9 3 5 2 2 2" xfId="16775" xr:uid="{0D46C02B-0395-49F5-93CC-22A18EBDDBE4}"/>
    <cellStyle name="Normal 9 3 5 2 2 3" xfId="26074" xr:uid="{B742A9C6-5E39-4E73-8DF0-5BE7D7FC3348}"/>
    <cellStyle name="Normal 9 3 5 2 3" xfId="12558" xr:uid="{48CD1CCF-8015-45AC-8F45-BDB3BDC7124E}"/>
    <cellStyle name="Normal 9 3 5 2 4" xfId="21857" xr:uid="{03EF649B-E5D1-4B85-9C70-E49AA5736966}"/>
    <cellStyle name="Normal 9 3 5 3" xfId="5304" xr:uid="{00000000-0005-0000-0000-000039200000}"/>
    <cellStyle name="Normal 9 3 5 3 2" xfId="14630" xr:uid="{7C5464A9-3CF4-4C51-A5BC-93C4EB95639D}"/>
    <cellStyle name="Normal 9 3 5 3 3" xfId="23929" xr:uid="{3D573346-505D-41C7-B97A-4CD77612BA91}"/>
    <cellStyle name="Normal 9 3 5 4" xfId="9201" xr:uid="{46D523D7-8DEB-46FB-8F1C-8CE8C2FC3AD3}"/>
    <cellStyle name="Normal 9 3 5 4 2" xfId="18517" xr:uid="{D8BC230A-0030-4A86-BAD5-A493C4D664F7}"/>
    <cellStyle name="Normal 9 3 5 4 3" xfId="27814" xr:uid="{117DF76B-3019-4F45-8617-06713A807748}"/>
    <cellStyle name="Normal 9 3 5 5" xfId="10413" xr:uid="{AE337AAC-2CDA-4ACA-B80A-F6410D43FAE4}"/>
    <cellStyle name="Normal 9 3 5 6" xfId="19712" xr:uid="{A5AC5D00-50B5-4ED2-8250-63419DCE2847}"/>
    <cellStyle name="Normal 9 3 6" xfId="1410" xr:uid="{00000000-0005-0000-0000-00003A200000}"/>
    <cellStyle name="Normal 9 3 6 2" xfId="3640" xr:uid="{00000000-0005-0000-0000-00003B200000}"/>
    <cellStyle name="Normal 9 3 6 2 2" xfId="7862" xr:uid="{00000000-0005-0000-0000-00003C200000}"/>
    <cellStyle name="Normal 9 3 6 2 2 2" xfId="17188" xr:uid="{63491DE1-72D1-417A-B8AC-4EF8E6BB05C1}"/>
    <cellStyle name="Normal 9 3 6 2 2 3" xfId="26487" xr:uid="{3F77CACB-7295-4E4E-8C66-8C011F68802A}"/>
    <cellStyle name="Normal 9 3 6 2 3" xfId="12971" xr:uid="{59338DB8-5ECC-4135-9E8F-C1BAE8B41C05}"/>
    <cellStyle name="Normal 9 3 6 2 4" xfId="22270" xr:uid="{BE4DA779-C689-4FD5-B891-84CC6A822C94}"/>
    <cellStyle name="Normal 9 3 6 3" xfId="5717" xr:uid="{00000000-0005-0000-0000-00003D200000}"/>
    <cellStyle name="Normal 9 3 6 3 2" xfId="15043" xr:uid="{B141EB85-E3A1-4B0B-AA9F-FC8793FD5A5A}"/>
    <cellStyle name="Normal 9 3 6 3 3" xfId="24342" xr:uid="{6263631E-1D25-438B-A83A-DF3218C6B328}"/>
    <cellStyle name="Normal 9 3 6 4" xfId="10826" xr:uid="{6F1B9A87-059A-440A-A83D-6F6871148057}"/>
    <cellStyle name="Normal 9 3 6 5" xfId="20125" xr:uid="{DB45FDEA-0611-4567-B2AA-0A4F1AE46C1F}"/>
    <cellStyle name="Normal 9 3 7" xfId="1823" xr:uid="{00000000-0005-0000-0000-00003E200000}"/>
    <cellStyle name="Normal 9 3 7 2" xfId="4053" xr:uid="{00000000-0005-0000-0000-00003F200000}"/>
    <cellStyle name="Normal 9 3 7 2 2" xfId="8275" xr:uid="{00000000-0005-0000-0000-000040200000}"/>
    <cellStyle name="Normal 9 3 7 2 2 2" xfId="17601" xr:uid="{7F481B81-7702-4D21-A5B1-63AADFAF9734}"/>
    <cellStyle name="Normal 9 3 7 2 2 3" xfId="26900" xr:uid="{BC69BAB3-6E0F-476C-B156-AB8484119444}"/>
    <cellStyle name="Normal 9 3 7 2 3" xfId="13384" xr:uid="{45BA8D3E-4EA6-4807-88AB-23B2ACB94BD4}"/>
    <cellStyle name="Normal 9 3 7 2 4" xfId="22683" xr:uid="{87030C98-EDAC-45C8-94E9-E1C72B6E78A1}"/>
    <cellStyle name="Normal 9 3 7 3" xfId="6130" xr:uid="{00000000-0005-0000-0000-000041200000}"/>
    <cellStyle name="Normal 9 3 7 3 2" xfId="15456" xr:uid="{80FFD501-6187-49AA-890D-2009716FFF62}"/>
    <cellStyle name="Normal 9 3 7 3 3" xfId="24755" xr:uid="{2B0A0F2E-6D79-4181-881A-2F183B0BE369}"/>
    <cellStyle name="Normal 9 3 7 4" xfId="11239" xr:uid="{9A36F0BC-C8C4-440E-9247-9094B704ECF9}"/>
    <cellStyle name="Normal 9 3 7 5" xfId="20538" xr:uid="{1E8FF3B2-9518-45EE-AD69-69B4D876E4F6}"/>
    <cellStyle name="Normal 9 3 8" xfId="2237" xr:uid="{00000000-0005-0000-0000-000042200000}"/>
    <cellStyle name="Normal 9 3 8 2" xfId="4466" xr:uid="{00000000-0005-0000-0000-000043200000}"/>
    <cellStyle name="Normal 9 3 8 2 2" xfId="8688" xr:uid="{00000000-0005-0000-0000-000044200000}"/>
    <cellStyle name="Normal 9 3 8 2 2 2" xfId="18014" xr:uid="{AF658108-EC35-4D2E-9A94-E79927D382DD}"/>
    <cellStyle name="Normal 9 3 8 2 2 3" xfId="27313" xr:uid="{75B45454-9487-49B8-BEBC-333F3BE905E7}"/>
    <cellStyle name="Normal 9 3 8 2 3" xfId="13797" xr:uid="{5D575BD0-3172-4A0B-9E6F-9391247B9569}"/>
    <cellStyle name="Normal 9 3 8 2 4" xfId="23096" xr:uid="{1255455F-CE25-4BA8-8C48-49C1F8447926}"/>
    <cellStyle name="Normal 9 3 8 3" xfId="6543" xr:uid="{00000000-0005-0000-0000-000045200000}"/>
    <cellStyle name="Normal 9 3 8 3 2" xfId="15869" xr:uid="{184FDA9B-D512-4908-BA25-75AF1AABB691}"/>
    <cellStyle name="Normal 9 3 8 3 3" xfId="25168" xr:uid="{129DEF4E-8986-4E41-8B8C-BA780042EAF2}"/>
    <cellStyle name="Normal 9 3 8 4" xfId="11652" xr:uid="{09444E5B-6652-4DC4-BAE6-C220BB212E64}"/>
    <cellStyle name="Normal 9 3 8 5" xfId="20951" xr:uid="{F801A1D4-83D3-41C3-B2D1-3AC119874BDF}"/>
    <cellStyle name="Normal 9 3 9" xfId="2673" xr:uid="{00000000-0005-0000-0000-000046200000}"/>
    <cellStyle name="Normal 9 3 9 2" xfId="6956" xr:uid="{00000000-0005-0000-0000-000047200000}"/>
    <cellStyle name="Normal 9 3 9 2 2" xfId="16282" xr:uid="{87B00F31-BBE2-4F59-8A4D-F12CA10EE876}"/>
    <cellStyle name="Normal 9 3 9 2 3" xfId="25581" xr:uid="{B4ACCC48-7A59-45E3-8B51-D4CE1CBD8CE7}"/>
    <cellStyle name="Normal 9 3 9 3" xfId="12065" xr:uid="{25144AE8-D24B-44F4-8A05-4C126AB94A18}"/>
    <cellStyle name="Normal 9 3 9 4" xfId="21364" xr:uid="{77612315-DB8B-4918-8C33-AA677717BBE2}"/>
    <cellStyle name="Normal 9 4" xfId="535" xr:uid="{00000000-0005-0000-0000-000048200000}"/>
    <cellStyle name="Normal 9 4 2" xfId="1002" xr:uid="{00000000-0005-0000-0000-000049200000}"/>
    <cellStyle name="Normal 9 5" xfId="536" xr:uid="{00000000-0005-0000-0000-00004A200000}"/>
    <cellStyle name="Normal 9 5 10" xfId="10008" xr:uid="{1ED05A8E-1C20-42F8-98BC-4E552A960B98}"/>
    <cellStyle name="Normal 9 5 11" xfId="19307" xr:uid="{C53FE52C-8178-4DC6-9C5E-17D352808F71}"/>
    <cellStyle name="Normal 9 5 2" xfId="537" xr:uid="{00000000-0005-0000-0000-00004B200000}"/>
    <cellStyle name="Normal 9 5 2 10" xfId="19308" xr:uid="{378DCDA4-4BD9-4952-9E42-695264DEFAD5}"/>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D4823AD8-E63B-404A-AD44-23A597007D82}"/>
    <cellStyle name="Normal 9 5 2 2 2 2 3" xfId="26083" xr:uid="{5EBF07B5-B941-4C90-8D6A-927C34442C63}"/>
    <cellStyle name="Normal 9 5 2 2 2 3" xfId="12567" xr:uid="{3A67F188-9694-4A0F-805D-9EAEACDD9A78}"/>
    <cellStyle name="Normal 9 5 2 2 2 4" xfId="21866" xr:uid="{83D89D00-F880-4222-877E-86235C16CF3E}"/>
    <cellStyle name="Normal 9 5 2 2 3" xfId="5313" xr:uid="{00000000-0005-0000-0000-00004F200000}"/>
    <cellStyle name="Normal 9 5 2 2 3 2" xfId="14639" xr:uid="{F698A393-6876-4E31-9878-17C7CB264FED}"/>
    <cellStyle name="Normal 9 5 2 2 3 3" xfId="23938" xr:uid="{B2A988FD-76B1-4BDF-B9F2-D2A088F63B8A}"/>
    <cellStyle name="Normal 9 5 2 2 4" xfId="9480" xr:uid="{BC9702BE-C2B3-450A-99DF-6FFE7C7A82FD}"/>
    <cellStyle name="Normal 9 5 2 2 4 2" xfId="18795" xr:uid="{456CB266-9B26-47F3-B1A7-339A1077D2F5}"/>
    <cellStyle name="Normal 9 5 2 2 4 3" xfId="28092" xr:uid="{7F0CA14D-39A9-4496-B861-D5223DE6344F}"/>
    <cellStyle name="Normal 9 5 2 2 5" xfId="10422" xr:uid="{1FA4D529-D19E-4CC8-821D-82EFC438AC57}"/>
    <cellStyle name="Normal 9 5 2 2 6" xfId="19721" xr:uid="{024903BC-A688-461E-9117-A2043261AEB6}"/>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71B58C3E-2D97-4ED0-A660-7C94BB97AB54}"/>
    <cellStyle name="Normal 9 5 2 3 2 2 3" xfId="26496" xr:uid="{3CAAE6D2-C83C-434E-90DD-5DB67C0F0336}"/>
    <cellStyle name="Normal 9 5 2 3 2 3" xfId="12980" xr:uid="{8C3C7336-9F29-4BF4-AFDD-2427B571C6C6}"/>
    <cellStyle name="Normal 9 5 2 3 2 4" xfId="22279" xr:uid="{64C0C25C-6A14-402B-88BD-E9FC66F06A0A}"/>
    <cellStyle name="Normal 9 5 2 3 3" xfId="5726" xr:uid="{00000000-0005-0000-0000-000053200000}"/>
    <cellStyle name="Normal 9 5 2 3 3 2" xfId="15052" xr:uid="{80FE7A7A-87A7-4270-A4B9-F129357D6F65}"/>
    <cellStyle name="Normal 9 5 2 3 3 3" xfId="24351" xr:uid="{D03D1FE0-460E-4C65-98F5-1337E591219F}"/>
    <cellStyle name="Normal 9 5 2 3 4" xfId="10835" xr:uid="{8E2B121A-DCED-4D0A-8C44-B70529283837}"/>
    <cellStyle name="Normal 9 5 2 3 5" xfId="20134" xr:uid="{3A8E77EE-770F-4AD7-9691-99BA54B4996C}"/>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97F67DD9-09D4-4F07-BEA2-F5DAE2AFA0B0}"/>
    <cellStyle name="Normal 9 5 2 4 2 2 3" xfId="26909" xr:uid="{2B2E1209-1DE8-488A-9D3A-00D99C97AEB6}"/>
    <cellStyle name="Normal 9 5 2 4 2 3" xfId="13393" xr:uid="{1CF672BF-A54C-4E34-A7E3-C368386F0822}"/>
    <cellStyle name="Normal 9 5 2 4 2 4" xfId="22692" xr:uid="{268615E8-22B1-4EB8-96E3-0D063C6CEABF}"/>
    <cellStyle name="Normal 9 5 2 4 3" xfId="6139" xr:uid="{00000000-0005-0000-0000-000057200000}"/>
    <cellStyle name="Normal 9 5 2 4 3 2" xfId="15465" xr:uid="{95AECCB1-D6A7-4B4E-B51C-A075DD3EAF1E}"/>
    <cellStyle name="Normal 9 5 2 4 3 3" xfId="24764" xr:uid="{E594DCB6-4379-4906-9586-3FC414C16D89}"/>
    <cellStyle name="Normal 9 5 2 4 4" xfId="11248" xr:uid="{C7CFA45C-5A55-4FF0-845E-DF864D73A1E6}"/>
    <cellStyle name="Normal 9 5 2 4 5" xfId="20547" xr:uid="{FB58EC90-1E91-4091-B6A4-816FD3878277}"/>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D1E0AEBC-B650-437C-BD94-C3E638011080}"/>
    <cellStyle name="Normal 9 5 2 5 2 2 3" xfId="27322" xr:uid="{2A9F6E16-BD9D-4DBA-BC1E-B8907EDF71F9}"/>
    <cellStyle name="Normal 9 5 2 5 2 3" xfId="13806" xr:uid="{291A367C-CB26-4163-B5D4-774651A1B90D}"/>
    <cellStyle name="Normal 9 5 2 5 2 4" xfId="23105" xr:uid="{0E1A20D3-2F41-4AE1-861A-79AAAA86738E}"/>
    <cellStyle name="Normal 9 5 2 5 3" xfId="6552" xr:uid="{00000000-0005-0000-0000-00005B200000}"/>
    <cellStyle name="Normal 9 5 2 5 3 2" xfId="15878" xr:uid="{ACE82E06-31D5-4880-B492-48E422FC2083}"/>
    <cellStyle name="Normal 9 5 2 5 3 3" xfId="25177" xr:uid="{324A8716-59D3-4A9E-8C87-8FA3B88BC821}"/>
    <cellStyle name="Normal 9 5 2 5 4" xfId="11661" xr:uid="{32AA8F46-63C4-45C3-9B3D-CD4D3E880DDF}"/>
    <cellStyle name="Normal 9 5 2 5 5" xfId="20960" xr:uid="{132E8FC3-F9D1-4F56-AA3D-044F24949C04}"/>
    <cellStyle name="Normal 9 5 2 6" xfId="2682" xr:uid="{00000000-0005-0000-0000-00005C200000}"/>
    <cellStyle name="Normal 9 5 2 6 2" xfId="6965" xr:uid="{00000000-0005-0000-0000-00005D200000}"/>
    <cellStyle name="Normal 9 5 2 6 2 2" xfId="16291" xr:uid="{3B58EFBB-EF46-4C5F-9609-15E82383AE93}"/>
    <cellStyle name="Normal 9 5 2 6 2 3" xfId="25590" xr:uid="{30D3385D-7512-4A03-B93E-8D9206447F43}"/>
    <cellStyle name="Normal 9 5 2 6 3" xfId="12074" xr:uid="{7822E0A1-54FF-4F67-B313-987BB60947D7}"/>
    <cellStyle name="Normal 9 5 2 6 4" xfId="21373" xr:uid="{54E01F19-8FC8-4C79-9CE9-7FE7C2CBA2AF}"/>
    <cellStyle name="Normal 9 5 2 7" xfId="4900" xr:uid="{00000000-0005-0000-0000-00005E200000}"/>
    <cellStyle name="Normal 9 5 2 7 2" xfId="14226" xr:uid="{42BAFBAE-C5D8-4409-8ED9-6D918EB4B6C5}"/>
    <cellStyle name="Normal 9 5 2 7 3" xfId="23525" xr:uid="{966466CA-C0CA-4814-BA01-E1E74C055465}"/>
    <cellStyle name="Normal 9 5 2 8" xfId="9055" xr:uid="{3DD071E2-A4B3-45E3-9F20-3C2D5AEE5CB2}"/>
    <cellStyle name="Normal 9 5 2 8 2" xfId="18379" xr:uid="{7D861649-137D-4BCA-94FC-84AC6EC1F700}"/>
    <cellStyle name="Normal 9 5 2 8 3" xfId="27677" xr:uid="{8631E889-A0DF-4430-B158-A99AE9BDC11F}"/>
    <cellStyle name="Normal 9 5 2 9" xfId="10009" xr:uid="{93EE10AE-3E11-47B8-8D09-AB732B91E4B7}"/>
    <cellStyle name="Normal 9 5 3" xfId="1003" xr:uid="{00000000-0005-0000-0000-00005F200000}"/>
    <cellStyle name="Normal 9 5 3 2" xfId="3235" xr:uid="{00000000-0005-0000-0000-000060200000}"/>
    <cellStyle name="Normal 9 5 3 2 2" xfId="7457" xr:uid="{00000000-0005-0000-0000-000061200000}"/>
    <cellStyle name="Normal 9 5 3 2 2 2" xfId="16783" xr:uid="{462A84BE-5C27-483A-811D-E5768364A7D8}"/>
    <cellStyle name="Normal 9 5 3 2 2 3" xfId="26082" xr:uid="{0B89878E-211D-4D66-A201-8D06879BAED9}"/>
    <cellStyle name="Normal 9 5 3 2 3" xfId="12566" xr:uid="{1FAF7E54-BAEA-4074-9147-BB50F52D8C0D}"/>
    <cellStyle name="Normal 9 5 3 2 4" xfId="21865" xr:uid="{C6D311D2-E749-428D-A4C1-EC79D48D6809}"/>
    <cellStyle name="Normal 9 5 3 3" xfId="5312" xr:uid="{00000000-0005-0000-0000-000062200000}"/>
    <cellStyle name="Normal 9 5 3 3 2" xfId="14638" xr:uid="{897740BD-B826-4797-9338-4D41C71AB2F6}"/>
    <cellStyle name="Normal 9 5 3 3 3" xfId="23937" xr:uid="{429B081B-2848-4ECB-84FC-E7F6213AFD92}"/>
    <cellStyle name="Normal 9 5 3 4" xfId="9273" xr:uid="{AE6CB61B-02C5-436E-A328-3B2AC8AC9E53}"/>
    <cellStyle name="Normal 9 5 3 4 2" xfId="18588" xr:uid="{F3AA5F64-C5A6-4DC9-8C58-2452A95148C8}"/>
    <cellStyle name="Normal 9 5 3 4 3" xfId="27885" xr:uid="{B01F04B5-23D4-4741-A882-8672B165F721}"/>
    <cellStyle name="Normal 9 5 3 5" xfId="10421" xr:uid="{C7D053F1-2DD1-4662-B077-0D9A852E71F0}"/>
    <cellStyle name="Normal 9 5 3 6" xfId="19720" xr:uid="{11AC1EF5-29DA-4E2F-B4CF-12BD8450B65E}"/>
    <cellStyle name="Normal 9 5 4" xfId="1418" xr:uid="{00000000-0005-0000-0000-000063200000}"/>
    <cellStyle name="Normal 9 5 4 2" xfId="3648" xr:uid="{00000000-0005-0000-0000-000064200000}"/>
    <cellStyle name="Normal 9 5 4 2 2" xfId="7870" xr:uid="{00000000-0005-0000-0000-000065200000}"/>
    <cellStyle name="Normal 9 5 4 2 2 2" xfId="17196" xr:uid="{827F37B9-AF3E-4E6E-AC30-5CCB10E205B6}"/>
    <cellStyle name="Normal 9 5 4 2 2 3" xfId="26495" xr:uid="{7FE9E091-BC87-44FD-BDC0-4A7AFF0408A3}"/>
    <cellStyle name="Normal 9 5 4 2 3" xfId="12979" xr:uid="{DAC45ABF-EF7A-4643-B221-3AE2E0D30F3A}"/>
    <cellStyle name="Normal 9 5 4 2 4" xfId="22278" xr:uid="{2B7E1FE5-DB86-4610-802E-64631431F9BA}"/>
    <cellStyle name="Normal 9 5 4 3" xfId="5725" xr:uid="{00000000-0005-0000-0000-000066200000}"/>
    <cellStyle name="Normal 9 5 4 3 2" xfId="15051" xr:uid="{A427BC84-F306-406D-9D63-B14CBA819505}"/>
    <cellStyle name="Normal 9 5 4 3 3" xfId="24350" xr:uid="{413A1239-4997-43AE-851B-1FC7972474E2}"/>
    <cellStyle name="Normal 9 5 4 4" xfId="10834" xr:uid="{65FEBFE2-4457-4A57-8477-7B2694746A48}"/>
    <cellStyle name="Normal 9 5 4 5" xfId="20133" xr:uid="{FE30F043-93EA-4AFC-920D-65FBD1B8552B}"/>
    <cellStyle name="Normal 9 5 5" xfId="1831" xr:uid="{00000000-0005-0000-0000-000067200000}"/>
    <cellStyle name="Normal 9 5 5 2" xfId="4061" xr:uid="{00000000-0005-0000-0000-000068200000}"/>
    <cellStyle name="Normal 9 5 5 2 2" xfId="8283" xr:uid="{00000000-0005-0000-0000-000069200000}"/>
    <cellStyle name="Normal 9 5 5 2 2 2" xfId="17609" xr:uid="{2BD282B0-97D7-4312-88BD-7337CD1C4591}"/>
    <cellStyle name="Normal 9 5 5 2 2 3" xfId="26908" xr:uid="{DAA8AD0C-D7F1-4DE0-8B70-AE19D66C2011}"/>
    <cellStyle name="Normal 9 5 5 2 3" xfId="13392" xr:uid="{CD31F034-1892-4058-B5C5-C3472509C4DC}"/>
    <cellStyle name="Normal 9 5 5 2 4" xfId="22691" xr:uid="{CEA5EBDF-30A3-4FD6-8D98-D4C1DB033FE1}"/>
    <cellStyle name="Normal 9 5 5 3" xfId="6138" xr:uid="{00000000-0005-0000-0000-00006A200000}"/>
    <cellStyle name="Normal 9 5 5 3 2" xfId="15464" xr:uid="{6029C6AF-BB56-4836-A7DA-7A759DF1B259}"/>
    <cellStyle name="Normal 9 5 5 3 3" xfId="24763" xr:uid="{DA4ECEA3-277E-418A-A354-42A618275B51}"/>
    <cellStyle name="Normal 9 5 5 4" xfId="11247" xr:uid="{A6EFC7A3-2D61-4DD8-91D9-E092A05EE76A}"/>
    <cellStyle name="Normal 9 5 5 5" xfId="20546" xr:uid="{109476F6-6094-4695-83C0-9BB1D7CAAEF1}"/>
    <cellStyle name="Normal 9 5 6" xfId="2245" xr:uid="{00000000-0005-0000-0000-00006B200000}"/>
    <cellStyle name="Normal 9 5 6 2" xfId="4474" xr:uid="{00000000-0005-0000-0000-00006C200000}"/>
    <cellStyle name="Normal 9 5 6 2 2" xfId="8696" xr:uid="{00000000-0005-0000-0000-00006D200000}"/>
    <cellStyle name="Normal 9 5 6 2 2 2" xfId="18022" xr:uid="{3E624B5D-B5C2-4AE8-8A63-9A309E04DAF6}"/>
    <cellStyle name="Normal 9 5 6 2 2 3" xfId="27321" xr:uid="{704DA614-E8CC-44DB-8B62-8D8A62DEC225}"/>
    <cellStyle name="Normal 9 5 6 2 3" xfId="13805" xr:uid="{3D3323C4-3242-4329-A8A7-3996C8D2109A}"/>
    <cellStyle name="Normal 9 5 6 2 4" xfId="23104" xr:uid="{A86B866E-4971-4A45-9E5A-6448BFD83114}"/>
    <cellStyle name="Normal 9 5 6 3" xfId="6551" xr:uid="{00000000-0005-0000-0000-00006E200000}"/>
    <cellStyle name="Normal 9 5 6 3 2" xfId="15877" xr:uid="{86EBC5E5-1F7C-4AAA-8743-2ECE5412B15F}"/>
    <cellStyle name="Normal 9 5 6 3 3" xfId="25176" xr:uid="{1793F920-A1D6-468B-A699-AD4A573F5ACC}"/>
    <cellStyle name="Normal 9 5 6 4" xfId="11660" xr:uid="{0B34C1C3-B061-4301-9527-462264B3F044}"/>
    <cellStyle name="Normal 9 5 6 5" xfId="20959" xr:uid="{718D8857-75E2-4640-AD77-0D6340E4B93B}"/>
    <cellStyle name="Normal 9 5 7" xfId="2681" xr:uid="{00000000-0005-0000-0000-00006F200000}"/>
    <cellStyle name="Normal 9 5 7 2" xfId="6964" xr:uid="{00000000-0005-0000-0000-000070200000}"/>
    <cellStyle name="Normal 9 5 7 2 2" xfId="16290" xr:uid="{0DCD6C47-7151-4CF7-B524-2B513E7A8996}"/>
    <cellStyle name="Normal 9 5 7 2 3" xfId="25589" xr:uid="{80280C02-1D92-4A7B-81A4-708C2E22D4E3}"/>
    <cellStyle name="Normal 9 5 7 3" xfId="12073" xr:uid="{AC0CE747-9BF7-466C-BDE0-13EB98344AFF}"/>
    <cellStyle name="Normal 9 5 7 4" xfId="21372" xr:uid="{DA734474-F3D2-4832-B2F9-C484782F7E2F}"/>
    <cellStyle name="Normal 9 5 8" xfId="4899" xr:uid="{00000000-0005-0000-0000-000071200000}"/>
    <cellStyle name="Normal 9 5 8 2" xfId="14225" xr:uid="{5FE2B0E9-40F6-42EB-AAEA-B2BFA47C5BCE}"/>
    <cellStyle name="Normal 9 5 8 3" xfId="23524" xr:uid="{DAA582B9-76E7-468B-BA81-F2B9A7F85AAD}"/>
    <cellStyle name="Normal 9 5 9" xfId="8848" xr:uid="{B1BE5F70-14E5-42B6-9EBA-D267F3B60A08}"/>
    <cellStyle name="Normal 9 5 9 2" xfId="18172" xr:uid="{379B37EA-49BD-422D-BB3A-3F66ADDB719B}"/>
    <cellStyle name="Normal 9 5 9 3" xfId="27470" xr:uid="{7E2632F4-5097-4FB6-8060-7D9C542A593E}"/>
    <cellStyle name="Normal 9 6" xfId="538" xr:uid="{00000000-0005-0000-0000-000072200000}"/>
    <cellStyle name="Normal 9 6 10" xfId="19309" xr:uid="{48230948-F23E-457A-AE9C-3E2122105D37}"/>
    <cellStyle name="Normal 9 6 2" xfId="1005" xr:uid="{00000000-0005-0000-0000-000073200000}"/>
    <cellStyle name="Normal 9 6 2 2" xfId="3237" xr:uid="{00000000-0005-0000-0000-000074200000}"/>
    <cellStyle name="Normal 9 6 2 2 2" xfId="7459" xr:uid="{00000000-0005-0000-0000-000075200000}"/>
    <cellStyle name="Normal 9 6 2 2 2 2" xfId="16785" xr:uid="{5AFF5F22-7BDE-4B06-8095-A0E980AD075E}"/>
    <cellStyle name="Normal 9 6 2 2 2 3" xfId="26084" xr:uid="{6ADC9CB9-1CEC-4BC1-8C5C-D2EFFF231141}"/>
    <cellStyle name="Normal 9 6 2 2 3" xfId="12568" xr:uid="{7FB77C05-736B-4F01-A809-F87ED76E95C8}"/>
    <cellStyle name="Normal 9 6 2 2 4" xfId="21867" xr:uid="{2843CD49-AD16-497D-B51B-7EF00EC2CD35}"/>
    <cellStyle name="Normal 9 6 2 3" xfId="5314" xr:uid="{00000000-0005-0000-0000-000076200000}"/>
    <cellStyle name="Normal 9 6 2 3 2" xfId="14640" xr:uid="{D2270B50-BD5E-4C45-B437-E2B597ECF78F}"/>
    <cellStyle name="Normal 9 6 2 3 3" xfId="23939" xr:uid="{60E5FC63-C7D3-4A94-9267-FD6DDE6D1348}"/>
    <cellStyle name="Normal 9 6 2 4" xfId="9389" xr:uid="{2A0458F6-466A-4C3B-BA39-FF09FD770FDD}"/>
    <cellStyle name="Normal 9 6 2 4 2" xfId="18704" xr:uid="{F3CAA86A-B904-4314-A189-E10E9103B84E}"/>
    <cellStyle name="Normal 9 6 2 4 3" xfId="28001" xr:uid="{577B2D40-F639-4766-8A41-FBBD5D918ED5}"/>
    <cellStyle name="Normal 9 6 2 5" xfId="10423" xr:uid="{10E51F6D-4A01-4BBE-89D3-AE883E60385B}"/>
    <cellStyle name="Normal 9 6 2 6" xfId="19722" xr:uid="{F81444C1-53B6-4889-A61F-7483B219F309}"/>
    <cellStyle name="Normal 9 6 3" xfId="1420" xr:uid="{00000000-0005-0000-0000-000077200000}"/>
    <cellStyle name="Normal 9 6 3 2" xfId="3650" xr:uid="{00000000-0005-0000-0000-000078200000}"/>
    <cellStyle name="Normal 9 6 3 2 2" xfId="7872" xr:uid="{00000000-0005-0000-0000-000079200000}"/>
    <cellStyle name="Normal 9 6 3 2 2 2" xfId="17198" xr:uid="{16D6B991-B20D-4473-A49C-F3A67AFA66AC}"/>
    <cellStyle name="Normal 9 6 3 2 2 3" xfId="26497" xr:uid="{5B4158E5-5DF9-47A4-8AB7-3B6324F53AB4}"/>
    <cellStyle name="Normal 9 6 3 2 3" xfId="12981" xr:uid="{82149721-FCF0-4F68-B2C0-A1E1A0D5CF76}"/>
    <cellStyle name="Normal 9 6 3 2 4" xfId="22280" xr:uid="{2CDDA3D6-9371-4370-8927-51892FF7BA0F}"/>
    <cellStyle name="Normal 9 6 3 3" xfId="5727" xr:uid="{00000000-0005-0000-0000-00007A200000}"/>
    <cellStyle name="Normal 9 6 3 3 2" xfId="15053" xr:uid="{86386034-94DB-4671-83A9-DFBD0CD2C9F5}"/>
    <cellStyle name="Normal 9 6 3 3 3" xfId="24352" xr:uid="{E64A0498-02C3-4E46-A17E-175560BAC462}"/>
    <cellStyle name="Normal 9 6 3 4" xfId="10836" xr:uid="{A1938E56-6981-464B-9719-AB37E20B43C0}"/>
    <cellStyle name="Normal 9 6 3 5" xfId="20135" xr:uid="{6644960D-15C9-44CF-B0E9-2C4B987848B2}"/>
    <cellStyle name="Normal 9 6 4" xfId="1833" xr:uid="{00000000-0005-0000-0000-00007B200000}"/>
    <cellStyle name="Normal 9 6 4 2" xfId="4063" xr:uid="{00000000-0005-0000-0000-00007C200000}"/>
    <cellStyle name="Normal 9 6 4 2 2" xfId="8285" xr:uid="{00000000-0005-0000-0000-00007D200000}"/>
    <cellStyle name="Normal 9 6 4 2 2 2" xfId="17611" xr:uid="{D48420CD-7BA2-45C4-A58B-EEAAA6FA2EFC}"/>
    <cellStyle name="Normal 9 6 4 2 2 3" xfId="26910" xr:uid="{A43C3CE9-1D85-418B-9C40-03FD36C01DD0}"/>
    <cellStyle name="Normal 9 6 4 2 3" xfId="13394" xr:uid="{8EBABC53-04B7-426C-9720-90165B454157}"/>
    <cellStyle name="Normal 9 6 4 2 4" xfId="22693" xr:uid="{9E00AD20-CE0D-47CA-93FE-A1DE4EDB966C}"/>
    <cellStyle name="Normal 9 6 4 3" xfId="6140" xr:uid="{00000000-0005-0000-0000-00007E200000}"/>
    <cellStyle name="Normal 9 6 4 3 2" xfId="15466" xr:uid="{A5DE5389-3E48-44E7-8E18-BC8CC99052A6}"/>
    <cellStyle name="Normal 9 6 4 3 3" xfId="24765" xr:uid="{3930B6FF-0A45-4428-A5D4-8401565A8377}"/>
    <cellStyle name="Normal 9 6 4 4" xfId="11249" xr:uid="{E9FCAFD3-6F6B-4AEF-A84A-07C119E8027E}"/>
    <cellStyle name="Normal 9 6 4 5" xfId="20548" xr:uid="{25B52756-1873-4FA0-9280-88ACF5486E09}"/>
    <cellStyle name="Normal 9 6 5" xfId="2247" xr:uid="{00000000-0005-0000-0000-00007F200000}"/>
    <cellStyle name="Normal 9 6 5 2" xfId="4476" xr:uid="{00000000-0005-0000-0000-000080200000}"/>
    <cellStyle name="Normal 9 6 5 2 2" xfId="8698" xr:uid="{00000000-0005-0000-0000-000081200000}"/>
    <cellStyle name="Normal 9 6 5 2 2 2" xfId="18024" xr:uid="{A381176C-60FF-4AA6-9D77-32DDB7DB045C}"/>
    <cellStyle name="Normal 9 6 5 2 2 3" xfId="27323" xr:uid="{BB11EA99-8901-4276-B6EE-05E5F4B5604F}"/>
    <cellStyle name="Normal 9 6 5 2 3" xfId="13807" xr:uid="{11456706-EAA3-4BF9-8B28-CCAB86194769}"/>
    <cellStyle name="Normal 9 6 5 2 4" xfId="23106" xr:uid="{5FD8DD2F-5C0B-45A7-BC96-4A78BA365925}"/>
    <cellStyle name="Normal 9 6 5 3" xfId="6553" xr:uid="{00000000-0005-0000-0000-000082200000}"/>
    <cellStyle name="Normal 9 6 5 3 2" xfId="15879" xr:uid="{98F165E5-E1A2-456E-922B-1D962765642E}"/>
    <cellStyle name="Normal 9 6 5 3 3" xfId="25178" xr:uid="{79491FDE-4EF4-4DA9-830A-894A9198123F}"/>
    <cellStyle name="Normal 9 6 5 4" xfId="11662" xr:uid="{6A67E205-EE85-4F76-B762-CAA0C77E3AE5}"/>
    <cellStyle name="Normal 9 6 5 5" xfId="20961" xr:uid="{03F74B4C-BE90-4652-91EC-C3F0FD77D11F}"/>
    <cellStyle name="Normal 9 6 6" xfId="2683" xr:uid="{00000000-0005-0000-0000-000083200000}"/>
    <cellStyle name="Normal 9 6 6 2" xfId="6966" xr:uid="{00000000-0005-0000-0000-000084200000}"/>
    <cellStyle name="Normal 9 6 6 2 2" xfId="16292" xr:uid="{CFC75DCB-9D31-4F28-A2C7-A960982ED287}"/>
    <cellStyle name="Normal 9 6 6 2 3" xfId="25591" xr:uid="{83F5AABB-E1E0-476D-8276-798C8E41C7A2}"/>
    <cellStyle name="Normal 9 6 6 3" xfId="12075" xr:uid="{FE61451C-8758-4A03-A73F-52413D8BDC8C}"/>
    <cellStyle name="Normal 9 6 6 4" xfId="21374" xr:uid="{2800E3E3-7C69-4A37-82DA-6DFBEE5E3D56}"/>
    <cellStyle name="Normal 9 6 7" xfId="4901" xr:uid="{00000000-0005-0000-0000-000085200000}"/>
    <cellStyle name="Normal 9 6 7 2" xfId="14227" xr:uid="{6CD50FE3-5ED6-4A5C-AA68-BAE3BBBF5B6B}"/>
    <cellStyle name="Normal 9 6 7 3" xfId="23526" xr:uid="{4FBCDA3D-7096-4C1A-890A-5F757FB63021}"/>
    <cellStyle name="Normal 9 6 8" xfId="8964" xr:uid="{9BBC9C46-7A3A-4BC9-9542-DC33DFA165C2}"/>
    <cellStyle name="Normal 9 6 8 2" xfId="18288" xr:uid="{28275161-C2C1-49BE-B58B-083B746C0937}"/>
    <cellStyle name="Normal 9 6 8 3" xfId="27586" xr:uid="{2AC0F03F-723C-4076-81B1-8489577D5F85}"/>
    <cellStyle name="Normal 9 6 9" xfId="10010" xr:uid="{4076F2B7-F7EE-42DA-9D1A-04DF478B75B5}"/>
    <cellStyle name="Normal 9 7" xfId="977" xr:uid="{00000000-0005-0000-0000-000086200000}"/>
    <cellStyle name="Normal 9 7 2" xfId="9609" xr:uid="{1246D22D-2382-4FAF-A8D6-CB26E2B9F9CE}"/>
    <cellStyle name="Normal 9 7 3" xfId="9167" xr:uid="{F9EED645-1D44-43CF-99A5-77176BA4CE36}"/>
    <cellStyle name="Normal 9 7 3 2" xfId="18485" xr:uid="{39A8ABBD-37C5-4141-992E-1A111C156C6C}"/>
    <cellStyle name="Normal 9 7 3 3" xfId="27782" xr:uid="{B4A3FE37-8804-452B-8783-9D1F16CA6EAB}"/>
    <cellStyle name="Normal 9 8" xfId="8745" xr:uid="{C1852A12-4F74-491B-976C-56AD8D4478B4}"/>
    <cellStyle name="Normal 9 8 2" xfId="18069" xr:uid="{A42A5AF6-A915-450F-B723-2A2427F8632C}"/>
    <cellStyle name="Normal 9 8 3" xfId="27367" xr:uid="{FBCB4E13-B7EC-4BD5-94B2-E645F2A16BB2}"/>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73E71C5D-8D04-46EE-8759-8D38A76DEF55}"/>
    <cellStyle name="Note 2 2 10 2 3" xfId="25672" xr:uid="{2BE6709A-DDFD-4A0A-A84D-3BAB6750DD7C}"/>
    <cellStyle name="Note 2 2 10 3" xfId="12156" xr:uid="{AFDEB4B8-6353-4D0D-BA59-D6358E42F86F}"/>
    <cellStyle name="Note 2 2 10 4" xfId="21455" xr:uid="{1BB09955-F843-40BC-A1BC-3CF140337DED}"/>
    <cellStyle name="Note 2 2 11" xfId="4902" xr:uid="{00000000-0005-0000-0000-000094200000}"/>
    <cellStyle name="Note 2 2 11 2" xfId="14228" xr:uid="{C269B582-D641-41B0-B7C6-1E595A8892AC}"/>
    <cellStyle name="Note 2 2 11 3" xfId="23527" xr:uid="{4B52507D-AC6B-4635-8CF1-8534CBA675B2}"/>
    <cellStyle name="Note 2 2 12" xfId="8841" xr:uid="{E94E1FD8-31C4-4718-9658-C7A587CBF323}"/>
    <cellStyle name="Note 2 2 12 2" xfId="18165" xr:uid="{B833933D-1D6D-4293-AFBA-5419AC55A1EA}"/>
    <cellStyle name="Note 2 2 12 3" xfId="27463" xr:uid="{2732EBBE-F188-4484-82DA-5D7AFD6B6DC8}"/>
    <cellStyle name="Note 2 2 13" xfId="10011" xr:uid="{B9E4CE45-3362-4958-92FF-79B4A3951E74}"/>
    <cellStyle name="Note 2 2 14" xfId="19310" xr:uid="{2ABEE34C-78D4-421B-BE71-470DA799F022}"/>
    <cellStyle name="Note 2 2 2" xfId="546" xr:uid="{00000000-0005-0000-0000-000095200000}"/>
    <cellStyle name="Note 2 2 2 10" xfId="4903" xr:uid="{00000000-0005-0000-0000-000096200000}"/>
    <cellStyle name="Note 2 2 2 10 2" xfId="14229" xr:uid="{C2EE00FB-A8F0-4C87-B8AE-B6FA233E29BB}"/>
    <cellStyle name="Note 2 2 2 10 3" xfId="23528" xr:uid="{00E2EEA1-40F9-4E4C-B633-EF34ACCE95E8}"/>
    <cellStyle name="Note 2 2 2 11" xfId="8944" xr:uid="{B75A3404-A4A3-41D6-B6C3-54560C6DD592}"/>
    <cellStyle name="Note 2 2 2 11 2" xfId="18268" xr:uid="{06D5DF55-AB68-40B1-A6D3-EEFCC08578E7}"/>
    <cellStyle name="Note 2 2 2 11 3" xfId="27566" xr:uid="{F1ABE783-B1FF-4DE6-8CB1-4374CD6C603C}"/>
    <cellStyle name="Note 2 2 2 12" xfId="10012" xr:uid="{170DD3E3-22DA-4B0B-86BB-44EE5F73C15F}"/>
    <cellStyle name="Note 2 2 2 13" xfId="19311" xr:uid="{DC727FDE-86D5-4C4E-B9B8-F3C9AA9CDBE7}"/>
    <cellStyle name="Note 2 2 2 2" xfId="547" xr:uid="{00000000-0005-0000-0000-000097200000}"/>
    <cellStyle name="Note 2 2 2 2 10" xfId="9151" xr:uid="{DE810DD8-00EC-4339-9CFC-C84D5E182971}"/>
    <cellStyle name="Note 2 2 2 2 10 2" xfId="18475" xr:uid="{CD449E0A-16C9-4D85-8EF4-55137F7018FD}"/>
    <cellStyle name="Note 2 2 2 2 10 3" xfId="27773" xr:uid="{7FB8A4BF-522C-47F7-A4A2-7A5DEA027142}"/>
    <cellStyle name="Note 2 2 2 2 11" xfId="10013" xr:uid="{9C3F5F3A-622F-4BB5-BBD4-F3E5A31D8164}"/>
    <cellStyle name="Note 2 2 2 2 12" xfId="19312" xr:uid="{9412768A-75F0-4262-87C8-DDA2CF66D612}"/>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B6C3C1EF-307A-4420-A6B3-33649D56C44A}"/>
    <cellStyle name="Note 2 2 2 2 2 2 2 3" xfId="26087" xr:uid="{2410228F-3B6A-413A-9AFE-FC590998D103}"/>
    <cellStyle name="Note 2 2 2 2 2 2 3" xfId="12571" xr:uid="{AA6088ED-46B3-4B93-B33B-1A14AEDF7ED9}"/>
    <cellStyle name="Note 2 2 2 2 2 2 4" xfId="21870" xr:uid="{D5D942CE-BA8A-4801-B0D3-B6CC4141609F}"/>
    <cellStyle name="Note 2 2 2 2 2 3" xfId="5317" xr:uid="{00000000-0005-0000-0000-00009B200000}"/>
    <cellStyle name="Note 2 2 2 2 2 3 2" xfId="14643" xr:uid="{8DE2587C-4BDE-4CA6-B1BA-2D1C743140DC}"/>
    <cellStyle name="Note 2 2 2 2 2 3 3" xfId="23942" xr:uid="{F18F9CE5-1315-46EA-82E2-052C342AE21F}"/>
    <cellStyle name="Note 2 2 2 2 2 4" xfId="9576" xr:uid="{375E296C-598F-454E-B7C4-9E851CE02ED2}"/>
    <cellStyle name="Note 2 2 2 2 2 4 2" xfId="18891" xr:uid="{3F66E78D-190A-45F4-A237-16C562398104}"/>
    <cellStyle name="Note 2 2 2 2 2 4 3" xfId="28188" xr:uid="{913F2581-0C80-487E-9BF9-84EA31F8C057}"/>
    <cellStyle name="Note 2 2 2 2 2 5" xfId="10426" xr:uid="{02578033-6AA4-4A48-A375-208B04514389}"/>
    <cellStyle name="Note 2 2 2 2 2 6" xfId="19725" xr:uid="{CAC78D33-4DE0-424C-9146-AF684CF503B8}"/>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BDD097A0-7E68-4256-9577-34C132330351}"/>
    <cellStyle name="Note 2 2 2 2 3 2 2 3" xfId="26500" xr:uid="{CB127A2B-2241-4E70-9CCA-546E5B64492E}"/>
    <cellStyle name="Note 2 2 2 2 3 2 3" xfId="12984" xr:uid="{FD82D457-0800-4C9F-9C86-CD325E6141DC}"/>
    <cellStyle name="Note 2 2 2 2 3 2 4" xfId="22283" xr:uid="{A9C17E99-DF5C-4E86-89C7-B1AC9596CCE4}"/>
    <cellStyle name="Note 2 2 2 2 3 3" xfId="5730" xr:uid="{00000000-0005-0000-0000-00009F200000}"/>
    <cellStyle name="Note 2 2 2 2 3 3 2" xfId="15056" xr:uid="{350E5B29-4D2A-4C98-A4A9-A6CD6E25DC0D}"/>
    <cellStyle name="Note 2 2 2 2 3 3 3" xfId="24355" xr:uid="{25A6803D-8DFB-4532-9D36-059208CB761A}"/>
    <cellStyle name="Note 2 2 2 2 3 4" xfId="10839" xr:uid="{969FCDD9-4677-47C8-A543-4F8205D91906}"/>
    <cellStyle name="Note 2 2 2 2 3 5" xfId="20138" xr:uid="{085A4383-91B9-495C-936B-A415EFBE362D}"/>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B759AC8C-7604-44CC-BC0B-4442329083EA}"/>
    <cellStyle name="Note 2 2 2 2 4 2 2 3" xfId="26913" xr:uid="{2EB0C37A-0789-4A61-9C56-0D7FA6D2848C}"/>
    <cellStyle name="Note 2 2 2 2 4 2 3" xfId="13397" xr:uid="{C02C0B68-6BD3-4E52-9B9B-953A737A3D52}"/>
    <cellStyle name="Note 2 2 2 2 4 2 4" xfId="22696" xr:uid="{53E53A2D-DF32-460F-907E-6AF594AC3F75}"/>
    <cellStyle name="Note 2 2 2 2 4 3" xfId="6143" xr:uid="{00000000-0005-0000-0000-0000A3200000}"/>
    <cellStyle name="Note 2 2 2 2 4 3 2" xfId="15469" xr:uid="{6A635C68-111A-4E40-BC3D-E161E695A7D9}"/>
    <cellStyle name="Note 2 2 2 2 4 3 3" xfId="24768" xr:uid="{7706ECB8-5813-4F4E-80A3-999437AF4A82}"/>
    <cellStyle name="Note 2 2 2 2 4 4" xfId="11252" xr:uid="{20BF52A0-3A5C-4A5F-A47C-992A1104468E}"/>
    <cellStyle name="Note 2 2 2 2 4 5" xfId="20551" xr:uid="{29072D78-6C63-4A13-AD30-95409BDCA315}"/>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D6703AD0-6133-4FD8-ABB8-26A665473D85}"/>
    <cellStyle name="Note 2 2 2 2 5 2 2 3" xfId="27326" xr:uid="{079578F1-ABD8-4272-AD9C-EA9203141140}"/>
    <cellStyle name="Note 2 2 2 2 5 2 3" xfId="13810" xr:uid="{8A3C31DB-2F73-4305-AD1E-2D5A36A0D7D8}"/>
    <cellStyle name="Note 2 2 2 2 5 2 4" xfId="23109" xr:uid="{F353D368-9628-4156-AC99-D977F848C88B}"/>
    <cellStyle name="Note 2 2 2 2 5 3" xfId="6556" xr:uid="{00000000-0005-0000-0000-0000A7200000}"/>
    <cellStyle name="Note 2 2 2 2 5 3 2" xfId="15882" xr:uid="{7EA4E6D0-D62C-4714-94E0-AFDC8DFF84C8}"/>
    <cellStyle name="Note 2 2 2 2 5 3 3" xfId="25181" xr:uid="{F7FBBD33-2DFE-429E-B048-B705E1F459F4}"/>
    <cellStyle name="Note 2 2 2 2 5 4" xfId="11665" xr:uid="{3AFDED28-3CE6-40DC-B6C0-D235A29B19C5}"/>
    <cellStyle name="Note 2 2 2 2 5 5" xfId="20964" xr:uid="{3D872964-35E4-4EC5-B6C0-1D604A74610C}"/>
    <cellStyle name="Note 2 2 2 2 6" xfId="2686" xr:uid="{00000000-0005-0000-0000-0000A8200000}"/>
    <cellStyle name="Note 2 2 2 2 6 2" xfId="6969" xr:uid="{00000000-0005-0000-0000-0000A9200000}"/>
    <cellStyle name="Note 2 2 2 2 6 2 2" xfId="16295" xr:uid="{C49F0677-40CA-494C-B34F-51E03E1B84CB}"/>
    <cellStyle name="Note 2 2 2 2 6 2 3" xfId="25594" xr:uid="{6D88F206-0311-471F-850B-8D1D0852E02A}"/>
    <cellStyle name="Note 2 2 2 2 6 3" xfId="12078" xr:uid="{4FDCE294-1102-4A28-A4C6-2B46A67B3281}"/>
    <cellStyle name="Note 2 2 2 2 6 4" xfId="21377" xr:uid="{832FF24F-41F3-47E4-BC66-F476C8C0CE19}"/>
    <cellStyle name="Note 2 2 2 2 7" xfId="2745" xr:uid="{00000000-0005-0000-0000-0000AA200000}"/>
    <cellStyle name="Note 2 2 2 2 8" xfId="2826" xr:uid="{00000000-0005-0000-0000-0000AB200000}"/>
    <cellStyle name="Note 2 2 2 2 8 2" xfId="7049" xr:uid="{00000000-0005-0000-0000-0000AC200000}"/>
    <cellStyle name="Note 2 2 2 2 8 2 2" xfId="16375" xr:uid="{49129AA2-669A-4AD1-8DD1-2A160382376B}"/>
    <cellStyle name="Note 2 2 2 2 8 2 3" xfId="25674" xr:uid="{9BC7A07D-2F1D-482F-BA66-79BB2899F6CB}"/>
    <cellStyle name="Note 2 2 2 2 8 3" xfId="12158" xr:uid="{94E669A6-A15B-4602-BA2C-E59EB606CA06}"/>
    <cellStyle name="Note 2 2 2 2 8 4" xfId="21457" xr:uid="{17A104AD-0BD9-4BA4-AFB3-63FC8137E63C}"/>
    <cellStyle name="Note 2 2 2 2 9" xfId="4904" xr:uid="{00000000-0005-0000-0000-0000AD200000}"/>
    <cellStyle name="Note 2 2 2 2 9 2" xfId="14230" xr:uid="{1FF5AE7D-F83B-4CFA-BA5A-1AA313503FE8}"/>
    <cellStyle name="Note 2 2 2 2 9 3" xfId="23529" xr:uid="{C2AF1A52-080F-437C-A371-2FCFDB280A02}"/>
    <cellStyle name="Note 2 2 2 3" xfId="1007" xr:uid="{00000000-0005-0000-0000-0000AE200000}"/>
    <cellStyle name="Note 2 2 2 3 2" xfId="3239" xr:uid="{00000000-0005-0000-0000-0000AF200000}"/>
    <cellStyle name="Note 2 2 2 3 2 2" xfId="7461" xr:uid="{00000000-0005-0000-0000-0000B0200000}"/>
    <cellStyle name="Note 2 2 2 3 2 2 2" xfId="16787" xr:uid="{DCCEB831-AD0A-4494-85CF-4D5C40C5A3D4}"/>
    <cellStyle name="Note 2 2 2 3 2 2 3" xfId="26086" xr:uid="{2F8F3089-C2D3-4628-9542-9ED588BFB964}"/>
    <cellStyle name="Note 2 2 2 3 2 3" xfId="12570" xr:uid="{D1559595-630C-4FE6-8A18-616B8588AD5E}"/>
    <cellStyle name="Note 2 2 2 3 2 4" xfId="21869" xr:uid="{DCAC4A1C-5A56-4D68-8655-3D14C705EC69}"/>
    <cellStyle name="Note 2 2 2 3 3" xfId="5316" xr:uid="{00000000-0005-0000-0000-0000B1200000}"/>
    <cellStyle name="Note 2 2 2 3 3 2" xfId="14642" xr:uid="{1B4A4900-9518-4958-A8DE-9CC0CF0BBB18}"/>
    <cellStyle name="Note 2 2 2 3 3 3" xfId="23941" xr:uid="{CE147475-E77A-4D5D-AB5D-D258D3E190C9}"/>
    <cellStyle name="Note 2 2 2 3 4" xfId="9369" xr:uid="{37FCA23B-964B-404F-A343-B489211FDCDC}"/>
    <cellStyle name="Note 2 2 2 3 4 2" xfId="18684" xr:uid="{C52D8603-79F3-486E-B5C9-DEA22BC506BB}"/>
    <cellStyle name="Note 2 2 2 3 4 3" xfId="27981" xr:uid="{3A299411-835B-4DF9-9196-210F167D8E82}"/>
    <cellStyle name="Note 2 2 2 3 5" xfId="10425" xr:uid="{54429DE3-7580-4A04-8A35-6B7C5B319FBA}"/>
    <cellStyle name="Note 2 2 2 3 6" xfId="19724" xr:uid="{243AC338-0D22-456E-9A66-6561168B8A79}"/>
    <cellStyle name="Note 2 2 2 4" xfId="1422" xr:uid="{00000000-0005-0000-0000-0000B2200000}"/>
    <cellStyle name="Note 2 2 2 4 2" xfId="3652" xr:uid="{00000000-0005-0000-0000-0000B3200000}"/>
    <cellStyle name="Note 2 2 2 4 2 2" xfId="7874" xr:uid="{00000000-0005-0000-0000-0000B4200000}"/>
    <cellStyle name="Note 2 2 2 4 2 2 2" xfId="17200" xr:uid="{473CAF2F-22DA-48B2-95DF-54951E4BE783}"/>
    <cellStyle name="Note 2 2 2 4 2 2 3" xfId="26499" xr:uid="{B5F0E1B8-0D97-4762-A5BC-03C737727434}"/>
    <cellStyle name="Note 2 2 2 4 2 3" xfId="12983" xr:uid="{56507460-E365-4F47-A0CB-A11B7BB7AF4B}"/>
    <cellStyle name="Note 2 2 2 4 2 4" xfId="22282" xr:uid="{3576DE78-D7E4-4C24-AC9D-E9CBAE54066F}"/>
    <cellStyle name="Note 2 2 2 4 3" xfId="5729" xr:uid="{00000000-0005-0000-0000-0000B5200000}"/>
    <cellStyle name="Note 2 2 2 4 3 2" xfId="15055" xr:uid="{EA4A9266-1681-45AC-8825-3D966A662D5D}"/>
    <cellStyle name="Note 2 2 2 4 3 3" xfId="24354" xr:uid="{3103EF59-5C2C-4BF5-ADD4-004E50D9C6F9}"/>
    <cellStyle name="Note 2 2 2 4 4" xfId="10838" xr:uid="{4C576F7E-A304-4BCB-88FD-024BEDC671A5}"/>
    <cellStyle name="Note 2 2 2 4 5" xfId="20137" xr:uid="{D689DC0E-1B49-48A4-91E5-4D49E38108C4}"/>
    <cellStyle name="Note 2 2 2 5" xfId="1836" xr:uid="{00000000-0005-0000-0000-0000B6200000}"/>
    <cellStyle name="Note 2 2 2 5 2" xfId="4065" xr:uid="{00000000-0005-0000-0000-0000B7200000}"/>
    <cellStyle name="Note 2 2 2 5 2 2" xfId="8287" xr:uid="{00000000-0005-0000-0000-0000B8200000}"/>
    <cellStyle name="Note 2 2 2 5 2 2 2" xfId="17613" xr:uid="{FDD83AAC-F76C-45AA-BFC2-AC159BB386D9}"/>
    <cellStyle name="Note 2 2 2 5 2 2 3" xfId="26912" xr:uid="{4BBF45B4-1B2D-4D79-A662-AD8FD8051A92}"/>
    <cellStyle name="Note 2 2 2 5 2 3" xfId="13396" xr:uid="{D8F42B7C-D70C-4967-B97D-2D766148ACDE}"/>
    <cellStyle name="Note 2 2 2 5 2 4" xfId="22695" xr:uid="{FF76646A-BD39-4F95-A465-C55C9301665A}"/>
    <cellStyle name="Note 2 2 2 5 3" xfId="6142" xr:uid="{00000000-0005-0000-0000-0000B9200000}"/>
    <cellStyle name="Note 2 2 2 5 3 2" xfId="15468" xr:uid="{382F653C-EC12-4B7D-AD73-075F3A0217B1}"/>
    <cellStyle name="Note 2 2 2 5 3 3" xfId="24767" xr:uid="{381242CA-B457-44DC-A0F8-06996CC6B383}"/>
    <cellStyle name="Note 2 2 2 5 4" xfId="11251" xr:uid="{BC9B23F1-298C-44EF-93F7-E444992CA072}"/>
    <cellStyle name="Note 2 2 2 5 5" xfId="20550" xr:uid="{BD56BB66-08A6-491B-8AE1-ED868A81CCE1}"/>
    <cellStyle name="Note 2 2 2 6" xfId="2249" xr:uid="{00000000-0005-0000-0000-0000BA200000}"/>
    <cellStyle name="Note 2 2 2 6 2" xfId="4478" xr:uid="{00000000-0005-0000-0000-0000BB200000}"/>
    <cellStyle name="Note 2 2 2 6 2 2" xfId="8700" xr:uid="{00000000-0005-0000-0000-0000BC200000}"/>
    <cellStyle name="Note 2 2 2 6 2 2 2" xfId="18026" xr:uid="{44132374-A9D1-4A09-B052-A8D568AFEDC7}"/>
    <cellStyle name="Note 2 2 2 6 2 2 3" xfId="27325" xr:uid="{A3FCD5BF-85D6-4688-B5E4-4237D6AA2051}"/>
    <cellStyle name="Note 2 2 2 6 2 3" xfId="13809" xr:uid="{9B35B7D7-303B-410D-9E87-6E8425B46875}"/>
    <cellStyle name="Note 2 2 2 6 2 4" xfId="23108" xr:uid="{244FD3CD-C71D-4D7E-8EC8-4984CDD0B5FB}"/>
    <cellStyle name="Note 2 2 2 6 3" xfId="6555" xr:uid="{00000000-0005-0000-0000-0000BD200000}"/>
    <cellStyle name="Note 2 2 2 6 3 2" xfId="15881" xr:uid="{3F0D8BB0-41E3-452A-85B5-6CA24D19C5B6}"/>
    <cellStyle name="Note 2 2 2 6 3 3" xfId="25180" xr:uid="{D72B62A2-6D49-4A44-A086-7A6479C8014C}"/>
    <cellStyle name="Note 2 2 2 6 4" xfId="11664" xr:uid="{6A545FA2-BF53-46E6-A4F3-B218E2AF8D67}"/>
    <cellStyle name="Note 2 2 2 6 5" xfId="20963" xr:uid="{3C672011-4FFE-48C9-85C0-90ECA83175A7}"/>
    <cellStyle name="Note 2 2 2 7" xfId="2685" xr:uid="{00000000-0005-0000-0000-0000BE200000}"/>
    <cellStyle name="Note 2 2 2 7 2" xfId="6968" xr:uid="{00000000-0005-0000-0000-0000BF200000}"/>
    <cellStyle name="Note 2 2 2 7 2 2" xfId="16294" xr:uid="{833F6FAD-66EA-4284-9B24-D02620796E4C}"/>
    <cellStyle name="Note 2 2 2 7 2 3" xfId="25593" xr:uid="{2BC81191-EC07-4167-9B67-4A1C25A23387}"/>
    <cellStyle name="Note 2 2 2 7 3" xfId="12077" xr:uid="{7C7C7414-BACA-426E-A5F9-982B5D9EA18F}"/>
    <cellStyle name="Note 2 2 2 7 4" xfId="21376" xr:uid="{1A81C575-603D-466E-80FD-F475D2B71FAB}"/>
    <cellStyle name="Note 2 2 2 8" xfId="2744" xr:uid="{00000000-0005-0000-0000-0000C0200000}"/>
    <cellStyle name="Note 2 2 2 9" xfId="2825" xr:uid="{00000000-0005-0000-0000-0000C1200000}"/>
    <cellStyle name="Note 2 2 2 9 2" xfId="7048" xr:uid="{00000000-0005-0000-0000-0000C2200000}"/>
    <cellStyle name="Note 2 2 2 9 2 2" xfId="16374" xr:uid="{78400B06-F5F1-4FCF-AC25-28E1962F1355}"/>
    <cellStyle name="Note 2 2 2 9 2 3" xfId="25673" xr:uid="{4AA74569-FF91-4DEC-8D31-CFE5F8523F7A}"/>
    <cellStyle name="Note 2 2 2 9 3" xfId="12157" xr:uid="{BB8DC8C9-6BF0-4AF2-BDEC-024506845AF6}"/>
    <cellStyle name="Note 2 2 2 9 4" xfId="21456" xr:uid="{2CECFF93-637C-4CED-A032-3A550A182BE4}"/>
    <cellStyle name="Note 2 2 3" xfId="548" xr:uid="{00000000-0005-0000-0000-0000C3200000}"/>
    <cellStyle name="Note 2 2 3 10" xfId="9048" xr:uid="{894401FF-B7D8-49E8-91E6-A1C42DD04D54}"/>
    <cellStyle name="Note 2 2 3 10 2" xfId="18372" xr:uid="{A5CD86D0-90F4-4AF7-BF43-145EAE8E5270}"/>
    <cellStyle name="Note 2 2 3 10 3" xfId="27670" xr:uid="{8ADE1BC3-77EC-490B-B37A-92252B76C66D}"/>
    <cellStyle name="Note 2 2 3 11" xfId="10014" xr:uid="{90470454-779A-4027-BF89-E1DEB0359532}"/>
    <cellStyle name="Note 2 2 3 12" xfId="19313" xr:uid="{7FAD1FC4-8147-4304-809C-867E86842B00}"/>
    <cellStyle name="Note 2 2 3 2" xfId="1009" xr:uid="{00000000-0005-0000-0000-0000C4200000}"/>
    <cellStyle name="Note 2 2 3 2 2" xfId="3241" xr:uid="{00000000-0005-0000-0000-0000C5200000}"/>
    <cellStyle name="Note 2 2 3 2 2 2" xfId="7463" xr:uid="{00000000-0005-0000-0000-0000C6200000}"/>
    <cellStyle name="Note 2 2 3 2 2 2 2" xfId="16789" xr:uid="{7D0ED6AC-2CB2-4AD6-AFFE-0C1B0F3E9A24}"/>
    <cellStyle name="Note 2 2 3 2 2 2 3" xfId="26088" xr:uid="{C173B9B2-B1B5-4535-8859-4A6915CB91D8}"/>
    <cellStyle name="Note 2 2 3 2 2 3" xfId="12572" xr:uid="{94069C27-1A82-47EC-9C48-568A72F92CB1}"/>
    <cellStyle name="Note 2 2 3 2 2 4" xfId="21871" xr:uid="{609A7FDC-CA7F-449A-842C-6303F5BF1623}"/>
    <cellStyle name="Note 2 2 3 2 3" xfId="5318" xr:uid="{00000000-0005-0000-0000-0000C7200000}"/>
    <cellStyle name="Note 2 2 3 2 3 2" xfId="14644" xr:uid="{5A55D859-89C5-4C69-83C9-4D8E2386DD31}"/>
    <cellStyle name="Note 2 2 3 2 3 3" xfId="23943" xr:uid="{E68BAF82-5924-4C2C-85A3-4685C29E1C4A}"/>
    <cellStyle name="Note 2 2 3 2 4" xfId="9473" xr:uid="{7711F4E0-385B-44CD-ACEA-5E9D7E4CD8DC}"/>
    <cellStyle name="Note 2 2 3 2 4 2" xfId="18788" xr:uid="{062E82B3-EB18-4FC9-9BA9-2E3C8E43F6FB}"/>
    <cellStyle name="Note 2 2 3 2 4 3" xfId="28085" xr:uid="{50FBED47-C0E5-409A-BA86-6220F8D9F906}"/>
    <cellStyle name="Note 2 2 3 2 5" xfId="10427" xr:uid="{0EBBE713-95DA-4CE9-97CE-595F06BA32AC}"/>
    <cellStyle name="Note 2 2 3 2 6" xfId="19726" xr:uid="{313CE23C-0C58-4E8F-9F0B-B81C18B97A52}"/>
    <cellStyle name="Note 2 2 3 3" xfId="1424" xr:uid="{00000000-0005-0000-0000-0000C8200000}"/>
    <cellStyle name="Note 2 2 3 3 2" xfId="3654" xr:uid="{00000000-0005-0000-0000-0000C9200000}"/>
    <cellStyle name="Note 2 2 3 3 2 2" xfId="7876" xr:uid="{00000000-0005-0000-0000-0000CA200000}"/>
    <cellStyle name="Note 2 2 3 3 2 2 2" xfId="17202" xr:uid="{B211617C-B885-4D05-87BE-72E0DE77C584}"/>
    <cellStyle name="Note 2 2 3 3 2 2 3" xfId="26501" xr:uid="{30AA82CB-DF25-4410-BADD-C755F29AEE02}"/>
    <cellStyle name="Note 2 2 3 3 2 3" xfId="12985" xr:uid="{1F90F862-D526-40DA-8600-5D01D78236E2}"/>
    <cellStyle name="Note 2 2 3 3 2 4" xfId="22284" xr:uid="{6D58F0BB-14F8-48D3-A998-84F2EA08988D}"/>
    <cellStyle name="Note 2 2 3 3 3" xfId="5731" xr:uid="{00000000-0005-0000-0000-0000CB200000}"/>
    <cellStyle name="Note 2 2 3 3 3 2" xfId="15057" xr:uid="{9FCF78EB-9B73-4469-8148-F774F97C92A9}"/>
    <cellStyle name="Note 2 2 3 3 3 3" xfId="24356" xr:uid="{DC73C1A5-1CDD-4E7D-99B4-79E339AD40FD}"/>
    <cellStyle name="Note 2 2 3 3 4" xfId="10840" xr:uid="{ED5685EE-483C-4409-ADE2-444BA5B1009B}"/>
    <cellStyle name="Note 2 2 3 3 5" xfId="20139" xr:uid="{A5CFFF96-A169-4885-A5DB-743A45A762AD}"/>
    <cellStyle name="Note 2 2 3 4" xfId="1838" xr:uid="{00000000-0005-0000-0000-0000CC200000}"/>
    <cellStyle name="Note 2 2 3 4 2" xfId="4067" xr:uid="{00000000-0005-0000-0000-0000CD200000}"/>
    <cellStyle name="Note 2 2 3 4 2 2" xfId="8289" xr:uid="{00000000-0005-0000-0000-0000CE200000}"/>
    <cellStyle name="Note 2 2 3 4 2 2 2" xfId="17615" xr:uid="{34A375A9-82D5-459F-BBFE-1DA9A081A462}"/>
    <cellStyle name="Note 2 2 3 4 2 2 3" xfId="26914" xr:uid="{A14C5C86-3808-48DC-9C81-0C5FA0DCD515}"/>
    <cellStyle name="Note 2 2 3 4 2 3" xfId="13398" xr:uid="{F0E48409-3328-4336-A770-1F6C92527026}"/>
    <cellStyle name="Note 2 2 3 4 2 4" xfId="22697" xr:uid="{0B0CB2E0-0B8F-4BD1-A34F-0AC022D2F818}"/>
    <cellStyle name="Note 2 2 3 4 3" xfId="6144" xr:uid="{00000000-0005-0000-0000-0000CF200000}"/>
    <cellStyle name="Note 2 2 3 4 3 2" xfId="15470" xr:uid="{251EE5AB-83E2-4DB5-87E5-7F692369ABAF}"/>
    <cellStyle name="Note 2 2 3 4 3 3" xfId="24769" xr:uid="{826DF038-CCEB-4469-B1EA-3055E024A923}"/>
    <cellStyle name="Note 2 2 3 4 4" xfId="11253" xr:uid="{798EDCC8-C68D-4CBE-A85E-7FF77A37BCC2}"/>
    <cellStyle name="Note 2 2 3 4 5" xfId="20552" xr:uid="{AD13FFF6-ADD3-48D7-A1D2-BE7B17B73A93}"/>
    <cellStyle name="Note 2 2 3 5" xfId="2251" xr:uid="{00000000-0005-0000-0000-0000D0200000}"/>
    <cellStyle name="Note 2 2 3 5 2" xfId="4480" xr:uid="{00000000-0005-0000-0000-0000D1200000}"/>
    <cellStyle name="Note 2 2 3 5 2 2" xfId="8702" xr:uid="{00000000-0005-0000-0000-0000D2200000}"/>
    <cellStyle name="Note 2 2 3 5 2 2 2" xfId="18028" xr:uid="{AB8CB841-E3A0-477D-9113-E5FDB19D7BB9}"/>
    <cellStyle name="Note 2 2 3 5 2 2 3" xfId="27327" xr:uid="{07809818-7715-4ACE-9196-F6F39CDBC1AC}"/>
    <cellStyle name="Note 2 2 3 5 2 3" xfId="13811" xr:uid="{E8C2413A-4E7F-4DFB-A7C2-19D93524FD9B}"/>
    <cellStyle name="Note 2 2 3 5 2 4" xfId="23110" xr:uid="{9CF6B456-537F-4D89-B866-EA47B608DEEC}"/>
    <cellStyle name="Note 2 2 3 5 3" xfId="6557" xr:uid="{00000000-0005-0000-0000-0000D3200000}"/>
    <cellStyle name="Note 2 2 3 5 3 2" xfId="15883" xr:uid="{43DDDED8-5E26-463E-A295-421DF942A969}"/>
    <cellStyle name="Note 2 2 3 5 3 3" xfId="25182" xr:uid="{7AA22B81-55EC-4705-B39B-F442E7C15620}"/>
    <cellStyle name="Note 2 2 3 5 4" xfId="11666" xr:uid="{F2F92830-A881-44BE-8837-F212DE37EA8E}"/>
    <cellStyle name="Note 2 2 3 5 5" xfId="20965" xr:uid="{EA2B3BD0-2C9C-4F63-B646-6E3B6CC443CB}"/>
    <cellStyle name="Note 2 2 3 6" xfId="2687" xr:uid="{00000000-0005-0000-0000-0000D4200000}"/>
    <cellStyle name="Note 2 2 3 6 2" xfId="6970" xr:uid="{00000000-0005-0000-0000-0000D5200000}"/>
    <cellStyle name="Note 2 2 3 6 2 2" xfId="16296" xr:uid="{57419545-4A5D-432E-A189-6E36938C9253}"/>
    <cellStyle name="Note 2 2 3 6 2 3" xfId="25595" xr:uid="{F8047CB9-4B18-41EE-9F53-2C2428934C7B}"/>
    <cellStyle name="Note 2 2 3 6 3" xfId="12079" xr:uid="{9998590F-0980-4461-8EE6-D3F04BE7AC72}"/>
    <cellStyle name="Note 2 2 3 6 4" xfId="21378" xr:uid="{AC9FA68D-27E8-4FFE-8D16-35CBA7D66C05}"/>
    <cellStyle name="Note 2 2 3 7" xfId="2746" xr:uid="{00000000-0005-0000-0000-0000D6200000}"/>
    <cellStyle name="Note 2 2 3 8" xfId="2827" xr:uid="{00000000-0005-0000-0000-0000D7200000}"/>
    <cellStyle name="Note 2 2 3 8 2" xfId="7050" xr:uid="{00000000-0005-0000-0000-0000D8200000}"/>
    <cellStyle name="Note 2 2 3 8 2 2" xfId="16376" xr:uid="{4C420F68-A094-4B34-8C8D-D16770C14CBF}"/>
    <cellStyle name="Note 2 2 3 8 2 3" xfId="25675" xr:uid="{29666A0E-7AE2-495B-BE5E-F633C47792A0}"/>
    <cellStyle name="Note 2 2 3 8 3" xfId="12159" xr:uid="{20F42F25-5264-4BEE-A754-3B88FA7E4725}"/>
    <cellStyle name="Note 2 2 3 8 4" xfId="21458" xr:uid="{55BBADB6-4BA3-4004-97D1-B45718FA5BF9}"/>
    <cellStyle name="Note 2 2 3 9" xfId="4905" xr:uid="{00000000-0005-0000-0000-0000D9200000}"/>
    <cellStyle name="Note 2 2 3 9 2" xfId="14231" xr:uid="{3EBB7986-FAAE-45CF-A983-A6F7837ACA74}"/>
    <cellStyle name="Note 2 2 3 9 3" xfId="23530" xr:uid="{3794C323-39A1-4596-951D-FD3A7DA46084}"/>
    <cellStyle name="Note 2 2 4" xfId="1006" xr:uid="{00000000-0005-0000-0000-0000DA200000}"/>
    <cellStyle name="Note 2 2 4 2" xfId="3238" xr:uid="{00000000-0005-0000-0000-0000DB200000}"/>
    <cellStyle name="Note 2 2 4 2 2" xfId="7460" xr:uid="{00000000-0005-0000-0000-0000DC200000}"/>
    <cellStyle name="Note 2 2 4 2 2 2" xfId="16786" xr:uid="{80257FD4-FA62-4658-860D-8158AFCB9857}"/>
    <cellStyle name="Note 2 2 4 2 2 3" xfId="26085" xr:uid="{442197C7-B608-4D99-8C1F-CE10153FC688}"/>
    <cellStyle name="Note 2 2 4 2 3" xfId="12569" xr:uid="{14F6950F-5417-4772-B6AE-81DD562A1529}"/>
    <cellStyle name="Note 2 2 4 2 4" xfId="21868" xr:uid="{904858C1-123B-47E3-812C-A394C2F804E1}"/>
    <cellStyle name="Note 2 2 4 3" xfId="5315" xr:uid="{00000000-0005-0000-0000-0000DD200000}"/>
    <cellStyle name="Note 2 2 4 3 2" xfId="14641" xr:uid="{1FF505B4-9CC4-4A2B-BDAF-9371802381D0}"/>
    <cellStyle name="Note 2 2 4 3 3" xfId="23940" xr:uid="{FCB93B35-A8C4-4976-B59E-75C8AB6069CC}"/>
    <cellStyle name="Note 2 2 4 4" xfId="9266" xr:uid="{8B6F7B8D-50FA-47DA-836F-17B0F9492E54}"/>
    <cellStyle name="Note 2 2 4 4 2" xfId="18581" xr:uid="{0E7855D3-B674-4081-BF72-773D70750170}"/>
    <cellStyle name="Note 2 2 4 4 3" xfId="27878" xr:uid="{FC710029-9506-4FBD-9D69-7B5EDCB58EA7}"/>
    <cellStyle name="Note 2 2 4 5" xfId="10424" xr:uid="{ACFF68D2-5DFC-4590-A51F-BF6632DE92CC}"/>
    <cellStyle name="Note 2 2 4 6" xfId="19723" xr:uid="{8E36D791-60B7-47DB-A3D4-9832F6943ABA}"/>
    <cellStyle name="Note 2 2 5" xfId="1421" xr:uid="{00000000-0005-0000-0000-0000DE200000}"/>
    <cellStyle name="Note 2 2 5 2" xfId="3651" xr:uid="{00000000-0005-0000-0000-0000DF200000}"/>
    <cellStyle name="Note 2 2 5 2 2" xfId="7873" xr:uid="{00000000-0005-0000-0000-0000E0200000}"/>
    <cellStyle name="Note 2 2 5 2 2 2" xfId="17199" xr:uid="{9723ECC6-E3FA-4C52-AD9D-AEB0B47976A4}"/>
    <cellStyle name="Note 2 2 5 2 2 3" xfId="26498" xr:uid="{10E1C490-DF13-4706-AC1D-F0382AC07902}"/>
    <cellStyle name="Note 2 2 5 2 3" xfId="12982" xr:uid="{4185458F-D329-45C3-8CEF-4EFC988A6CE5}"/>
    <cellStyle name="Note 2 2 5 2 4" xfId="22281" xr:uid="{C6AB1BE9-328A-42DF-A074-C6D8AB612EB3}"/>
    <cellStyle name="Note 2 2 5 3" xfId="5728" xr:uid="{00000000-0005-0000-0000-0000E1200000}"/>
    <cellStyle name="Note 2 2 5 3 2" xfId="15054" xr:uid="{B5B287A7-54BC-4895-BF8C-2EB660A6CC3B}"/>
    <cellStyle name="Note 2 2 5 3 3" xfId="24353" xr:uid="{6C0779BC-D492-4C3C-979C-8E03F7465525}"/>
    <cellStyle name="Note 2 2 5 4" xfId="10837" xr:uid="{8E3D8E93-BBD5-4D4A-ADA7-A34D08876423}"/>
    <cellStyle name="Note 2 2 5 5" xfId="20136" xr:uid="{39D1B560-1769-4278-A4B8-406DFBF678CC}"/>
    <cellStyle name="Note 2 2 6" xfId="1835" xr:uid="{00000000-0005-0000-0000-0000E2200000}"/>
    <cellStyle name="Note 2 2 6 2" xfId="4064" xr:uid="{00000000-0005-0000-0000-0000E3200000}"/>
    <cellStyle name="Note 2 2 6 2 2" xfId="8286" xr:uid="{00000000-0005-0000-0000-0000E4200000}"/>
    <cellStyle name="Note 2 2 6 2 2 2" xfId="17612" xr:uid="{A0FBEA7C-3DA0-4572-9CFF-75BCAF7E01AA}"/>
    <cellStyle name="Note 2 2 6 2 2 3" xfId="26911" xr:uid="{00F2F26D-65A3-4C17-AD2F-AFACDCE09613}"/>
    <cellStyle name="Note 2 2 6 2 3" xfId="13395" xr:uid="{466E380E-89C5-429B-83FE-F9B6AF8E3917}"/>
    <cellStyle name="Note 2 2 6 2 4" xfId="22694" xr:uid="{34C8D202-B759-4854-9E13-FAF432254E6F}"/>
    <cellStyle name="Note 2 2 6 3" xfId="6141" xr:uid="{00000000-0005-0000-0000-0000E5200000}"/>
    <cellStyle name="Note 2 2 6 3 2" xfId="15467" xr:uid="{4909FEEC-41DD-4F44-99DC-AC4C4A28CCBB}"/>
    <cellStyle name="Note 2 2 6 3 3" xfId="24766" xr:uid="{46878B8E-F1E4-4660-A3E7-CCA3C21E7A43}"/>
    <cellStyle name="Note 2 2 6 4" xfId="11250" xr:uid="{EF0AB1FC-2804-4B80-9DBE-C45BB8CB19BB}"/>
    <cellStyle name="Note 2 2 6 5" xfId="20549" xr:uid="{3946BCCA-D973-49FE-BFD1-064A41C67ED9}"/>
    <cellStyle name="Note 2 2 7" xfId="2248" xr:uid="{00000000-0005-0000-0000-0000E6200000}"/>
    <cellStyle name="Note 2 2 7 2" xfId="4477" xr:uid="{00000000-0005-0000-0000-0000E7200000}"/>
    <cellStyle name="Note 2 2 7 2 2" xfId="8699" xr:uid="{00000000-0005-0000-0000-0000E8200000}"/>
    <cellStyle name="Note 2 2 7 2 2 2" xfId="18025" xr:uid="{6EE4D0BC-B3EC-42D3-A0AA-960E2D827930}"/>
    <cellStyle name="Note 2 2 7 2 2 3" xfId="27324" xr:uid="{23034FEB-2E39-48AD-BA55-F6244DE824F7}"/>
    <cellStyle name="Note 2 2 7 2 3" xfId="13808" xr:uid="{BDF87532-4D68-4531-B14C-78D514340016}"/>
    <cellStyle name="Note 2 2 7 2 4" xfId="23107" xr:uid="{969684DF-6AC6-4B5E-8E8F-2C2B4A35E712}"/>
    <cellStyle name="Note 2 2 7 3" xfId="6554" xr:uid="{00000000-0005-0000-0000-0000E9200000}"/>
    <cellStyle name="Note 2 2 7 3 2" xfId="15880" xr:uid="{A16CEE44-5692-4891-9A50-2B542F83CDD7}"/>
    <cellStyle name="Note 2 2 7 3 3" xfId="25179" xr:uid="{27AD8D3D-575B-4239-A6C1-539AB39E84F7}"/>
    <cellStyle name="Note 2 2 7 4" xfId="11663" xr:uid="{249569FF-0394-489B-AFCE-A0BC9D9DCCF9}"/>
    <cellStyle name="Note 2 2 7 5" xfId="20962" xr:uid="{DB4555C1-7C34-46AD-9F80-24864751620C}"/>
    <cellStyle name="Note 2 2 8" xfId="2684" xr:uid="{00000000-0005-0000-0000-0000EA200000}"/>
    <cellStyle name="Note 2 2 8 2" xfId="6967" xr:uid="{00000000-0005-0000-0000-0000EB200000}"/>
    <cellStyle name="Note 2 2 8 2 2" xfId="16293" xr:uid="{44541F44-6D9E-48D7-9BD2-DBD0565599DE}"/>
    <cellStyle name="Note 2 2 8 2 3" xfId="25592" xr:uid="{FFD0617E-ACCA-4EF0-B2EB-68CDE8D96224}"/>
    <cellStyle name="Note 2 2 8 3" xfId="12076" xr:uid="{9B954A7B-1257-4999-8E89-AD7B55BAE07C}"/>
    <cellStyle name="Note 2 2 8 4" xfId="21375" xr:uid="{2A9AF999-628A-459F-B221-F2FF1061FC7B}"/>
    <cellStyle name="Note 2 2 9" xfId="2743" xr:uid="{00000000-0005-0000-0000-0000EC200000}"/>
    <cellStyle name="Note 2 3" xfId="549" xr:uid="{00000000-0005-0000-0000-0000ED200000}"/>
    <cellStyle name="Note 2 3 10" xfId="4906" xr:uid="{00000000-0005-0000-0000-0000EE200000}"/>
    <cellStyle name="Note 2 3 10 2" xfId="14232" xr:uid="{3663C0B6-A58D-4B64-8EFC-850809C4F547}"/>
    <cellStyle name="Note 2 3 10 3" xfId="23531" xr:uid="{70CA5949-0CFF-4413-B74A-D55CF0E5A433}"/>
    <cellStyle name="Note 2 3 11" xfId="8894" xr:uid="{2BFFE8D0-DA42-4876-8895-58F80713E965}"/>
    <cellStyle name="Note 2 3 11 2" xfId="18218" xr:uid="{8FF4A6E0-2733-47FA-9089-5C8AD3ADB95F}"/>
    <cellStyle name="Note 2 3 11 3" xfId="27516" xr:uid="{0DD283E7-0B1C-4B65-91D5-90A25BBC2928}"/>
    <cellStyle name="Note 2 3 12" xfId="10015" xr:uid="{E93043E9-E45B-44ED-8DC6-58AF7D7F5D42}"/>
    <cellStyle name="Note 2 3 13" xfId="19314" xr:uid="{8A0876E3-41DC-4E85-97FD-AB1E69E929DB}"/>
    <cellStyle name="Note 2 3 2" xfId="550" xr:uid="{00000000-0005-0000-0000-0000EF200000}"/>
    <cellStyle name="Note 2 3 2 10" xfId="9101" xr:uid="{1822EEA2-225E-465E-B4CD-D4615440EC62}"/>
    <cellStyle name="Note 2 3 2 10 2" xfId="18425" xr:uid="{9AAF75D1-EC05-4B35-94F6-D395AA26E206}"/>
    <cellStyle name="Note 2 3 2 10 3" xfId="27723" xr:uid="{D1147363-D493-490C-89DE-CB4C2F675175}"/>
    <cellStyle name="Note 2 3 2 11" xfId="10016" xr:uid="{2008E800-D9AA-4EEF-BF87-DB6C87FB4C71}"/>
    <cellStyle name="Note 2 3 2 12" xfId="19315" xr:uid="{3692738C-7DFC-4018-9E49-1BFFD0E3C119}"/>
    <cellStyle name="Note 2 3 2 2" xfId="1011" xr:uid="{00000000-0005-0000-0000-0000F0200000}"/>
    <cellStyle name="Note 2 3 2 2 2" xfId="3243" xr:uid="{00000000-0005-0000-0000-0000F1200000}"/>
    <cellStyle name="Note 2 3 2 2 2 2" xfId="7465" xr:uid="{00000000-0005-0000-0000-0000F2200000}"/>
    <cellStyle name="Note 2 3 2 2 2 2 2" xfId="16791" xr:uid="{0D45B799-A432-4D1F-8CC7-1BDD418D2DF1}"/>
    <cellStyle name="Note 2 3 2 2 2 2 3" xfId="26090" xr:uid="{9C96363B-3B31-45A8-ADEA-2FBE67317476}"/>
    <cellStyle name="Note 2 3 2 2 2 3" xfId="12574" xr:uid="{0E165A56-6E0A-4636-9266-FEEAE7B88F64}"/>
    <cellStyle name="Note 2 3 2 2 2 4" xfId="21873" xr:uid="{8FF9B296-33C2-4B2F-BA49-B51D3ED8AB49}"/>
    <cellStyle name="Note 2 3 2 2 3" xfId="5320" xr:uid="{00000000-0005-0000-0000-0000F3200000}"/>
    <cellStyle name="Note 2 3 2 2 3 2" xfId="14646" xr:uid="{D17805AE-0B1D-4F3B-B172-ADC0D0C4FF24}"/>
    <cellStyle name="Note 2 3 2 2 3 3" xfId="23945" xr:uid="{94A0CA77-AF04-4013-837A-E49B39A5FD1A}"/>
    <cellStyle name="Note 2 3 2 2 4" xfId="9526" xr:uid="{1C428179-0C82-4F5D-9FE4-E11D597F9E89}"/>
    <cellStyle name="Note 2 3 2 2 4 2" xfId="18841" xr:uid="{C6715E3E-BFA4-4208-967B-B833BEFBE66F}"/>
    <cellStyle name="Note 2 3 2 2 4 3" xfId="28138" xr:uid="{363D371C-5AB1-465D-A3E6-85F4A85E7B4D}"/>
    <cellStyle name="Note 2 3 2 2 5" xfId="10429" xr:uid="{B3BC90E5-69B9-407B-9AF6-FD6BD22789E8}"/>
    <cellStyle name="Note 2 3 2 2 6" xfId="19728" xr:uid="{A4B933BD-186C-48BF-9173-D480512CDB78}"/>
    <cellStyle name="Note 2 3 2 3" xfId="1426" xr:uid="{00000000-0005-0000-0000-0000F4200000}"/>
    <cellStyle name="Note 2 3 2 3 2" xfId="3656" xr:uid="{00000000-0005-0000-0000-0000F5200000}"/>
    <cellStyle name="Note 2 3 2 3 2 2" xfId="7878" xr:uid="{00000000-0005-0000-0000-0000F6200000}"/>
    <cellStyle name="Note 2 3 2 3 2 2 2" xfId="17204" xr:uid="{916ECEB1-5813-49EB-8190-7B4628E67405}"/>
    <cellStyle name="Note 2 3 2 3 2 2 3" xfId="26503" xr:uid="{6FE4CB2C-77F7-4345-8157-E8D7F0036C56}"/>
    <cellStyle name="Note 2 3 2 3 2 3" xfId="12987" xr:uid="{37DF556B-029B-4F11-B3DF-FCBD35F00331}"/>
    <cellStyle name="Note 2 3 2 3 2 4" xfId="22286" xr:uid="{BC5CEAAF-5A94-4235-A25C-497DE22F2D17}"/>
    <cellStyle name="Note 2 3 2 3 3" xfId="5733" xr:uid="{00000000-0005-0000-0000-0000F7200000}"/>
    <cellStyle name="Note 2 3 2 3 3 2" xfId="15059" xr:uid="{383097AD-B264-4C96-B202-C932EE6ADBEF}"/>
    <cellStyle name="Note 2 3 2 3 3 3" xfId="24358" xr:uid="{44D88AC5-46FB-420A-91E9-C898FC56A7D9}"/>
    <cellStyle name="Note 2 3 2 3 4" xfId="10842" xr:uid="{EF2F7213-4207-43DD-9F09-3F0882C8E48A}"/>
    <cellStyle name="Note 2 3 2 3 5" xfId="20141" xr:uid="{E8BBAEDC-7ABB-4CF5-A50C-F77B0979E892}"/>
    <cellStyle name="Note 2 3 2 4" xfId="1840" xr:uid="{00000000-0005-0000-0000-0000F8200000}"/>
    <cellStyle name="Note 2 3 2 4 2" xfId="4069" xr:uid="{00000000-0005-0000-0000-0000F9200000}"/>
    <cellStyle name="Note 2 3 2 4 2 2" xfId="8291" xr:uid="{00000000-0005-0000-0000-0000FA200000}"/>
    <cellStyle name="Note 2 3 2 4 2 2 2" xfId="17617" xr:uid="{840ABDF9-27E5-4221-B667-635D5AEB4287}"/>
    <cellStyle name="Note 2 3 2 4 2 2 3" xfId="26916" xr:uid="{077D6810-9CAB-451B-9846-E9CD56EF9CE9}"/>
    <cellStyle name="Note 2 3 2 4 2 3" xfId="13400" xr:uid="{221C4528-AA0A-4E98-9595-A5E49782D93B}"/>
    <cellStyle name="Note 2 3 2 4 2 4" xfId="22699" xr:uid="{0358C651-9D08-433A-AE64-6ECA99F31158}"/>
    <cellStyle name="Note 2 3 2 4 3" xfId="6146" xr:uid="{00000000-0005-0000-0000-0000FB200000}"/>
    <cellStyle name="Note 2 3 2 4 3 2" xfId="15472" xr:uid="{346F9636-540A-4012-B48B-E8E4B7E1B774}"/>
    <cellStyle name="Note 2 3 2 4 3 3" xfId="24771" xr:uid="{A418074C-93A5-48B6-8F74-C9E1135E2416}"/>
    <cellStyle name="Note 2 3 2 4 4" xfId="11255" xr:uid="{2EC66DFA-54B4-4679-93EA-B6273555AED6}"/>
    <cellStyle name="Note 2 3 2 4 5" xfId="20554" xr:uid="{71EE5A4C-DCC4-43CC-93B3-F2278C66047E}"/>
    <cellStyle name="Note 2 3 2 5" xfId="2253" xr:uid="{00000000-0005-0000-0000-0000FC200000}"/>
    <cellStyle name="Note 2 3 2 5 2" xfId="4482" xr:uid="{00000000-0005-0000-0000-0000FD200000}"/>
    <cellStyle name="Note 2 3 2 5 2 2" xfId="8704" xr:uid="{00000000-0005-0000-0000-0000FE200000}"/>
    <cellStyle name="Note 2 3 2 5 2 2 2" xfId="18030" xr:uid="{811AB648-733C-4819-9C60-39CE8D87F3EA}"/>
    <cellStyle name="Note 2 3 2 5 2 2 3" xfId="27329" xr:uid="{660E5E47-1305-4FA2-8DDB-82430564869C}"/>
    <cellStyle name="Note 2 3 2 5 2 3" xfId="13813" xr:uid="{405DEFCA-3881-4643-903C-A9EB2A496908}"/>
    <cellStyle name="Note 2 3 2 5 2 4" xfId="23112" xr:uid="{2646EECD-8C80-41A0-8351-B99A45744AEB}"/>
    <cellStyle name="Note 2 3 2 5 3" xfId="6559" xr:uid="{00000000-0005-0000-0000-0000FF200000}"/>
    <cellStyle name="Note 2 3 2 5 3 2" xfId="15885" xr:uid="{6B308E43-8F0A-45A1-8D54-8953413B018B}"/>
    <cellStyle name="Note 2 3 2 5 3 3" xfId="25184" xr:uid="{84808CA7-C94E-4AB9-A0D6-3D5003B21B74}"/>
    <cellStyle name="Note 2 3 2 5 4" xfId="11668" xr:uid="{FD6EC6B2-9E8A-41DC-8682-89E13C441E43}"/>
    <cellStyle name="Note 2 3 2 5 5" xfId="20967" xr:uid="{1671F8FE-775E-4FA7-BBA0-4219C68ECF2E}"/>
    <cellStyle name="Note 2 3 2 6" xfId="2689" xr:uid="{00000000-0005-0000-0000-000000210000}"/>
    <cellStyle name="Note 2 3 2 6 2" xfId="6972" xr:uid="{00000000-0005-0000-0000-000001210000}"/>
    <cellStyle name="Note 2 3 2 6 2 2" xfId="16298" xr:uid="{7D88EB9B-AE8D-4933-BD65-EFA13283DC8C}"/>
    <cellStyle name="Note 2 3 2 6 2 3" xfId="25597" xr:uid="{C613D072-F35F-48CD-BFA9-811D02BCF44F}"/>
    <cellStyle name="Note 2 3 2 6 3" xfId="12081" xr:uid="{AA885847-715C-4A9C-B023-DFC1A52FB12D}"/>
    <cellStyle name="Note 2 3 2 6 4" xfId="21380" xr:uid="{7012D322-06EA-4595-AFDF-3B4BF80668BD}"/>
    <cellStyle name="Note 2 3 2 7" xfId="2748" xr:uid="{00000000-0005-0000-0000-000002210000}"/>
    <cellStyle name="Note 2 3 2 8" xfId="2829" xr:uid="{00000000-0005-0000-0000-000003210000}"/>
    <cellStyle name="Note 2 3 2 8 2" xfId="7052" xr:uid="{00000000-0005-0000-0000-000004210000}"/>
    <cellStyle name="Note 2 3 2 8 2 2" xfId="16378" xr:uid="{0C17C285-7D63-40C6-AEA2-6BE2F918A5D0}"/>
    <cellStyle name="Note 2 3 2 8 2 3" xfId="25677" xr:uid="{65B09AFA-7D88-412A-992A-B3DEB8B2F3DF}"/>
    <cellStyle name="Note 2 3 2 8 3" xfId="12161" xr:uid="{B8FF3ACF-F55E-48F8-B44A-857BAD5AF8A0}"/>
    <cellStyle name="Note 2 3 2 8 4" xfId="21460" xr:uid="{690125AC-3C4E-47DC-97BB-2AC6A81CE704}"/>
    <cellStyle name="Note 2 3 2 9" xfId="4907" xr:uid="{00000000-0005-0000-0000-000005210000}"/>
    <cellStyle name="Note 2 3 2 9 2" xfId="14233" xr:uid="{898D7DCC-ADFB-402D-972C-01DE5D13A6C3}"/>
    <cellStyle name="Note 2 3 2 9 3" xfId="23532" xr:uid="{170D2847-9558-4573-A9FD-AFE670275261}"/>
    <cellStyle name="Note 2 3 3" xfId="1010" xr:uid="{00000000-0005-0000-0000-000006210000}"/>
    <cellStyle name="Note 2 3 3 2" xfId="3242" xr:uid="{00000000-0005-0000-0000-000007210000}"/>
    <cellStyle name="Note 2 3 3 2 2" xfId="7464" xr:uid="{00000000-0005-0000-0000-000008210000}"/>
    <cellStyle name="Note 2 3 3 2 2 2" xfId="16790" xr:uid="{A7AC0E5B-52FC-4623-A052-3B839576D48E}"/>
    <cellStyle name="Note 2 3 3 2 2 3" xfId="26089" xr:uid="{A8867A98-A21D-47BF-BE11-CBF7B677FF70}"/>
    <cellStyle name="Note 2 3 3 2 3" xfId="12573" xr:uid="{72599008-AF98-4AFA-955C-D2F809AFCE52}"/>
    <cellStyle name="Note 2 3 3 2 4" xfId="21872" xr:uid="{5C6168DC-4D06-4699-B281-4A993FCAC418}"/>
    <cellStyle name="Note 2 3 3 3" xfId="5319" xr:uid="{00000000-0005-0000-0000-000009210000}"/>
    <cellStyle name="Note 2 3 3 3 2" xfId="14645" xr:uid="{434A752B-3F0F-4DA0-B901-FA19C9CF7731}"/>
    <cellStyle name="Note 2 3 3 3 3" xfId="23944" xr:uid="{3FEF4955-6CEE-4A0D-A5C2-848073A710F4}"/>
    <cellStyle name="Note 2 3 3 4" xfId="9319" xr:uid="{06E4A3C6-5CAA-4424-B4C3-41162F21AE7D}"/>
    <cellStyle name="Note 2 3 3 4 2" xfId="18634" xr:uid="{1B866CFC-8096-41BF-A7EC-DABC2FCE6785}"/>
    <cellStyle name="Note 2 3 3 4 3" xfId="27931" xr:uid="{C2E7DBCE-2F3F-4C26-85B4-37A1EE90428C}"/>
    <cellStyle name="Note 2 3 3 5" xfId="10428" xr:uid="{2B6139F0-048B-4A58-8DE8-0AE13CB86E8D}"/>
    <cellStyle name="Note 2 3 3 6" xfId="19727" xr:uid="{C055B56E-0210-4AAC-80AE-CC9793CCE7BE}"/>
    <cellStyle name="Note 2 3 4" xfId="1425" xr:uid="{00000000-0005-0000-0000-00000A210000}"/>
    <cellStyle name="Note 2 3 4 2" xfId="3655" xr:uid="{00000000-0005-0000-0000-00000B210000}"/>
    <cellStyle name="Note 2 3 4 2 2" xfId="7877" xr:uid="{00000000-0005-0000-0000-00000C210000}"/>
    <cellStyle name="Note 2 3 4 2 2 2" xfId="17203" xr:uid="{832E6F7F-71CC-4865-9A78-93E223F3981F}"/>
    <cellStyle name="Note 2 3 4 2 2 3" xfId="26502" xr:uid="{BBE5267D-8B3C-4473-9C7F-199BF850AF25}"/>
    <cellStyle name="Note 2 3 4 2 3" xfId="12986" xr:uid="{26FD2734-CF57-45D1-939F-E1942AC1CBF8}"/>
    <cellStyle name="Note 2 3 4 2 4" xfId="22285" xr:uid="{C17A179E-C328-4E0C-9923-6297BEE9611C}"/>
    <cellStyle name="Note 2 3 4 3" xfId="5732" xr:uid="{00000000-0005-0000-0000-00000D210000}"/>
    <cellStyle name="Note 2 3 4 3 2" xfId="15058" xr:uid="{E0C2AD62-DB0D-499B-B9E3-7A798D02B68E}"/>
    <cellStyle name="Note 2 3 4 3 3" xfId="24357" xr:uid="{685C6025-11D2-4A58-BF6C-D23D7465DD2D}"/>
    <cellStyle name="Note 2 3 4 4" xfId="10841" xr:uid="{FC8C1D50-8DDB-4A11-8579-BFFB83AB27BA}"/>
    <cellStyle name="Note 2 3 4 5" xfId="20140" xr:uid="{D23C7E01-4F84-4D4B-97ED-1C9EF592EBB1}"/>
    <cellStyle name="Note 2 3 5" xfId="1839" xr:uid="{00000000-0005-0000-0000-00000E210000}"/>
    <cellStyle name="Note 2 3 5 2" xfId="4068" xr:uid="{00000000-0005-0000-0000-00000F210000}"/>
    <cellStyle name="Note 2 3 5 2 2" xfId="8290" xr:uid="{00000000-0005-0000-0000-000010210000}"/>
    <cellStyle name="Note 2 3 5 2 2 2" xfId="17616" xr:uid="{8DA98A96-9D90-4F55-BF02-6082844B5B23}"/>
    <cellStyle name="Note 2 3 5 2 2 3" xfId="26915" xr:uid="{4CAC3F15-4918-4A60-B525-E39E8F8A040F}"/>
    <cellStyle name="Note 2 3 5 2 3" xfId="13399" xr:uid="{35B45519-F933-4B21-96F2-6361F96D7630}"/>
    <cellStyle name="Note 2 3 5 2 4" xfId="22698" xr:uid="{E943D694-9631-45D8-B248-0EAB5F2F19BB}"/>
    <cellStyle name="Note 2 3 5 3" xfId="6145" xr:uid="{00000000-0005-0000-0000-000011210000}"/>
    <cellStyle name="Note 2 3 5 3 2" xfId="15471" xr:uid="{8AEFED91-8BEC-457D-BE9D-789DD42DA427}"/>
    <cellStyle name="Note 2 3 5 3 3" xfId="24770" xr:uid="{D1B0CF03-095A-4103-853B-838E3A0D7544}"/>
    <cellStyle name="Note 2 3 5 4" xfId="11254" xr:uid="{BFEF462C-B259-4B3A-9DF3-8037744A5C6D}"/>
    <cellStyle name="Note 2 3 5 5" xfId="20553" xr:uid="{E22BBF1D-8236-488E-8104-F6394E3B2124}"/>
    <cellStyle name="Note 2 3 6" xfId="2252" xr:uid="{00000000-0005-0000-0000-000012210000}"/>
    <cellStyle name="Note 2 3 6 2" xfId="4481" xr:uid="{00000000-0005-0000-0000-000013210000}"/>
    <cellStyle name="Note 2 3 6 2 2" xfId="8703" xr:uid="{00000000-0005-0000-0000-000014210000}"/>
    <cellStyle name="Note 2 3 6 2 2 2" xfId="18029" xr:uid="{45125340-FD76-428F-AC21-7664AE9EEF77}"/>
    <cellStyle name="Note 2 3 6 2 2 3" xfId="27328" xr:uid="{EA44B5A3-85F5-48EA-9C23-22EDEAF0E72F}"/>
    <cellStyle name="Note 2 3 6 2 3" xfId="13812" xr:uid="{00D7D72C-2B0A-488E-8947-1B13FCBAE144}"/>
    <cellStyle name="Note 2 3 6 2 4" xfId="23111" xr:uid="{878FDF3D-C8BE-41D7-B0FC-E29FD115D1DF}"/>
    <cellStyle name="Note 2 3 6 3" xfId="6558" xr:uid="{00000000-0005-0000-0000-000015210000}"/>
    <cellStyle name="Note 2 3 6 3 2" xfId="15884" xr:uid="{1DA4E0CC-35CE-4221-A161-53676E2781A0}"/>
    <cellStyle name="Note 2 3 6 3 3" xfId="25183" xr:uid="{A769B679-2A88-4D2C-805A-7175D0F3A764}"/>
    <cellStyle name="Note 2 3 6 4" xfId="11667" xr:uid="{C21D4E69-831E-4D65-8433-862E54C3CA8C}"/>
    <cellStyle name="Note 2 3 6 5" xfId="20966" xr:uid="{F0FE42A2-5BBF-4005-B16B-12ED433A76A8}"/>
    <cellStyle name="Note 2 3 7" xfId="2688" xr:uid="{00000000-0005-0000-0000-000016210000}"/>
    <cellStyle name="Note 2 3 7 2" xfId="6971" xr:uid="{00000000-0005-0000-0000-000017210000}"/>
    <cellStyle name="Note 2 3 7 2 2" xfId="16297" xr:uid="{D54A9FB5-19DF-4C6C-8741-B41D7ECFEB10}"/>
    <cellStyle name="Note 2 3 7 2 3" xfId="25596" xr:uid="{0D69DC14-AE4C-481B-8A04-84CD14C3C0E6}"/>
    <cellStyle name="Note 2 3 7 3" xfId="12080" xr:uid="{64AD2613-75C1-4044-8456-ED5070075CA1}"/>
    <cellStyle name="Note 2 3 7 4" xfId="21379" xr:uid="{D0805C86-9635-4F1C-9948-FDFA39467578}"/>
    <cellStyle name="Note 2 3 8" xfId="2747" xr:uid="{00000000-0005-0000-0000-000018210000}"/>
    <cellStyle name="Note 2 3 9" xfId="2828" xr:uid="{00000000-0005-0000-0000-000019210000}"/>
    <cellStyle name="Note 2 3 9 2" xfId="7051" xr:uid="{00000000-0005-0000-0000-00001A210000}"/>
    <cellStyle name="Note 2 3 9 2 2" xfId="16377" xr:uid="{A0829031-6B00-4ED2-A824-D2E4B7668820}"/>
    <cellStyle name="Note 2 3 9 2 3" xfId="25676" xr:uid="{F91B7515-C52A-415C-9B2F-5CC2FE220A8C}"/>
    <cellStyle name="Note 2 3 9 3" xfId="12160" xr:uid="{99D676C5-15E1-4DAA-B903-4F3D90BDE498}"/>
    <cellStyle name="Note 2 3 9 4" xfId="21459" xr:uid="{C6303B45-8124-4E1F-A949-63040D429EE2}"/>
    <cellStyle name="Note 2 4" xfId="551" xr:uid="{00000000-0005-0000-0000-00001B210000}"/>
    <cellStyle name="Note 2 4 10" xfId="8998" xr:uid="{AC87C288-14A9-4FB3-A26C-1706964E6651}"/>
    <cellStyle name="Note 2 4 10 2" xfId="18322" xr:uid="{53F883CA-6415-4BBA-A969-44D6EB1C4A52}"/>
    <cellStyle name="Note 2 4 10 3" xfId="27620" xr:uid="{D32EE37E-DCE1-43D5-903F-5B7155EEDED3}"/>
    <cellStyle name="Note 2 4 11" xfId="10017" xr:uid="{77A9A8A8-E8C7-4BFB-98D3-E71AD4F8A6D8}"/>
    <cellStyle name="Note 2 4 12" xfId="19316" xr:uid="{735C2FA2-6A39-43FB-8EC4-A8CA0744B98E}"/>
    <cellStyle name="Note 2 4 2" xfId="1012" xr:uid="{00000000-0005-0000-0000-00001C210000}"/>
    <cellStyle name="Note 2 4 2 2" xfId="3244" xr:uid="{00000000-0005-0000-0000-00001D210000}"/>
    <cellStyle name="Note 2 4 2 2 2" xfId="7466" xr:uid="{00000000-0005-0000-0000-00001E210000}"/>
    <cellStyle name="Note 2 4 2 2 2 2" xfId="16792" xr:uid="{CD840E6D-F9E1-4C3E-ADCE-789F15D8D2A4}"/>
    <cellStyle name="Note 2 4 2 2 2 3" xfId="26091" xr:uid="{47C9DEF2-64F4-49A4-B41A-BE9784D44F7B}"/>
    <cellStyle name="Note 2 4 2 2 3" xfId="12575" xr:uid="{FAAE0DB1-B19E-4F34-8F97-D63F5E97D07F}"/>
    <cellStyle name="Note 2 4 2 2 4" xfId="21874" xr:uid="{CE6CB52D-ADBD-48CE-AF4D-67D8716A3235}"/>
    <cellStyle name="Note 2 4 2 3" xfId="5321" xr:uid="{00000000-0005-0000-0000-00001F210000}"/>
    <cellStyle name="Note 2 4 2 3 2" xfId="14647" xr:uid="{89E986F4-3F80-430D-BAEF-07EF5A04C1D5}"/>
    <cellStyle name="Note 2 4 2 3 3" xfId="23946" xr:uid="{DE343507-5E45-4D4B-9A80-AB12DDA3E196}"/>
    <cellStyle name="Note 2 4 2 4" xfId="9423" xr:uid="{43B93802-BE55-43D9-BEBC-4095E3C1FF74}"/>
    <cellStyle name="Note 2 4 2 4 2" xfId="18738" xr:uid="{B08F6AC5-41CF-4E19-99E8-04EF3BEB5DF2}"/>
    <cellStyle name="Note 2 4 2 4 3" xfId="28035" xr:uid="{A3D2D5AF-5BAD-4CDC-8C09-86F2C11DCA5B}"/>
    <cellStyle name="Note 2 4 2 5" xfId="10430" xr:uid="{ED54112D-37C6-447E-BE4F-DB8B4CCC38D6}"/>
    <cellStyle name="Note 2 4 2 6" xfId="19729" xr:uid="{ADC6E5D0-0CF3-4952-B4E4-59113C3037BA}"/>
    <cellStyle name="Note 2 4 3" xfId="1427" xr:uid="{00000000-0005-0000-0000-000020210000}"/>
    <cellStyle name="Note 2 4 3 2" xfId="3657" xr:uid="{00000000-0005-0000-0000-000021210000}"/>
    <cellStyle name="Note 2 4 3 2 2" xfId="7879" xr:uid="{00000000-0005-0000-0000-000022210000}"/>
    <cellStyle name="Note 2 4 3 2 2 2" xfId="17205" xr:uid="{9FADCFA1-41D2-47BF-B739-B91D7D90114C}"/>
    <cellStyle name="Note 2 4 3 2 2 3" xfId="26504" xr:uid="{67B91222-D044-48D1-AAB4-AAB609D4A8F4}"/>
    <cellStyle name="Note 2 4 3 2 3" xfId="12988" xr:uid="{548E3F13-21F2-4AC2-8F61-B4B94C0F70A9}"/>
    <cellStyle name="Note 2 4 3 2 4" xfId="22287" xr:uid="{31A5F0C6-634E-4E13-9492-F42D36D7DD6D}"/>
    <cellStyle name="Note 2 4 3 3" xfId="5734" xr:uid="{00000000-0005-0000-0000-000023210000}"/>
    <cellStyle name="Note 2 4 3 3 2" xfId="15060" xr:uid="{5A06488F-EA98-44C4-AE32-87D8E78BA575}"/>
    <cellStyle name="Note 2 4 3 3 3" xfId="24359" xr:uid="{8D235974-5AA5-4418-9B48-0DDBD2C28E0C}"/>
    <cellStyle name="Note 2 4 3 4" xfId="10843" xr:uid="{176DACB3-C8B4-4073-8DCA-B16CF7357A7F}"/>
    <cellStyle name="Note 2 4 3 5" xfId="20142" xr:uid="{A17EF296-5A65-46AE-A6BC-08E5280DED01}"/>
    <cellStyle name="Note 2 4 4" xfId="1841" xr:uid="{00000000-0005-0000-0000-000024210000}"/>
    <cellStyle name="Note 2 4 4 2" xfId="4070" xr:uid="{00000000-0005-0000-0000-000025210000}"/>
    <cellStyle name="Note 2 4 4 2 2" xfId="8292" xr:uid="{00000000-0005-0000-0000-000026210000}"/>
    <cellStyle name="Note 2 4 4 2 2 2" xfId="17618" xr:uid="{DC06AD36-13E4-4757-B08C-D4F412C0401A}"/>
    <cellStyle name="Note 2 4 4 2 2 3" xfId="26917" xr:uid="{1B0BF639-2FAC-4A9A-8564-84030C8C25FB}"/>
    <cellStyle name="Note 2 4 4 2 3" xfId="13401" xr:uid="{52D40B97-0980-43B2-94DA-3F6FD2A22F0D}"/>
    <cellStyle name="Note 2 4 4 2 4" xfId="22700" xr:uid="{BEEAD57C-C8DB-4B86-986B-9079791BB151}"/>
    <cellStyle name="Note 2 4 4 3" xfId="6147" xr:uid="{00000000-0005-0000-0000-000027210000}"/>
    <cellStyle name="Note 2 4 4 3 2" xfId="15473" xr:uid="{37FE8100-9D9B-4EC2-ACC2-8054E94C3DD3}"/>
    <cellStyle name="Note 2 4 4 3 3" xfId="24772" xr:uid="{11C626CF-BCC4-40AF-BE77-87E768847D2D}"/>
    <cellStyle name="Note 2 4 4 4" xfId="11256" xr:uid="{31DA6361-A8B3-4460-9E8E-D7EB1096C382}"/>
    <cellStyle name="Note 2 4 4 5" xfId="20555" xr:uid="{B231A352-4C90-4ADD-ABBA-409C5EB4F004}"/>
    <cellStyle name="Note 2 4 5" xfId="2254" xr:uid="{00000000-0005-0000-0000-000028210000}"/>
    <cellStyle name="Note 2 4 5 2" xfId="4483" xr:uid="{00000000-0005-0000-0000-000029210000}"/>
    <cellStyle name="Note 2 4 5 2 2" xfId="8705" xr:uid="{00000000-0005-0000-0000-00002A210000}"/>
    <cellStyle name="Note 2 4 5 2 2 2" xfId="18031" xr:uid="{BE0A84A0-91F4-4A14-9A6C-07E84A3BED9A}"/>
    <cellStyle name="Note 2 4 5 2 2 3" xfId="27330" xr:uid="{E78B0625-C863-4B0D-916A-028B9951E754}"/>
    <cellStyle name="Note 2 4 5 2 3" xfId="13814" xr:uid="{9E6CB89F-56FE-47A1-9ACC-8EF113E2280C}"/>
    <cellStyle name="Note 2 4 5 2 4" xfId="23113" xr:uid="{00F125A4-BF4F-4B2E-9F87-782459120CD8}"/>
    <cellStyle name="Note 2 4 5 3" xfId="6560" xr:uid="{00000000-0005-0000-0000-00002B210000}"/>
    <cellStyle name="Note 2 4 5 3 2" xfId="15886" xr:uid="{66E7C9DC-6370-4DC6-9EB1-F58D7E62DEDC}"/>
    <cellStyle name="Note 2 4 5 3 3" xfId="25185" xr:uid="{42683E46-AA08-4973-BBEE-C5109E126B3B}"/>
    <cellStyle name="Note 2 4 5 4" xfId="11669" xr:uid="{765700DA-D096-4FD2-910C-51168F50EE89}"/>
    <cellStyle name="Note 2 4 5 5" xfId="20968" xr:uid="{645ED0C7-57A9-427E-BED8-216229A4499F}"/>
    <cellStyle name="Note 2 4 6" xfId="2690" xr:uid="{00000000-0005-0000-0000-00002C210000}"/>
    <cellStyle name="Note 2 4 6 2" xfId="6973" xr:uid="{00000000-0005-0000-0000-00002D210000}"/>
    <cellStyle name="Note 2 4 6 2 2" xfId="16299" xr:uid="{2A104F7D-60D1-47CA-94B2-801A6F64D3D0}"/>
    <cellStyle name="Note 2 4 6 2 3" xfId="25598" xr:uid="{66016A51-C4F9-4E72-8257-09B525F3EBAB}"/>
    <cellStyle name="Note 2 4 6 3" xfId="12082" xr:uid="{2C74832F-78D4-4BDB-85FA-7150EA77CA78}"/>
    <cellStyle name="Note 2 4 6 4" xfId="21381" xr:uid="{C0412F56-704A-410D-A3D2-B3F473BC9733}"/>
    <cellStyle name="Note 2 4 7" xfId="2749" xr:uid="{00000000-0005-0000-0000-00002E210000}"/>
    <cellStyle name="Note 2 4 8" xfId="2830" xr:uid="{00000000-0005-0000-0000-00002F210000}"/>
    <cellStyle name="Note 2 4 8 2" xfId="7053" xr:uid="{00000000-0005-0000-0000-000030210000}"/>
    <cellStyle name="Note 2 4 8 2 2" xfId="16379" xr:uid="{90E793DA-FA09-4F3B-8588-2D5AE7EC2682}"/>
    <cellStyle name="Note 2 4 8 2 3" xfId="25678" xr:uid="{A9EAE9D0-0F1A-4CF2-B028-FB2C8BD5A96D}"/>
    <cellStyle name="Note 2 4 8 3" xfId="12162" xr:uid="{6518F0D4-5567-4C2E-B2A9-DD09A5EE8912}"/>
    <cellStyle name="Note 2 4 8 4" xfId="21461" xr:uid="{55B1BC34-39D6-4149-AB43-C9D1C6D2A55C}"/>
    <cellStyle name="Note 2 4 9" xfId="4908" xr:uid="{00000000-0005-0000-0000-000031210000}"/>
    <cellStyle name="Note 2 4 9 2" xfId="14234" xr:uid="{1C7F3407-2D50-428A-B9A2-3A9E27A9776D}"/>
    <cellStyle name="Note 2 4 9 3" xfId="23533" xr:uid="{2B5C510F-A7E8-4F42-BA78-F862C71E3FDE}"/>
    <cellStyle name="Note 2 5" xfId="552" xr:uid="{00000000-0005-0000-0000-000032210000}"/>
    <cellStyle name="Note 2 5 10" xfId="9215" xr:uid="{69947D86-0683-476F-9E74-96CA08091560}"/>
    <cellStyle name="Note 2 5 10 2" xfId="18531" xr:uid="{B8B48B58-7598-4752-B6FA-672787C2B1D9}"/>
    <cellStyle name="Note 2 5 10 3" xfId="27828" xr:uid="{0828519A-C80D-4D6C-A3AC-3D657B96667E}"/>
    <cellStyle name="Note 2 5 11" xfId="10018" xr:uid="{516B9D20-386E-4552-9FFB-3967A87EA8AD}"/>
    <cellStyle name="Note 2 5 12" xfId="19317" xr:uid="{7903A930-24DE-4779-9147-73F1D19BE659}"/>
    <cellStyle name="Note 2 5 2" xfId="1013" xr:uid="{00000000-0005-0000-0000-000033210000}"/>
    <cellStyle name="Note 2 5 2 2" xfId="3245" xr:uid="{00000000-0005-0000-0000-000034210000}"/>
    <cellStyle name="Note 2 5 2 2 2" xfId="7467" xr:uid="{00000000-0005-0000-0000-000035210000}"/>
    <cellStyle name="Note 2 5 2 2 2 2" xfId="16793" xr:uid="{499F6B0A-C86F-4E58-9A7E-B93347F15E88}"/>
    <cellStyle name="Note 2 5 2 2 2 3" xfId="26092" xr:uid="{F75A6F3B-E6F5-4100-A28A-A0C6146FC147}"/>
    <cellStyle name="Note 2 5 2 2 3" xfId="12576" xr:uid="{9D2FD67A-5A4F-4F10-AF63-AED94B7E30FB}"/>
    <cellStyle name="Note 2 5 2 2 4" xfId="21875" xr:uid="{467F2AFC-25D0-49B2-B6E7-9707609CF99F}"/>
    <cellStyle name="Note 2 5 2 3" xfId="5322" xr:uid="{00000000-0005-0000-0000-000036210000}"/>
    <cellStyle name="Note 2 5 2 3 2" xfId="14648" xr:uid="{9FBE19BD-02AC-45B7-91C2-8972F252E04E}"/>
    <cellStyle name="Note 2 5 2 3 3" xfId="23947" xr:uid="{4B1502EB-6FAB-41A0-BD6A-E03A814178CD}"/>
    <cellStyle name="Note 2 5 2 4" xfId="9610" xr:uid="{26530D10-1DF8-4FA4-8FC9-4C945AA92A94}"/>
    <cellStyle name="Note 2 5 2 4 2" xfId="18910" xr:uid="{6D35A97D-52D6-435B-8DF0-5CB73E9D01B2}"/>
    <cellStyle name="Note 2 5 2 4 3" xfId="28207" xr:uid="{3E09B28C-7B07-40DB-81CD-DB668916863E}"/>
    <cellStyle name="Note 2 5 2 5" xfId="10431" xr:uid="{3A75E768-AE65-469D-9A04-E9FD3515692F}"/>
    <cellStyle name="Note 2 5 2 6" xfId="19730" xr:uid="{0EC0571D-4CDF-4F28-A111-3D188D5DF4D8}"/>
    <cellStyle name="Note 2 5 3" xfId="1428" xr:uid="{00000000-0005-0000-0000-000037210000}"/>
    <cellStyle name="Note 2 5 3 2" xfId="3658" xr:uid="{00000000-0005-0000-0000-000038210000}"/>
    <cellStyle name="Note 2 5 3 2 2" xfId="7880" xr:uid="{00000000-0005-0000-0000-000039210000}"/>
    <cellStyle name="Note 2 5 3 2 2 2" xfId="17206" xr:uid="{A40A2537-4D5A-474D-B7C7-F55C04D0F1B2}"/>
    <cellStyle name="Note 2 5 3 2 2 3" xfId="26505" xr:uid="{2F21CAD5-5CF0-4B24-B86C-3D9939050A36}"/>
    <cellStyle name="Note 2 5 3 2 3" xfId="12989" xr:uid="{2F045FD8-CB32-40B5-A226-DE176FBA7EAB}"/>
    <cellStyle name="Note 2 5 3 2 4" xfId="22288" xr:uid="{0A9FFE70-AF08-4862-B7A6-D75E923E7A5C}"/>
    <cellStyle name="Note 2 5 3 3" xfId="5735" xr:uid="{00000000-0005-0000-0000-00003A210000}"/>
    <cellStyle name="Note 2 5 3 3 2" xfId="15061" xr:uid="{29D3F6B0-B083-45BF-91E0-41D1D95929F2}"/>
    <cellStyle name="Note 2 5 3 3 3" xfId="24360" xr:uid="{8E8A3F85-1830-4A9D-8F93-6F6182456648}"/>
    <cellStyle name="Note 2 5 3 4" xfId="10844" xr:uid="{54F1A47C-FF75-4E5C-8300-E31CB85D72FA}"/>
    <cellStyle name="Note 2 5 3 5" xfId="20143" xr:uid="{2E4C382A-50EC-4BDC-8CC5-4896B8738AF5}"/>
    <cellStyle name="Note 2 5 4" xfId="1842" xr:uid="{00000000-0005-0000-0000-00003B210000}"/>
    <cellStyle name="Note 2 5 4 2" xfId="4071" xr:uid="{00000000-0005-0000-0000-00003C210000}"/>
    <cellStyle name="Note 2 5 4 2 2" xfId="8293" xr:uid="{00000000-0005-0000-0000-00003D210000}"/>
    <cellStyle name="Note 2 5 4 2 2 2" xfId="17619" xr:uid="{A0A27FEF-2DFB-4691-9AD5-E6B7F6A98974}"/>
    <cellStyle name="Note 2 5 4 2 2 3" xfId="26918" xr:uid="{DB335F2E-5D84-4C86-91DF-8B7E2B95AF3D}"/>
    <cellStyle name="Note 2 5 4 2 3" xfId="13402" xr:uid="{42DA3E78-2B98-45CB-AEFB-6F7166C96C33}"/>
    <cellStyle name="Note 2 5 4 2 4" xfId="22701" xr:uid="{B1FEEA08-4D75-4156-9443-35A337B22715}"/>
    <cellStyle name="Note 2 5 4 3" xfId="6148" xr:uid="{00000000-0005-0000-0000-00003E210000}"/>
    <cellStyle name="Note 2 5 4 3 2" xfId="15474" xr:uid="{3027CD7C-9A2A-4213-B531-4783CA84A558}"/>
    <cellStyle name="Note 2 5 4 3 3" xfId="24773" xr:uid="{12420A90-186E-4E4A-84CA-0AE450DCCBA0}"/>
    <cellStyle name="Note 2 5 4 4" xfId="11257" xr:uid="{C997023E-125D-4A25-B575-3C9CBBD71E41}"/>
    <cellStyle name="Note 2 5 4 5" xfId="20556" xr:uid="{86385571-EBC7-42EC-A468-B0E69D1940F8}"/>
    <cellStyle name="Note 2 5 5" xfId="2255" xr:uid="{00000000-0005-0000-0000-00003F210000}"/>
    <cellStyle name="Note 2 5 5 2" xfId="4484" xr:uid="{00000000-0005-0000-0000-000040210000}"/>
    <cellStyle name="Note 2 5 5 2 2" xfId="8706" xr:uid="{00000000-0005-0000-0000-000041210000}"/>
    <cellStyle name="Note 2 5 5 2 2 2" xfId="18032" xr:uid="{46849091-5DEB-4764-8767-4A2480CA9C7F}"/>
    <cellStyle name="Note 2 5 5 2 2 3" xfId="27331" xr:uid="{B75B08AE-7F99-47AC-A202-0167A594D8CB}"/>
    <cellStyle name="Note 2 5 5 2 3" xfId="13815" xr:uid="{0A011440-9791-4790-A304-BE2CCEB36006}"/>
    <cellStyle name="Note 2 5 5 2 4" xfId="23114" xr:uid="{E1756B48-CE8A-4149-B61C-0A2C059D24B8}"/>
    <cellStyle name="Note 2 5 5 3" xfId="6561" xr:uid="{00000000-0005-0000-0000-000042210000}"/>
    <cellStyle name="Note 2 5 5 3 2" xfId="15887" xr:uid="{711FF743-1B30-4A77-8CB3-4A3ADF0E0E94}"/>
    <cellStyle name="Note 2 5 5 3 3" xfId="25186" xr:uid="{30A8C857-50FC-433F-B8AC-53DAA0C9D8CA}"/>
    <cellStyle name="Note 2 5 5 4" xfId="11670" xr:uid="{E86F8976-34C9-4F31-9113-F226F8E1AE7B}"/>
    <cellStyle name="Note 2 5 5 5" xfId="20969" xr:uid="{4382E91A-A8BB-4F51-895C-882B4E0E5D06}"/>
    <cellStyle name="Note 2 5 6" xfId="2691" xr:uid="{00000000-0005-0000-0000-000043210000}"/>
    <cellStyle name="Note 2 5 6 2" xfId="6974" xr:uid="{00000000-0005-0000-0000-000044210000}"/>
    <cellStyle name="Note 2 5 6 2 2" xfId="16300" xr:uid="{A663B50D-20F1-4C09-8F5B-E55232E541A5}"/>
    <cellStyle name="Note 2 5 6 2 3" xfId="25599" xr:uid="{5051D2CA-E658-4635-BDB6-75AC7793A033}"/>
    <cellStyle name="Note 2 5 6 3" xfId="12083" xr:uid="{277865A9-F642-4358-B3D9-17E3CCE089C8}"/>
    <cellStyle name="Note 2 5 6 4" xfId="21382" xr:uid="{CE8AA50B-2B86-4A18-AC49-B31E1A13F1B9}"/>
    <cellStyle name="Note 2 5 7" xfId="2750" xr:uid="{00000000-0005-0000-0000-000045210000}"/>
    <cellStyle name="Note 2 5 8" xfId="2831" xr:uid="{00000000-0005-0000-0000-000046210000}"/>
    <cellStyle name="Note 2 5 8 2" xfId="7054" xr:uid="{00000000-0005-0000-0000-000047210000}"/>
    <cellStyle name="Note 2 5 8 2 2" xfId="16380" xr:uid="{24DBC10C-AC26-4C43-AA6E-DFD582781E64}"/>
    <cellStyle name="Note 2 5 8 2 3" xfId="25679" xr:uid="{39FEF468-6C68-4064-B0A2-9B288FBEED16}"/>
    <cellStyle name="Note 2 5 8 3" xfId="12163" xr:uid="{5375C3F3-CAC9-404D-82B6-3348F015B8CC}"/>
    <cellStyle name="Note 2 5 8 4" xfId="21462" xr:uid="{B5DBB2D0-BDE1-43BE-9647-80430BA9F783}"/>
    <cellStyle name="Note 2 5 9" xfId="4909" xr:uid="{00000000-0005-0000-0000-000048210000}"/>
    <cellStyle name="Note 2 5 9 2" xfId="14235" xr:uid="{40F57775-7C59-4790-BE16-C3A2C89F68A2}"/>
    <cellStyle name="Note 2 5 9 3" xfId="23534" xr:uid="{A85463D3-EC56-4C22-93BB-4AD27CC2F8E0}"/>
    <cellStyle name="Note 2 6" xfId="9587" xr:uid="{DE0DCBC9-1C06-4AD6-BDCF-10B3C6A625B6}"/>
    <cellStyle name="Note 2 7" xfId="8791" xr:uid="{7AC3614D-154D-4BB0-B207-B3151ECF2433}"/>
    <cellStyle name="Note 2 7 2" xfId="18115" xr:uid="{674AB540-7B99-42C7-889E-051217A7EC8F}"/>
    <cellStyle name="Note 2 7 3" xfId="27413" xr:uid="{1B6D201C-530C-4C05-939D-BC3C8CAFD7CA}"/>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7D15D108-75C4-4138-AB0B-33F8BF508F28}"/>
    <cellStyle name="Note 3 2 10 2 3" xfId="25680" xr:uid="{3E706E8C-5FBA-4E4B-BC61-8BD9206014E3}"/>
    <cellStyle name="Note 3 2 10 3" xfId="12164" xr:uid="{117D4495-3850-4E58-8197-7AA60EBB1874}"/>
    <cellStyle name="Note 3 2 10 4" xfId="21463" xr:uid="{F8BF7718-00F0-4B91-A9A4-C06F19CAFB18}"/>
    <cellStyle name="Note 3 2 11" xfId="4910" xr:uid="{00000000-0005-0000-0000-00004D210000}"/>
    <cellStyle name="Note 3 2 11 2" xfId="14236" xr:uid="{B9620EEB-8114-459E-8669-BFB11A2986FF}"/>
    <cellStyle name="Note 3 2 11 3" xfId="23535" xr:uid="{3819D134-018F-420C-AD64-6E03801DEACA}"/>
    <cellStyle name="Note 3 2 12" xfId="8842" xr:uid="{646587AC-B7A9-43E2-AC1E-1B77745805D8}"/>
    <cellStyle name="Note 3 2 12 2" xfId="18166" xr:uid="{BF35416E-8736-49E0-BC58-3709AB244B57}"/>
    <cellStyle name="Note 3 2 12 3" xfId="27464" xr:uid="{55FDC3D4-5537-4CD0-894C-FD4354FC80C5}"/>
    <cellStyle name="Note 3 2 13" xfId="10019" xr:uid="{A57FE710-959F-47E7-893C-50DC585A56A3}"/>
    <cellStyle name="Note 3 2 14" xfId="19318" xr:uid="{659DCACC-07E7-45A1-AE41-AE7723998886}"/>
    <cellStyle name="Note 3 2 2" xfId="555" xr:uid="{00000000-0005-0000-0000-00004E210000}"/>
    <cellStyle name="Note 3 2 2 10" xfId="4911" xr:uid="{00000000-0005-0000-0000-00004F210000}"/>
    <cellStyle name="Note 3 2 2 10 2" xfId="14237" xr:uid="{A25A5219-57C0-4412-81A8-C362045FE555}"/>
    <cellStyle name="Note 3 2 2 10 3" xfId="23536" xr:uid="{8C039694-E70D-4962-97A4-C2F9BEB92461}"/>
    <cellStyle name="Note 3 2 2 11" xfId="8945" xr:uid="{D320AF38-4F47-4266-9CB9-3BD7E15BFDAE}"/>
    <cellStyle name="Note 3 2 2 11 2" xfId="18269" xr:uid="{999E7ABC-F1D6-4871-AEF6-18D729B3AD69}"/>
    <cellStyle name="Note 3 2 2 11 3" xfId="27567" xr:uid="{1F2DFD4B-AA25-4C25-901A-FCC61E8989D8}"/>
    <cellStyle name="Note 3 2 2 12" xfId="10020" xr:uid="{AC1B95E7-355C-425C-8E36-6D1989D1D22B}"/>
    <cellStyle name="Note 3 2 2 13" xfId="19319" xr:uid="{6BF255F0-997A-4A9B-A7DA-777096620D74}"/>
    <cellStyle name="Note 3 2 2 2" xfId="556" xr:uid="{00000000-0005-0000-0000-000050210000}"/>
    <cellStyle name="Note 3 2 2 2 10" xfId="9152" xr:uid="{24874F5B-4700-44ED-9556-84C4E89A274D}"/>
    <cellStyle name="Note 3 2 2 2 10 2" xfId="18476" xr:uid="{442A65A1-F2B2-4A55-98BE-74858B6C546F}"/>
    <cellStyle name="Note 3 2 2 2 10 3" xfId="27774" xr:uid="{E9A80BD8-5486-4071-9E13-AA386CEFC955}"/>
    <cellStyle name="Note 3 2 2 2 11" xfId="10021" xr:uid="{8E1AD254-B614-49B7-87A9-CAE181907BD2}"/>
    <cellStyle name="Note 3 2 2 2 12" xfId="19320" xr:uid="{EBA2E380-C923-44E3-8C4F-E3521AEA9B73}"/>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49A32EC7-67AC-4262-BA1B-3652E40BC16E}"/>
    <cellStyle name="Note 3 2 2 2 2 2 2 3" xfId="26095" xr:uid="{69326F5B-3C92-4B6E-9FFA-FA426D449FA0}"/>
    <cellStyle name="Note 3 2 2 2 2 2 3" xfId="12579" xr:uid="{05370F41-0349-4003-809A-C9EA32EB7C75}"/>
    <cellStyle name="Note 3 2 2 2 2 2 4" xfId="21878" xr:uid="{27D7A856-2734-4137-86AE-5E40B922565C}"/>
    <cellStyle name="Note 3 2 2 2 2 3" xfId="5325" xr:uid="{00000000-0005-0000-0000-000054210000}"/>
    <cellStyle name="Note 3 2 2 2 2 3 2" xfId="14651" xr:uid="{3BAC928A-CE62-419C-906D-84162C77AB4A}"/>
    <cellStyle name="Note 3 2 2 2 2 3 3" xfId="23950" xr:uid="{36BD6EB0-BA44-4461-8EEE-5F62C82437E1}"/>
    <cellStyle name="Note 3 2 2 2 2 4" xfId="9577" xr:uid="{7C0C89D7-CA14-4942-89B2-D584AC810EDC}"/>
    <cellStyle name="Note 3 2 2 2 2 4 2" xfId="18892" xr:uid="{F8E8AF9A-5941-4B15-874B-B123C2D44E5D}"/>
    <cellStyle name="Note 3 2 2 2 2 4 3" xfId="28189" xr:uid="{46D6C945-F4A4-47DD-972C-54691EB9825E}"/>
    <cellStyle name="Note 3 2 2 2 2 5" xfId="10434" xr:uid="{92013466-DA8C-48FD-A81C-7C4CEFD820A7}"/>
    <cellStyle name="Note 3 2 2 2 2 6" xfId="19733" xr:uid="{406A27F0-85D7-4585-94AF-B51DE26CCC53}"/>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C58E6FE4-1983-4E00-9B39-25DD6AE8E00A}"/>
    <cellStyle name="Note 3 2 2 2 3 2 2 3" xfId="26508" xr:uid="{33E4EC6E-9779-4506-829D-D95E1796EF26}"/>
    <cellStyle name="Note 3 2 2 2 3 2 3" xfId="12992" xr:uid="{35538F2F-EDEB-4575-B8B9-CFAB583830D0}"/>
    <cellStyle name="Note 3 2 2 2 3 2 4" xfId="22291" xr:uid="{0E49DD11-355D-434C-B6EF-EE1ADFF8BC56}"/>
    <cellStyle name="Note 3 2 2 2 3 3" xfId="5738" xr:uid="{00000000-0005-0000-0000-000058210000}"/>
    <cellStyle name="Note 3 2 2 2 3 3 2" xfId="15064" xr:uid="{2F7D1F22-AACA-49C9-A8C1-1EC094946D7E}"/>
    <cellStyle name="Note 3 2 2 2 3 3 3" xfId="24363" xr:uid="{0BB42219-5A6C-4551-873B-FD2CFDFD5405}"/>
    <cellStyle name="Note 3 2 2 2 3 4" xfId="10847" xr:uid="{5FCF2DE0-3C30-46A8-A225-CCD84E3F1412}"/>
    <cellStyle name="Note 3 2 2 2 3 5" xfId="20146" xr:uid="{9C5DD52D-CBD0-4C9A-AA41-B06975838924}"/>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B6EAD91A-85DD-4B98-AD84-D48BA624B2AF}"/>
    <cellStyle name="Note 3 2 2 2 4 2 2 3" xfId="26921" xr:uid="{A23005BB-4ED8-49E3-B667-9B3620848EF7}"/>
    <cellStyle name="Note 3 2 2 2 4 2 3" xfId="13405" xr:uid="{EB6FF2F7-3327-49B2-810D-B0994E71150B}"/>
    <cellStyle name="Note 3 2 2 2 4 2 4" xfId="22704" xr:uid="{B12D9B9E-2DD7-4BF3-8A1E-A2EDF4162BE9}"/>
    <cellStyle name="Note 3 2 2 2 4 3" xfId="6151" xr:uid="{00000000-0005-0000-0000-00005C210000}"/>
    <cellStyle name="Note 3 2 2 2 4 3 2" xfId="15477" xr:uid="{84741FC5-4B19-427A-B4B6-CC9E464259BE}"/>
    <cellStyle name="Note 3 2 2 2 4 3 3" xfId="24776" xr:uid="{CB37C70E-EA24-4149-B6B8-3F867D825D81}"/>
    <cellStyle name="Note 3 2 2 2 4 4" xfId="11260" xr:uid="{5E99FF5C-F596-4953-942B-72B3CFA35F5A}"/>
    <cellStyle name="Note 3 2 2 2 4 5" xfId="20559" xr:uid="{4F9B86DD-16FD-4910-9994-24D62FA8245C}"/>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FD3CAF07-066C-4BC3-B25F-30CE9E54984F}"/>
    <cellStyle name="Note 3 2 2 2 5 2 2 3" xfId="27334" xr:uid="{F466BCBE-D645-4769-84B1-63F3C9C2A007}"/>
    <cellStyle name="Note 3 2 2 2 5 2 3" xfId="13818" xr:uid="{8F910EB0-C5C4-49F9-BD7E-302CC08B5575}"/>
    <cellStyle name="Note 3 2 2 2 5 2 4" xfId="23117" xr:uid="{0E8B124F-BAC4-4678-9FAA-1AF38E601025}"/>
    <cellStyle name="Note 3 2 2 2 5 3" xfId="6564" xr:uid="{00000000-0005-0000-0000-000060210000}"/>
    <cellStyle name="Note 3 2 2 2 5 3 2" xfId="15890" xr:uid="{74C18A38-E683-4121-AA86-4D36641F773E}"/>
    <cellStyle name="Note 3 2 2 2 5 3 3" xfId="25189" xr:uid="{E97EA2E0-05E5-475C-B902-A3E8882E438B}"/>
    <cellStyle name="Note 3 2 2 2 5 4" xfId="11673" xr:uid="{B35E330A-8DD8-4412-92E2-01A7DFC103A8}"/>
    <cellStyle name="Note 3 2 2 2 5 5" xfId="20972" xr:uid="{2ACE0FD9-86F5-484C-9EED-4D7EB3DA3DF6}"/>
    <cellStyle name="Note 3 2 2 2 6" xfId="2694" xr:uid="{00000000-0005-0000-0000-000061210000}"/>
    <cellStyle name="Note 3 2 2 2 6 2" xfId="6977" xr:uid="{00000000-0005-0000-0000-000062210000}"/>
    <cellStyle name="Note 3 2 2 2 6 2 2" xfId="16303" xr:uid="{44AAECB4-9E0F-4017-A77C-3401F0501C8D}"/>
    <cellStyle name="Note 3 2 2 2 6 2 3" xfId="25602" xr:uid="{48110D91-C6C2-469E-AD7D-AB3643EC4567}"/>
    <cellStyle name="Note 3 2 2 2 6 3" xfId="12086" xr:uid="{330AE42A-05F5-4841-B82A-17EF81C196A6}"/>
    <cellStyle name="Note 3 2 2 2 6 4" xfId="21385" xr:uid="{0AF0A114-1C17-48B0-A8E4-DB3F60E96D4A}"/>
    <cellStyle name="Note 3 2 2 2 7" xfId="2753" xr:uid="{00000000-0005-0000-0000-000063210000}"/>
    <cellStyle name="Note 3 2 2 2 8" xfId="2834" xr:uid="{00000000-0005-0000-0000-000064210000}"/>
    <cellStyle name="Note 3 2 2 2 8 2" xfId="7057" xr:uid="{00000000-0005-0000-0000-000065210000}"/>
    <cellStyle name="Note 3 2 2 2 8 2 2" xfId="16383" xr:uid="{5F1A273C-1F09-4CE2-83B4-FD5B49A40653}"/>
    <cellStyle name="Note 3 2 2 2 8 2 3" xfId="25682" xr:uid="{A0252965-D226-4406-8A7A-AED2A6568A92}"/>
    <cellStyle name="Note 3 2 2 2 8 3" xfId="12166" xr:uid="{0C6E5057-DA23-4054-833F-C21A20F534FF}"/>
    <cellStyle name="Note 3 2 2 2 8 4" xfId="21465" xr:uid="{AEFE179B-1D1E-4A1B-9B4E-FE52AA276807}"/>
    <cellStyle name="Note 3 2 2 2 9" xfId="4912" xr:uid="{00000000-0005-0000-0000-000066210000}"/>
    <cellStyle name="Note 3 2 2 2 9 2" xfId="14238" xr:uid="{8B6BE81E-8C36-4E58-8CD5-1FB62A816A2E}"/>
    <cellStyle name="Note 3 2 2 2 9 3" xfId="23537" xr:uid="{33188F34-B581-46B8-A606-8FFA8B4A8DB0}"/>
    <cellStyle name="Note 3 2 2 3" xfId="1015" xr:uid="{00000000-0005-0000-0000-000067210000}"/>
    <cellStyle name="Note 3 2 2 3 2" xfId="3247" xr:uid="{00000000-0005-0000-0000-000068210000}"/>
    <cellStyle name="Note 3 2 2 3 2 2" xfId="7469" xr:uid="{00000000-0005-0000-0000-000069210000}"/>
    <cellStyle name="Note 3 2 2 3 2 2 2" xfId="16795" xr:uid="{D26999F5-41F8-41A5-ACCF-61A65929F438}"/>
    <cellStyle name="Note 3 2 2 3 2 2 3" xfId="26094" xr:uid="{78AAEDA3-C994-460D-BFCC-28588555B91B}"/>
    <cellStyle name="Note 3 2 2 3 2 3" xfId="12578" xr:uid="{8AB1A468-4795-44F0-9818-AB66FEF45098}"/>
    <cellStyle name="Note 3 2 2 3 2 4" xfId="21877" xr:uid="{1BBE9B84-3106-4722-AF28-E75F35C0B631}"/>
    <cellStyle name="Note 3 2 2 3 3" xfId="5324" xr:uid="{00000000-0005-0000-0000-00006A210000}"/>
    <cellStyle name="Note 3 2 2 3 3 2" xfId="14650" xr:uid="{0DE4C1CB-9691-4EBB-9705-A8CEBFBE0312}"/>
    <cellStyle name="Note 3 2 2 3 3 3" xfId="23949" xr:uid="{DFBAB7B2-7A8E-4AA3-B6FF-338539073BA2}"/>
    <cellStyle name="Note 3 2 2 3 4" xfId="9370" xr:uid="{7A803908-679B-4EF0-9BD4-89724B1FB321}"/>
    <cellStyle name="Note 3 2 2 3 4 2" xfId="18685" xr:uid="{925D420E-0764-4979-8A63-8CAEC2455EFB}"/>
    <cellStyle name="Note 3 2 2 3 4 3" xfId="27982" xr:uid="{5592E3FA-E5FB-44D5-8756-6ACDA2B93521}"/>
    <cellStyle name="Note 3 2 2 3 5" xfId="10433" xr:uid="{37BFDC42-2F40-4589-805B-5484DD884C38}"/>
    <cellStyle name="Note 3 2 2 3 6" xfId="19732" xr:uid="{1AB7AD1A-7DC8-480B-839C-46E3F0D821A6}"/>
    <cellStyle name="Note 3 2 2 4" xfId="1430" xr:uid="{00000000-0005-0000-0000-00006B210000}"/>
    <cellStyle name="Note 3 2 2 4 2" xfId="3660" xr:uid="{00000000-0005-0000-0000-00006C210000}"/>
    <cellStyle name="Note 3 2 2 4 2 2" xfId="7882" xr:uid="{00000000-0005-0000-0000-00006D210000}"/>
    <cellStyle name="Note 3 2 2 4 2 2 2" xfId="17208" xr:uid="{DFED9447-613D-4A33-80BD-944B68084D7E}"/>
    <cellStyle name="Note 3 2 2 4 2 2 3" xfId="26507" xr:uid="{60228E5D-C799-489E-BF83-FB7DB97C72D5}"/>
    <cellStyle name="Note 3 2 2 4 2 3" xfId="12991" xr:uid="{68641764-1097-467D-BEB0-9E9EB65E128B}"/>
    <cellStyle name="Note 3 2 2 4 2 4" xfId="22290" xr:uid="{BDEF5C63-3F3E-4559-AB08-F9196D4501FA}"/>
    <cellStyle name="Note 3 2 2 4 3" xfId="5737" xr:uid="{00000000-0005-0000-0000-00006E210000}"/>
    <cellStyle name="Note 3 2 2 4 3 2" xfId="15063" xr:uid="{DDDC8683-8E35-481D-89C5-BA53295F9450}"/>
    <cellStyle name="Note 3 2 2 4 3 3" xfId="24362" xr:uid="{9726D376-9CC5-4AB6-8ADE-A474939E73A5}"/>
    <cellStyle name="Note 3 2 2 4 4" xfId="10846" xr:uid="{2084B4FC-DBE3-4B88-9D9E-251F4009EF3E}"/>
    <cellStyle name="Note 3 2 2 4 5" xfId="20145" xr:uid="{D6F0AAE0-07D0-4126-B46B-7F66B9A91E28}"/>
    <cellStyle name="Note 3 2 2 5" xfId="1844" xr:uid="{00000000-0005-0000-0000-00006F210000}"/>
    <cellStyle name="Note 3 2 2 5 2" xfId="4073" xr:uid="{00000000-0005-0000-0000-000070210000}"/>
    <cellStyle name="Note 3 2 2 5 2 2" xfId="8295" xr:uid="{00000000-0005-0000-0000-000071210000}"/>
    <cellStyle name="Note 3 2 2 5 2 2 2" xfId="17621" xr:uid="{5AE908E4-3E86-40B1-AA86-61C62D9A6A7D}"/>
    <cellStyle name="Note 3 2 2 5 2 2 3" xfId="26920" xr:uid="{5CA8AFA8-C4EE-424D-AD6C-7D097A937D7D}"/>
    <cellStyle name="Note 3 2 2 5 2 3" xfId="13404" xr:uid="{1DEBA565-8001-4C8D-9D2E-7E39CFB3BA45}"/>
    <cellStyle name="Note 3 2 2 5 2 4" xfId="22703" xr:uid="{78F6ADEA-266D-4245-9BF2-CF907E50BFCB}"/>
    <cellStyle name="Note 3 2 2 5 3" xfId="6150" xr:uid="{00000000-0005-0000-0000-000072210000}"/>
    <cellStyle name="Note 3 2 2 5 3 2" xfId="15476" xr:uid="{0393DA1C-852A-4D43-9754-8DBFFC46433E}"/>
    <cellStyle name="Note 3 2 2 5 3 3" xfId="24775" xr:uid="{FBC85B3A-E661-43F9-9226-78EB11ACB156}"/>
    <cellStyle name="Note 3 2 2 5 4" xfId="11259" xr:uid="{99F9E468-29B3-40F0-B89D-3C0553627840}"/>
    <cellStyle name="Note 3 2 2 5 5" xfId="20558" xr:uid="{0B74C6B2-082A-423F-9C54-BEC44BB6B854}"/>
    <cellStyle name="Note 3 2 2 6" xfId="2257" xr:uid="{00000000-0005-0000-0000-000073210000}"/>
    <cellStyle name="Note 3 2 2 6 2" xfId="4486" xr:uid="{00000000-0005-0000-0000-000074210000}"/>
    <cellStyle name="Note 3 2 2 6 2 2" xfId="8708" xr:uid="{00000000-0005-0000-0000-000075210000}"/>
    <cellStyle name="Note 3 2 2 6 2 2 2" xfId="18034" xr:uid="{5BAD5612-8C3B-491E-ACAC-9BDBF89861EB}"/>
    <cellStyle name="Note 3 2 2 6 2 2 3" xfId="27333" xr:uid="{5FC9070B-EE9F-4D2B-8C62-D3481CB77A5E}"/>
    <cellStyle name="Note 3 2 2 6 2 3" xfId="13817" xr:uid="{E9DBA709-9FFE-4709-BBC4-9FF556F98FF4}"/>
    <cellStyle name="Note 3 2 2 6 2 4" xfId="23116" xr:uid="{F44FD627-A618-4588-81D1-6DD12BEE1F15}"/>
    <cellStyle name="Note 3 2 2 6 3" xfId="6563" xr:uid="{00000000-0005-0000-0000-000076210000}"/>
    <cellStyle name="Note 3 2 2 6 3 2" xfId="15889" xr:uid="{9BD04903-6E92-4C0B-BDAF-7FA27EF21D8A}"/>
    <cellStyle name="Note 3 2 2 6 3 3" xfId="25188" xr:uid="{C4C4A233-C5C1-4430-BD42-A3B98456A1D0}"/>
    <cellStyle name="Note 3 2 2 6 4" xfId="11672" xr:uid="{A3DD2793-5FD7-4872-B1EA-6B9E361F4426}"/>
    <cellStyle name="Note 3 2 2 6 5" xfId="20971" xr:uid="{E8B1DF26-9949-4817-8F6B-FA94DC9BF119}"/>
    <cellStyle name="Note 3 2 2 7" xfId="2693" xr:uid="{00000000-0005-0000-0000-000077210000}"/>
    <cellStyle name="Note 3 2 2 7 2" xfId="6976" xr:uid="{00000000-0005-0000-0000-000078210000}"/>
    <cellStyle name="Note 3 2 2 7 2 2" xfId="16302" xr:uid="{0EFCE53B-6D05-4B14-BCFA-64DA403D6BD7}"/>
    <cellStyle name="Note 3 2 2 7 2 3" xfId="25601" xr:uid="{A9E91125-346B-4488-B801-097522E168C8}"/>
    <cellStyle name="Note 3 2 2 7 3" xfId="12085" xr:uid="{EEDC2E4D-A5B3-4B45-BC7A-95C5CBE1829E}"/>
    <cellStyle name="Note 3 2 2 7 4" xfId="21384" xr:uid="{C8E4922A-070F-44FC-9B4C-7E9B68B40817}"/>
    <cellStyle name="Note 3 2 2 8" xfId="2752" xr:uid="{00000000-0005-0000-0000-000079210000}"/>
    <cellStyle name="Note 3 2 2 9" xfId="2833" xr:uid="{00000000-0005-0000-0000-00007A210000}"/>
    <cellStyle name="Note 3 2 2 9 2" xfId="7056" xr:uid="{00000000-0005-0000-0000-00007B210000}"/>
    <cellStyle name="Note 3 2 2 9 2 2" xfId="16382" xr:uid="{E3668E29-21F8-441C-9B24-8723E75E7943}"/>
    <cellStyle name="Note 3 2 2 9 2 3" xfId="25681" xr:uid="{764588C6-6869-43EC-9362-037D7CE5CC1F}"/>
    <cellStyle name="Note 3 2 2 9 3" xfId="12165" xr:uid="{B34B7B75-B557-4856-918C-ED6DC8DF77DA}"/>
    <cellStyle name="Note 3 2 2 9 4" xfId="21464" xr:uid="{1B151972-CC5D-4BE5-AF97-F5D39A2AFD6E}"/>
    <cellStyle name="Note 3 2 3" xfId="557" xr:uid="{00000000-0005-0000-0000-00007C210000}"/>
    <cellStyle name="Note 3 2 3 10" xfId="9049" xr:uid="{98DA21AE-8EED-4AF2-A5D5-94394E9C9EFE}"/>
    <cellStyle name="Note 3 2 3 10 2" xfId="18373" xr:uid="{345D86D4-8F70-4A31-8E49-1C3EFA0A84B5}"/>
    <cellStyle name="Note 3 2 3 10 3" xfId="27671" xr:uid="{4A2B7552-DD71-43D3-BDD3-F335BC8CE46C}"/>
    <cellStyle name="Note 3 2 3 11" xfId="10022" xr:uid="{43A05645-6252-40B7-9DBF-0B1E479D1317}"/>
    <cellStyle name="Note 3 2 3 12" xfId="19321" xr:uid="{9CCE8EE0-6B37-4469-BD6C-6B71BAAF75DF}"/>
    <cellStyle name="Note 3 2 3 2" xfId="1017" xr:uid="{00000000-0005-0000-0000-00007D210000}"/>
    <cellStyle name="Note 3 2 3 2 2" xfId="3249" xr:uid="{00000000-0005-0000-0000-00007E210000}"/>
    <cellStyle name="Note 3 2 3 2 2 2" xfId="7471" xr:uid="{00000000-0005-0000-0000-00007F210000}"/>
    <cellStyle name="Note 3 2 3 2 2 2 2" xfId="16797" xr:uid="{E0D185A4-58F7-4589-8483-2F633B989E58}"/>
    <cellStyle name="Note 3 2 3 2 2 2 3" xfId="26096" xr:uid="{E4363895-2650-47F3-BEB3-C4BFAF4017CD}"/>
    <cellStyle name="Note 3 2 3 2 2 3" xfId="12580" xr:uid="{0A4884BB-BE89-4524-9984-EBFCDF0466DA}"/>
    <cellStyle name="Note 3 2 3 2 2 4" xfId="21879" xr:uid="{AC5A4BCC-6972-44F5-B00C-7795B3CCCD9B}"/>
    <cellStyle name="Note 3 2 3 2 3" xfId="5326" xr:uid="{00000000-0005-0000-0000-000080210000}"/>
    <cellStyle name="Note 3 2 3 2 3 2" xfId="14652" xr:uid="{A7233703-9E02-477B-AF11-F714CB5BEEE7}"/>
    <cellStyle name="Note 3 2 3 2 3 3" xfId="23951" xr:uid="{37560715-52B4-4B4C-87B7-14F1AEDEB643}"/>
    <cellStyle name="Note 3 2 3 2 4" xfId="9474" xr:uid="{8827394E-7DCF-4E58-BF45-94E8587F7D91}"/>
    <cellStyle name="Note 3 2 3 2 4 2" xfId="18789" xr:uid="{3304A512-730D-481C-9512-D54DA8CD4FA8}"/>
    <cellStyle name="Note 3 2 3 2 4 3" xfId="28086" xr:uid="{9125BBE8-3990-48F9-B7D1-77CA0628861A}"/>
    <cellStyle name="Note 3 2 3 2 5" xfId="10435" xr:uid="{68EE7BCF-B0E0-44C3-AEE3-0B10E5FD25E4}"/>
    <cellStyle name="Note 3 2 3 2 6" xfId="19734" xr:uid="{2F1DC96C-6DF9-4E85-B891-6AF5679CDFE6}"/>
    <cellStyle name="Note 3 2 3 3" xfId="1432" xr:uid="{00000000-0005-0000-0000-000081210000}"/>
    <cellStyle name="Note 3 2 3 3 2" xfId="3662" xr:uid="{00000000-0005-0000-0000-000082210000}"/>
    <cellStyle name="Note 3 2 3 3 2 2" xfId="7884" xr:uid="{00000000-0005-0000-0000-000083210000}"/>
    <cellStyle name="Note 3 2 3 3 2 2 2" xfId="17210" xr:uid="{7E1D63C5-03F2-4352-87F4-22A6065DC849}"/>
    <cellStyle name="Note 3 2 3 3 2 2 3" xfId="26509" xr:uid="{F643C60B-5B0A-4922-B564-FCE96F73180E}"/>
    <cellStyle name="Note 3 2 3 3 2 3" xfId="12993" xr:uid="{EFA62CBE-B83C-4D99-B883-D52AEEA34FB0}"/>
    <cellStyle name="Note 3 2 3 3 2 4" xfId="22292" xr:uid="{313E7020-1159-44C0-A6C8-B40E8E5FB552}"/>
    <cellStyle name="Note 3 2 3 3 3" xfId="5739" xr:uid="{00000000-0005-0000-0000-000084210000}"/>
    <cellStyle name="Note 3 2 3 3 3 2" xfId="15065" xr:uid="{050F7789-E4EE-401C-AC92-435BC6A510F5}"/>
    <cellStyle name="Note 3 2 3 3 3 3" xfId="24364" xr:uid="{67DB24C4-39C8-44EC-BCDA-6946DD89F0AE}"/>
    <cellStyle name="Note 3 2 3 3 4" xfId="10848" xr:uid="{6FD2C288-476E-419E-993E-617D2AA28685}"/>
    <cellStyle name="Note 3 2 3 3 5" xfId="20147" xr:uid="{E5C2836D-FD3D-476E-80D7-B0BF8AA9FC77}"/>
    <cellStyle name="Note 3 2 3 4" xfId="1846" xr:uid="{00000000-0005-0000-0000-000085210000}"/>
    <cellStyle name="Note 3 2 3 4 2" xfId="4075" xr:uid="{00000000-0005-0000-0000-000086210000}"/>
    <cellStyle name="Note 3 2 3 4 2 2" xfId="8297" xr:uid="{00000000-0005-0000-0000-000087210000}"/>
    <cellStyle name="Note 3 2 3 4 2 2 2" xfId="17623" xr:uid="{004B37D5-92ED-43CF-80CD-849347914745}"/>
    <cellStyle name="Note 3 2 3 4 2 2 3" xfId="26922" xr:uid="{946DDE26-3B83-4776-B160-2B360158C1A6}"/>
    <cellStyle name="Note 3 2 3 4 2 3" xfId="13406" xr:uid="{5B9FC652-885B-46C7-92DF-6B0ECCC9DE46}"/>
    <cellStyle name="Note 3 2 3 4 2 4" xfId="22705" xr:uid="{2E1B4E46-BC9E-4FDF-9656-16C13949223E}"/>
    <cellStyle name="Note 3 2 3 4 3" xfId="6152" xr:uid="{00000000-0005-0000-0000-000088210000}"/>
    <cellStyle name="Note 3 2 3 4 3 2" xfId="15478" xr:uid="{7C80BF95-7D84-42D6-848D-D8507A733256}"/>
    <cellStyle name="Note 3 2 3 4 3 3" xfId="24777" xr:uid="{34B153A9-60D7-40CB-BE19-5734893FC418}"/>
    <cellStyle name="Note 3 2 3 4 4" xfId="11261" xr:uid="{BF0AAF3A-ED89-4253-ABD0-80CF1A1121A2}"/>
    <cellStyle name="Note 3 2 3 4 5" xfId="20560" xr:uid="{80CEC9DA-44B1-4C8E-8126-2CEBEA007C0E}"/>
    <cellStyle name="Note 3 2 3 5" xfId="2259" xr:uid="{00000000-0005-0000-0000-000089210000}"/>
    <cellStyle name="Note 3 2 3 5 2" xfId="4488" xr:uid="{00000000-0005-0000-0000-00008A210000}"/>
    <cellStyle name="Note 3 2 3 5 2 2" xfId="8710" xr:uid="{00000000-0005-0000-0000-00008B210000}"/>
    <cellStyle name="Note 3 2 3 5 2 2 2" xfId="18036" xr:uid="{6739D84A-4CE2-4CC0-AA05-19F8E23A9FF5}"/>
    <cellStyle name="Note 3 2 3 5 2 2 3" xfId="27335" xr:uid="{979626BE-DFB1-4A8B-8C2F-EFB043F78A61}"/>
    <cellStyle name="Note 3 2 3 5 2 3" xfId="13819" xr:uid="{0DBB3AFB-0C55-4BC2-B382-692736FFB6E0}"/>
    <cellStyle name="Note 3 2 3 5 2 4" xfId="23118" xr:uid="{FE7E3F8D-F5F8-4890-83FB-90368421FF7F}"/>
    <cellStyle name="Note 3 2 3 5 3" xfId="6565" xr:uid="{00000000-0005-0000-0000-00008C210000}"/>
    <cellStyle name="Note 3 2 3 5 3 2" xfId="15891" xr:uid="{173289FC-1213-4BF2-A63C-158A3965EDCC}"/>
    <cellStyle name="Note 3 2 3 5 3 3" xfId="25190" xr:uid="{E9D2E103-37AC-47AF-A920-819F1569D370}"/>
    <cellStyle name="Note 3 2 3 5 4" xfId="11674" xr:uid="{6F666003-100B-4658-A725-02E0D51F460F}"/>
    <cellStyle name="Note 3 2 3 5 5" xfId="20973" xr:uid="{BBB2E3D2-C00F-4C3B-B276-A1727510C6E0}"/>
    <cellStyle name="Note 3 2 3 6" xfId="2695" xr:uid="{00000000-0005-0000-0000-00008D210000}"/>
    <cellStyle name="Note 3 2 3 6 2" xfId="6978" xr:uid="{00000000-0005-0000-0000-00008E210000}"/>
    <cellStyle name="Note 3 2 3 6 2 2" xfId="16304" xr:uid="{D2849A57-C90E-49C0-AC91-71BBB50589A3}"/>
    <cellStyle name="Note 3 2 3 6 2 3" xfId="25603" xr:uid="{1F15E00C-361D-48E3-AF90-95A32ED8913E}"/>
    <cellStyle name="Note 3 2 3 6 3" xfId="12087" xr:uid="{2D38BE8F-B974-494D-9DBE-16BB26DA4CFA}"/>
    <cellStyle name="Note 3 2 3 6 4" xfId="21386" xr:uid="{D91C55E8-070F-42EC-A22D-B3E694E19802}"/>
    <cellStyle name="Note 3 2 3 7" xfId="2754" xr:uid="{00000000-0005-0000-0000-00008F210000}"/>
    <cellStyle name="Note 3 2 3 8" xfId="2835" xr:uid="{00000000-0005-0000-0000-000090210000}"/>
    <cellStyle name="Note 3 2 3 8 2" xfId="7058" xr:uid="{00000000-0005-0000-0000-000091210000}"/>
    <cellStyle name="Note 3 2 3 8 2 2" xfId="16384" xr:uid="{7170FDB3-C57A-4696-9B81-D4AE7C7C4137}"/>
    <cellStyle name="Note 3 2 3 8 2 3" xfId="25683" xr:uid="{2252AD7D-DC81-4512-BCFC-797BCBAEFFFD}"/>
    <cellStyle name="Note 3 2 3 8 3" xfId="12167" xr:uid="{CA9DED93-75E0-4446-B149-133D5F212A22}"/>
    <cellStyle name="Note 3 2 3 8 4" xfId="21466" xr:uid="{90E51F8E-E0A5-4CDE-A935-F9EB16FADEE2}"/>
    <cellStyle name="Note 3 2 3 9" xfId="4913" xr:uid="{00000000-0005-0000-0000-000092210000}"/>
    <cellStyle name="Note 3 2 3 9 2" xfId="14239" xr:uid="{B42C0614-5BF5-43C9-BBD0-E33DE929FDFD}"/>
    <cellStyle name="Note 3 2 3 9 3" xfId="23538" xr:uid="{6EFEE2D0-E2D0-4499-A4FA-6BDC7CBB5121}"/>
    <cellStyle name="Note 3 2 4" xfId="1014" xr:uid="{00000000-0005-0000-0000-000093210000}"/>
    <cellStyle name="Note 3 2 4 2" xfId="3246" xr:uid="{00000000-0005-0000-0000-000094210000}"/>
    <cellStyle name="Note 3 2 4 2 2" xfId="7468" xr:uid="{00000000-0005-0000-0000-000095210000}"/>
    <cellStyle name="Note 3 2 4 2 2 2" xfId="16794" xr:uid="{CE5C39B6-1B96-41D6-86D5-E4325FD8A72F}"/>
    <cellStyle name="Note 3 2 4 2 2 3" xfId="26093" xr:uid="{0EBF9386-E4A6-43B4-9517-82C69FE4D0F4}"/>
    <cellStyle name="Note 3 2 4 2 3" xfId="12577" xr:uid="{8CA444B0-AE3F-42C2-9094-82C3E8D46FA9}"/>
    <cellStyle name="Note 3 2 4 2 4" xfId="21876" xr:uid="{2290049B-928F-4500-8ACB-41CD38F58BD4}"/>
    <cellStyle name="Note 3 2 4 3" xfId="5323" xr:uid="{00000000-0005-0000-0000-000096210000}"/>
    <cellStyle name="Note 3 2 4 3 2" xfId="14649" xr:uid="{37EB47DA-2536-4BB1-B29D-0197FF5650A0}"/>
    <cellStyle name="Note 3 2 4 3 3" xfId="23948" xr:uid="{A5367715-BEF1-4426-8FD2-2D5CA22FF5A3}"/>
    <cellStyle name="Note 3 2 4 4" xfId="9267" xr:uid="{1291CED5-E18E-4F1A-8856-A132B18F5C81}"/>
    <cellStyle name="Note 3 2 4 4 2" xfId="18582" xr:uid="{45379C7F-1D00-4C5D-A939-F47A0EA0EA6B}"/>
    <cellStyle name="Note 3 2 4 4 3" xfId="27879" xr:uid="{ED5F0B0D-D8FF-4A42-914C-C5B236C79E73}"/>
    <cellStyle name="Note 3 2 4 5" xfId="10432" xr:uid="{57C5F9F8-15DA-45DC-A088-72071B634C5C}"/>
    <cellStyle name="Note 3 2 4 6" xfId="19731" xr:uid="{DCE8A536-D763-4DBA-9585-E560070FFB3B}"/>
    <cellStyle name="Note 3 2 5" xfId="1429" xr:uid="{00000000-0005-0000-0000-000097210000}"/>
    <cellStyle name="Note 3 2 5 2" xfId="3659" xr:uid="{00000000-0005-0000-0000-000098210000}"/>
    <cellStyle name="Note 3 2 5 2 2" xfId="7881" xr:uid="{00000000-0005-0000-0000-000099210000}"/>
    <cellStyle name="Note 3 2 5 2 2 2" xfId="17207" xr:uid="{75CFCD0A-8D85-40B8-9C56-2A6638C2AB3B}"/>
    <cellStyle name="Note 3 2 5 2 2 3" xfId="26506" xr:uid="{11D328BE-1B5E-4665-B0BD-3E486AC03A31}"/>
    <cellStyle name="Note 3 2 5 2 3" xfId="12990" xr:uid="{16A58A8E-0643-44BC-A289-04D5A6A267B0}"/>
    <cellStyle name="Note 3 2 5 2 4" xfId="22289" xr:uid="{31628620-DD06-43B2-8E06-CEE2A93137C4}"/>
    <cellStyle name="Note 3 2 5 3" xfId="5736" xr:uid="{00000000-0005-0000-0000-00009A210000}"/>
    <cellStyle name="Note 3 2 5 3 2" xfId="15062" xr:uid="{3F3707BB-6A75-4B58-8537-A9F37F509E8F}"/>
    <cellStyle name="Note 3 2 5 3 3" xfId="24361" xr:uid="{D726CC60-8148-4BF2-B450-BFB29B3F7C88}"/>
    <cellStyle name="Note 3 2 5 4" xfId="10845" xr:uid="{706EE169-2C5E-4142-816B-4FFA078C8C29}"/>
    <cellStyle name="Note 3 2 5 5" xfId="20144" xr:uid="{E8AF50EA-0DAF-4449-936A-095B9170BE12}"/>
    <cellStyle name="Note 3 2 6" xfId="1843" xr:uid="{00000000-0005-0000-0000-00009B210000}"/>
    <cellStyle name="Note 3 2 6 2" xfId="4072" xr:uid="{00000000-0005-0000-0000-00009C210000}"/>
    <cellStyle name="Note 3 2 6 2 2" xfId="8294" xr:uid="{00000000-0005-0000-0000-00009D210000}"/>
    <cellStyle name="Note 3 2 6 2 2 2" xfId="17620" xr:uid="{34B68482-2710-4EF6-9866-671F427C97E2}"/>
    <cellStyle name="Note 3 2 6 2 2 3" xfId="26919" xr:uid="{50EE6DEA-FE65-4B66-A58F-1B21B29B8DBE}"/>
    <cellStyle name="Note 3 2 6 2 3" xfId="13403" xr:uid="{26AD4D05-0029-4A4E-AF16-1D7DC7D1502C}"/>
    <cellStyle name="Note 3 2 6 2 4" xfId="22702" xr:uid="{4A546E7C-4113-4DF0-8CD3-340E94E5B1BC}"/>
    <cellStyle name="Note 3 2 6 3" xfId="6149" xr:uid="{00000000-0005-0000-0000-00009E210000}"/>
    <cellStyle name="Note 3 2 6 3 2" xfId="15475" xr:uid="{D572196A-B005-469A-AAC6-827751849066}"/>
    <cellStyle name="Note 3 2 6 3 3" xfId="24774" xr:uid="{48FE249E-811C-43C6-B0D4-90406E36FADF}"/>
    <cellStyle name="Note 3 2 6 4" xfId="11258" xr:uid="{43426905-5ACD-46D0-BA6D-3A679016EC3E}"/>
    <cellStyle name="Note 3 2 6 5" xfId="20557" xr:uid="{ABFD0AF0-33C1-4AB6-A2D0-144B8AF1A664}"/>
    <cellStyle name="Note 3 2 7" xfId="2256" xr:uid="{00000000-0005-0000-0000-00009F210000}"/>
    <cellStyle name="Note 3 2 7 2" xfId="4485" xr:uid="{00000000-0005-0000-0000-0000A0210000}"/>
    <cellStyle name="Note 3 2 7 2 2" xfId="8707" xr:uid="{00000000-0005-0000-0000-0000A1210000}"/>
    <cellStyle name="Note 3 2 7 2 2 2" xfId="18033" xr:uid="{F9A20E0F-7B9B-4131-9AA8-2B11CB9E79C9}"/>
    <cellStyle name="Note 3 2 7 2 2 3" xfId="27332" xr:uid="{057CBCEF-94A0-4732-B6B5-BE59B294E1DA}"/>
    <cellStyle name="Note 3 2 7 2 3" xfId="13816" xr:uid="{8D7AD0B9-7C21-44FC-AA24-9F8E7459664A}"/>
    <cellStyle name="Note 3 2 7 2 4" xfId="23115" xr:uid="{7996FCC0-EB6B-4662-8A52-E6C7AEFB0223}"/>
    <cellStyle name="Note 3 2 7 3" xfId="6562" xr:uid="{00000000-0005-0000-0000-0000A2210000}"/>
    <cellStyle name="Note 3 2 7 3 2" xfId="15888" xr:uid="{F6BD35AF-CA4A-49F8-8408-5413A1082FC5}"/>
    <cellStyle name="Note 3 2 7 3 3" xfId="25187" xr:uid="{88623240-15E5-42BF-B5E3-15A97733ADDB}"/>
    <cellStyle name="Note 3 2 7 4" xfId="11671" xr:uid="{7380555F-8050-4B9B-A85E-C62F2BA9614C}"/>
    <cellStyle name="Note 3 2 7 5" xfId="20970" xr:uid="{14A5D69B-A226-4FA1-AFC7-0B41751356C3}"/>
    <cellStyle name="Note 3 2 8" xfId="2692" xr:uid="{00000000-0005-0000-0000-0000A3210000}"/>
    <cellStyle name="Note 3 2 8 2" xfId="6975" xr:uid="{00000000-0005-0000-0000-0000A4210000}"/>
    <cellStyle name="Note 3 2 8 2 2" xfId="16301" xr:uid="{A6309B39-C4C4-4BAB-B1C7-30C7C0DD9A5D}"/>
    <cellStyle name="Note 3 2 8 2 3" xfId="25600" xr:uid="{7C4A3A4F-CAAF-43F3-8BD2-7C95AF9C3A97}"/>
    <cellStyle name="Note 3 2 8 3" xfId="12084" xr:uid="{3738DC49-3533-4159-9530-4BF465742088}"/>
    <cellStyle name="Note 3 2 8 4" xfId="21383" xr:uid="{C19D090C-ED26-46DA-9295-2A6E4A6ECFA3}"/>
    <cellStyle name="Note 3 2 9" xfId="2751" xr:uid="{00000000-0005-0000-0000-0000A5210000}"/>
    <cellStyle name="Note 3 3" xfId="558" xr:uid="{00000000-0005-0000-0000-0000A6210000}"/>
    <cellStyle name="Note 3 3 10" xfId="4914" xr:uid="{00000000-0005-0000-0000-0000A7210000}"/>
    <cellStyle name="Note 3 3 10 2" xfId="14240" xr:uid="{0EC62513-322E-4CD2-A791-833C41E8A5FB}"/>
    <cellStyle name="Note 3 3 10 3" xfId="23539" xr:uid="{EAD93891-B5CF-4033-96A8-2AB99C768E84}"/>
    <cellStyle name="Note 3 3 11" xfId="8892" xr:uid="{8511F94A-7472-4DD0-A9AB-40754FEE5F47}"/>
    <cellStyle name="Note 3 3 11 2" xfId="18216" xr:uid="{4B76045B-E68F-4A7A-8BD3-3E728C2F3365}"/>
    <cellStyle name="Note 3 3 11 3" xfId="27514" xr:uid="{0132CFD9-8F80-4C1B-AB7A-BD46EF0638B6}"/>
    <cellStyle name="Note 3 3 12" xfId="10023" xr:uid="{5865D311-E9AE-40C1-BDC4-1341826ACB69}"/>
    <cellStyle name="Note 3 3 13" xfId="19322" xr:uid="{38BF24EB-0D4D-4B5A-AFEC-53595D8B0846}"/>
    <cellStyle name="Note 3 3 2" xfId="559" xr:uid="{00000000-0005-0000-0000-0000A8210000}"/>
    <cellStyle name="Note 3 3 2 10" xfId="9099" xr:uid="{29F3AC20-D296-4B59-BA53-0A5C025B0569}"/>
    <cellStyle name="Note 3 3 2 10 2" xfId="18423" xr:uid="{598F0142-7E42-4FB4-9F23-977B47EE5EFB}"/>
    <cellStyle name="Note 3 3 2 10 3" xfId="27721" xr:uid="{5009BAEA-E02C-4375-9443-D9DCF454E26D}"/>
    <cellStyle name="Note 3 3 2 11" xfId="10024" xr:uid="{31717DF4-0D49-44D4-8D9F-09403C6F217A}"/>
    <cellStyle name="Note 3 3 2 12" xfId="19323" xr:uid="{61598808-11A9-420D-8E6C-BF142483FAF2}"/>
    <cellStyle name="Note 3 3 2 2" xfId="1019" xr:uid="{00000000-0005-0000-0000-0000A9210000}"/>
    <cellStyle name="Note 3 3 2 2 2" xfId="3251" xr:uid="{00000000-0005-0000-0000-0000AA210000}"/>
    <cellStyle name="Note 3 3 2 2 2 2" xfId="7473" xr:uid="{00000000-0005-0000-0000-0000AB210000}"/>
    <cellStyle name="Note 3 3 2 2 2 2 2" xfId="16799" xr:uid="{6F40F7A2-B320-456F-AB02-A8E3D68F1073}"/>
    <cellStyle name="Note 3 3 2 2 2 2 3" xfId="26098" xr:uid="{8AB6A434-DD0A-4324-9593-337BE032D028}"/>
    <cellStyle name="Note 3 3 2 2 2 3" xfId="12582" xr:uid="{BF202FF3-9B72-4AE9-8E6A-C7092F942443}"/>
    <cellStyle name="Note 3 3 2 2 2 4" xfId="21881" xr:uid="{99334E02-4B23-4D98-9CAA-89941CEAFBB1}"/>
    <cellStyle name="Note 3 3 2 2 3" xfId="5328" xr:uid="{00000000-0005-0000-0000-0000AC210000}"/>
    <cellStyle name="Note 3 3 2 2 3 2" xfId="14654" xr:uid="{1C9DBEAA-5088-4E4E-B2D4-D9F265D11883}"/>
    <cellStyle name="Note 3 3 2 2 3 3" xfId="23953" xr:uid="{354F8EED-70DC-48FF-8383-6AC77D7E96C0}"/>
    <cellStyle name="Note 3 3 2 2 4" xfId="9524" xr:uid="{D03F5DE7-D9AB-48C0-A1E3-0A929D2C18C5}"/>
    <cellStyle name="Note 3 3 2 2 4 2" xfId="18839" xr:uid="{03019599-8298-4F3D-A701-7383DB04D0C5}"/>
    <cellStyle name="Note 3 3 2 2 4 3" xfId="28136" xr:uid="{F6CC6547-EB6C-4FAE-BC0C-909566F05F7D}"/>
    <cellStyle name="Note 3 3 2 2 5" xfId="10437" xr:uid="{A96440A3-9622-492D-B89A-4A0F4FD22B32}"/>
    <cellStyle name="Note 3 3 2 2 6" xfId="19736" xr:uid="{7A82BE62-468C-4275-86FF-093A33FE546C}"/>
    <cellStyle name="Note 3 3 2 3" xfId="1434" xr:uid="{00000000-0005-0000-0000-0000AD210000}"/>
    <cellStyle name="Note 3 3 2 3 2" xfId="3664" xr:uid="{00000000-0005-0000-0000-0000AE210000}"/>
    <cellStyle name="Note 3 3 2 3 2 2" xfId="7886" xr:uid="{00000000-0005-0000-0000-0000AF210000}"/>
    <cellStyle name="Note 3 3 2 3 2 2 2" xfId="17212" xr:uid="{04D6F124-DE1F-403B-9022-D4F023CFDA3A}"/>
    <cellStyle name="Note 3 3 2 3 2 2 3" xfId="26511" xr:uid="{4B8B5594-3ABA-434D-B4EB-463645BFDFBC}"/>
    <cellStyle name="Note 3 3 2 3 2 3" xfId="12995" xr:uid="{59E995F3-8194-4A4E-9BE5-BE33A4B1AC0E}"/>
    <cellStyle name="Note 3 3 2 3 2 4" xfId="22294" xr:uid="{0320779B-2247-4C00-8D1D-6501C75C916D}"/>
    <cellStyle name="Note 3 3 2 3 3" xfId="5741" xr:uid="{00000000-0005-0000-0000-0000B0210000}"/>
    <cellStyle name="Note 3 3 2 3 3 2" xfId="15067" xr:uid="{B80FBCAB-23B3-423F-A200-300796DE7CE4}"/>
    <cellStyle name="Note 3 3 2 3 3 3" xfId="24366" xr:uid="{AB3F726A-B5EB-432D-90BA-42C3CC4CB0F1}"/>
    <cellStyle name="Note 3 3 2 3 4" xfId="10850" xr:uid="{CBE0E0D0-DEF4-4ECB-B004-43A19C5D2298}"/>
    <cellStyle name="Note 3 3 2 3 5" xfId="20149" xr:uid="{87035D28-2D89-450A-9581-006C0D9B694C}"/>
    <cellStyle name="Note 3 3 2 4" xfId="1848" xr:uid="{00000000-0005-0000-0000-0000B1210000}"/>
    <cellStyle name="Note 3 3 2 4 2" xfId="4077" xr:uid="{00000000-0005-0000-0000-0000B2210000}"/>
    <cellStyle name="Note 3 3 2 4 2 2" xfId="8299" xr:uid="{00000000-0005-0000-0000-0000B3210000}"/>
    <cellStyle name="Note 3 3 2 4 2 2 2" xfId="17625" xr:uid="{6523031A-9BBE-4B0F-A8C3-7D3FA789DE78}"/>
    <cellStyle name="Note 3 3 2 4 2 2 3" xfId="26924" xr:uid="{D1C21475-E678-4CC9-B2CA-C8149519A250}"/>
    <cellStyle name="Note 3 3 2 4 2 3" xfId="13408" xr:uid="{9A35B541-0AAE-419C-8DC7-73EADA7FCAB7}"/>
    <cellStyle name="Note 3 3 2 4 2 4" xfId="22707" xr:uid="{AF6794B3-D118-4A44-A01C-2ABF300A3406}"/>
    <cellStyle name="Note 3 3 2 4 3" xfId="6154" xr:uid="{00000000-0005-0000-0000-0000B4210000}"/>
    <cellStyle name="Note 3 3 2 4 3 2" xfId="15480" xr:uid="{11B67F0E-FAAE-4BD4-8181-04EFC6F87238}"/>
    <cellStyle name="Note 3 3 2 4 3 3" xfId="24779" xr:uid="{28768CBA-DB0F-4F91-BD74-221C21A3DCCE}"/>
    <cellStyle name="Note 3 3 2 4 4" xfId="11263" xr:uid="{B3543185-E4A8-4B24-8AC9-575AC41CA65D}"/>
    <cellStyle name="Note 3 3 2 4 5" xfId="20562" xr:uid="{42B9F770-31EE-45D5-A2A0-7EBB6F21BF42}"/>
    <cellStyle name="Note 3 3 2 5" xfId="2261" xr:uid="{00000000-0005-0000-0000-0000B5210000}"/>
    <cellStyle name="Note 3 3 2 5 2" xfId="4490" xr:uid="{00000000-0005-0000-0000-0000B6210000}"/>
    <cellStyle name="Note 3 3 2 5 2 2" xfId="8712" xr:uid="{00000000-0005-0000-0000-0000B7210000}"/>
    <cellStyle name="Note 3 3 2 5 2 2 2" xfId="18038" xr:uid="{D9D1928B-DCEA-40DE-8F74-EE6823E6F922}"/>
    <cellStyle name="Note 3 3 2 5 2 2 3" xfId="27337" xr:uid="{12E26E4D-6D0C-4338-A915-4FC86307726C}"/>
    <cellStyle name="Note 3 3 2 5 2 3" xfId="13821" xr:uid="{AE7E1101-D457-420F-B5A0-F413C20BE698}"/>
    <cellStyle name="Note 3 3 2 5 2 4" xfId="23120" xr:uid="{4DE0A469-2F7E-49D5-B291-1D1BB1A5BE8A}"/>
    <cellStyle name="Note 3 3 2 5 3" xfId="6567" xr:uid="{00000000-0005-0000-0000-0000B8210000}"/>
    <cellStyle name="Note 3 3 2 5 3 2" xfId="15893" xr:uid="{43DC4CD1-4DC2-472F-9AED-185436EC9231}"/>
    <cellStyle name="Note 3 3 2 5 3 3" xfId="25192" xr:uid="{A3D49CDD-EB8C-4AE5-AC27-D7887A6699C8}"/>
    <cellStyle name="Note 3 3 2 5 4" xfId="11676" xr:uid="{092DD6E2-37A3-4353-8314-E07747C68C5D}"/>
    <cellStyle name="Note 3 3 2 5 5" xfId="20975" xr:uid="{9E88DC56-2033-458F-B9DF-55FF96EDB6FA}"/>
    <cellStyle name="Note 3 3 2 6" xfId="2697" xr:uid="{00000000-0005-0000-0000-0000B9210000}"/>
    <cellStyle name="Note 3 3 2 6 2" xfId="6980" xr:uid="{00000000-0005-0000-0000-0000BA210000}"/>
    <cellStyle name="Note 3 3 2 6 2 2" xfId="16306" xr:uid="{21E9EFF0-B710-4FD1-8BCD-92CE1A71081E}"/>
    <cellStyle name="Note 3 3 2 6 2 3" xfId="25605" xr:uid="{D288DC65-367F-446B-880E-32D3C4905AC4}"/>
    <cellStyle name="Note 3 3 2 6 3" xfId="12089" xr:uid="{B2C1E92D-5A7E-4A4B-A413-F4A21207831E}"/>
    <cellStyle name="Note 3 3 2 6 4" xfId="21388" xr:uid="{8DACFE6E-8046-4B3C-8CA4-961E2196FD48}"/>
    <cellStyle name="Note 3 3 2 7" xfId="2756" xr:uid="{00000000-0005-0000-0000-0000BB210000}"/>
    <cellStyle name="Note 3 3 2 8" xfId="2837" xr:uid="{00000000-0005-0000-0000-0000BC210000}"/>
    <cellStyle name="Note 3 3 2 8 2" xfId="7060" xr:uid="{00000000-0005-0000-0000-0000BD210000}"/>
    <cellStyle name="Note 3 3 2 8 2 2" xfId="16386" xr:uid="{787D8BCD-2C60-429A-AD9E-092B83D15201}"/>
    <cellStyle name="Note 3 3 2 8 2 3" xfId="25685" xr:uid="{4DAA200C-E7C5-4C98-B6D4-AA493F3BC7E6}"/>
    <cellStyle name="Note 3 3 2 8 3" xfId="12169" xr:uid="{DB23D78C-3D37-4323-BDD2-4B3BD0239C93}"/>
    <cellStyle name="Note 3 3 2 8 4" xfId="21468" xr:uid="{6CBA913E-B3D0-4A68-9DCE-2C42B030BB80}"/>
    <cellStyle name="Note 3 3 2 9" xfId="4915" xr:uid="{00000000-0005-0000-0000-0000BE210000}"/>
    <cellStyle name="Note 3 3 2 9 2" xfId="14241" xr:uid="{4C58BFFD-686D-4478-892D-F164D6C46334}"/>
    <cellStyle name="Note 3 3 2 9 3" xfId="23540" xr:uid="{2857418F-DACE-4B3C-ACF8-8704E7774C4E}"/>
    <cellStyle name="Note 3 3 3" xfId="1018" xr:uid="{00000000-0005-0000-0000-0000BF210000}"/>
    <cellStyle name="Note 3 3 3 2" xfId="3250" xr:uid="{00000000-0005-0000-0000-0000C0210000}"/>
    <cellStyle name="Note 3 3 3 2 2" xfId="7472" xr:uid="{00000000-0005-0000-0000-0000C1210000}"/>
    <cellStyle name="Note 3 3 3 2 2 2" xfId="16798" xr:uid="{FDB82CFE-43C1-4969-AB5B-CDECD1FB6E67}"/>
    <cellStyle name="Note 3 3 3 2 2 3" xfId="26097" xr:uid="{7A2640C4-EC60-4861-81DA-681F78BEC299}"/>
    <cellStyle name="Note 3 3 3 2 3" xfId="12581" xr:uid="{EF8EB6A2-EDEB-44BD-A7E1-009A346DE257}"/>
    <cellStyle name="Note 3 3 3 2 4" xfId="21880" xr:uid="{24C3788B-95AF-4CD8-906B-61EF43480843}"/>
    <cellStyle name="Note 3 3 3 3" xfId="5327" xr:uid="{00000000-0005-0000-0000-0000C2210000}"/>
    <cellStyle name="Note 3 3 3 3 2" xfId="14653" xr:uid="{8911FEF2-CF85-4979-AB73-29EA33E056ED}"/>
    <cellStyle name="Note 3 3 3 3 3" xfId="23952" xr:uid="{C65C537A-6298-4AFB-8DF3-34219A92369C}"/>
    <cellStyle name="Note 3 3 3 4" xfId="9317" xr:uid="{171D8024-554D-4F15-BFD3-81CBE1A601EA}"/>
    <cellStyle name="Note 3 3 3 4 2" xfId="18632" xr:uid="{4E009F93-7A9E-46F0-9341-90DB23F35540}"/>
    <cellStyle name="Note 3 3 3 4 3" xfId="27929" xr:uid="{46355818-2808-488A-AFAF-5368AEC9D01F}"/>
    <cellStyle name="Note 3 3 3 5" xfId="10436" xr:uid="{2A93AF82-404D-4EC6-89BF-27568A497A9C}"/>
    <cellStyle name="Note 3 3 3 6" xfId="19735" xr:uid="{709C573E-BC1E-4ABC-8236-1DA11A739A85}"/>
    <cellStyle name="Note 3 3 4" xfId="1433" xr:uid="{00000000-0005-0000-0000-0000C3210000}"/>
    <cellStyle name="Note 3 3 4 2" xfId="3663" xr:uid="{00000000-0005-0000-0000-0000C4210000}"/>
    <cellStyle name="Note 3 3 4 2 2" xfId="7885" xr:uid="{00000000-0005-0000-0000-0000C5210000}"/>
    <cellStyle name="Note 3 3 4 2 2 2" xfId="17211" xr:uid="{10DE27FE-FF5A-4289-90A0-71BF0F86599B}"/>
    <cellStyle name="Note 3 3 4 2 2 3" xfId="26510" xr:uid="{93E07BBB-794B-45A5-B9E2-A878C83200C5}"/>
    <cellStyle name="Note 3 3 4 2 3" xfId="12994" xr:uid="{2709280A-AC50-433E-8402-399DDEBFC6EA}"/>
    <cellStyle name="Note 3 3 4 2 4" xfId="22293" xr:uid="{0958F3EE-9DCE-43EF-A5C6-1175C46C4B21}"/>
    <cellStyle name="Note 3 3 4 3" xfId="5740" xr:uid="{00000000-0005-0000-0000-0000C6210000}"/>
    <cellStyle name="Note 3 3 4 3 2" xfId="15066" xr:uid="{8C01DF54-582F-4255-ACDD-57E635CB3F82}"/>
    <cellStyle name="Note 3 3 4 3 3" xfId="24365" xr:uid="{53E39EDD-7C67-45B7-BFEE-E6B451BACEAA}"/>
    <cellStyle name="Note 3 3 4 4" xfId="10849" xr:uid="{D5FE10A0-78C2-4C5F-961C-1FC49B6548CD}"/>
    <cellStyle name="Note 3 3 4 5" xfId="20148" xr:uid="{0DFC9893-2A0F-4933-806C-B4255B56AF04}"/>
    <cellStyle name="Note 3 3 5" xfId="1847" xr:uid="{00000000-0005-0000-0000-0000C7210000}"/>
    <cellStyle name="Note 3 3 5 2" xfId="4076" xr:uid="{00000000-0005-0000-0000-0000C8210000}"/>
    <cellStyle name="Note 3 3 5 2 2" xfId="8298" xr:uid="{00000000-0005-0000-0000-0000C9210000}"/>
    <cellStyle name="Note 3 3 5 2 2 2" xfId="17624" xr:uid="{DB5396D3-21A8-408F-B2FB-D505A9310729}"/>
    <cellStyle name="Note 3 3 5 2 2 3" xfId="26923" xr:uid="{8012A37A-B1E2-4461-AFD4-1B7BF1FBA509}"/>
    <cellStyle name="Note 3 3 5 2 3" xfId="13407" xr:uid="{28005A0F-101D-4097-8CA3-866E96D00294}"/>
    <cellStyle name="Note 3 3 5 2 4" xfId="22706" xr:uid="{E35789D1-8CC4-4FF6-9712-EE998F246D7A}"/>
    <cellStyle name="Note 3 3 5 3" xfId="6153" xr:uid="{00000000-0005-0000-0000-0000CA210000}"/>
    <cellStyle name="Note 3 3 5 3 2" xfId="15479" xr:uid="{62721A9A-06A9-4A2D-91E2-9BA3A4EA39C4}"/>
    <cellStyle name="Note 3 3 5 3 3" xfId="24778" xr:uid="{F0EC266F-2858-49C9-B438-8E40163C459A}"/>
    <cellStyle name="Note 3 3 5 4" xfId="11262" xr:uid="{66C8F9BB-5C7F-45E1-99EC-7786408AA8D1}"/>
    <cellStyle name="Note 3 3 5 5" xfId="20561" xr:uid="{DD33F304-F786-42E2-8340-0B3A15509D5A}"/>
    <cellStyle name="Note 3 3 6" xfId="2260" xr:uid="{00000000-0005-0000-0000-0000CB210000}"/>
    <cellStyle name="Note 3 3 6 2" xfId="4489" xr:uid="{00000000-0005-0000-0000-0000CC210000}"/>
    <cellStyle name="Note 3 3 6 2 2" xfId="8711" xr:uid="{00000000-0005-0000-0000-0000CD210000}"/>
    <cellStyle name="Note 3 3 6 2 2 2" xfId="18037" xr:uid="{F4AA334C-6B6E-4F91-AD59-B53C28862FB2}"/>
    <cellStyle name="Note 3 3 6 2 2 3" xfId="27336" xr:uid="{7264DB51-B46C-415C-B66B-7F2C69A4BCF5}"/>
    <cellStyle name="Note 3 3 6 2 3" xfId="13820" xr:uid="{90009830-B352-4C99-84C4-DFFCC6A1B18F}"/>
    <cellStyle name="Note 3 3 6 2 4" xfId="23119" xr:uid="{8A1DD941-26E9-411B-B299-5761E18BEA2F}"/>
    <cellStyle name="Note 3 3 6 3" xfId="6566" xr:uid="{00000000-0005-0000-0000-0000CE210000}"/>
    <cellStyle name="Note 3 3 6 3 2" xfId="15892" xr:uid="{9E7687F2-8700-4543-8F39-35D7D6BD60B8}"/>
    <cellStyle name="Note 3 3 6 3 3" xfId="25191" xr:uid="{19608990-34CC-4005-B15D-D71D3E6C89BD}"/>
    <cellStyle name="Note 3 3 6 4" xfId="11675" xr:uid="{1BCFCDDB-2844-4958-BCA7-637EAF476D34}"/>
    <cellStyle name="Note 3 3 6 5" xfId="20974" xr:uid="{30304B99-7E9B-4816-BE71-ACB42FB9A63D}"/>
    <cellStyle name="Note 3 3 7" xfId="2696" xr:uid="{00000000-0005-0000-0000-0000CF210000}"/>
    <cellStyle name="Note 3 3 7 2" xfId="6979" xr:uid="{00000000-0005-0000-0000-0000D0210000}"/>
    <cellStyle name="Note 3 3 7 2 2" xfId="16305" xr:uid="{F54E4CB0-5AA7-48C5-8277-131B8AE2D7C7}"/>
    <cellStyle name="Note 3 3 7 2 3" xfId="25604" xr:uid="{C04E95E1-7D49-477C-9FE6-7729D448CBC2}"/>
    <cellStyle name="Note 3 3 7 3" xfId="12088" xr:uid="{15B4652E-BEA8-48E9-B5A1-EF734C7C45EB}"/>
    <cellStyle name="Note 3 3 7 4" xfId="21387" xr:uid="{A576B4A4-6C40-4588-8CE1-89232EBEA317}"/>
    <cellStyle name="Note 3 3 8" xfId="2755" xr:uid="{00000000-0005-0000-0000-0000D1210000}"/>
    <cellStyle name="Note 3 3 9" xfId="2836" xr:uid="{00000000-0005-0000-0000-0000D2210000}"/>
    <cellStyle name="Note 3 3 9 2" xfId="7059" xr:uid="{00000000-0005-0000-0000-0000D3210000}"/>
    <cellStyle name="Note 3 3 9 2 2" xfId="16385" xr:uid="{62DC0A28-AAFC-49D1-9DE9-C6606C050AB6}"/>
    <cellStyle name="Note 3 3 9 2 3" xfId="25684" xr:uid="{C88EF1EB-B801-4690-8C2C-D3AD56EED625}"/>
    <cellStyle name="Note 3 3 9 3" xfId="12168" xr:uid="{6C192DEA-1343-4901-80FC-084203611D99}"/>
    <cellStyle name="Note 3 3 9 4" xfId="21467" xr:uid="{CAA42DCE-4E4B-4F7E-BC99-4F79F669CE5C}"/>
    <cellStyle name="Note 3 4" xfId="560" xr:uid="{00000000-0005-0000-0000-0000D4210000}"/>
    <cellStyle name="Note 3 4 10" xfId="8996" xr:uid="{0D704BEA-0820-4E61-9EA3-F4C1E73C6543}"/>
    <cellStyle name="Note 3 4 10 2" xfId="18320" xr:uid="{E8B33C39-66E4-4441-B1BF-2101B5B792D2}"/>
    <cellStyle name="Note 3 4 10 3" xfId="27618" xr:uid="{391F97FA-1C1C-4BED-97B2-CF58E7803B86}"/>
    <cellStyle name="Note 3 4 11" xfId="10025" xr:uid="{5AB26B5C-C738-44A5-8DAD-4D0400003637}"/>
    <cellStyle name="Note 3 4 12" xfId="19324" xr:uid="{127E69E1-C6E3-4BFA-BE8B-63515E827D03}"/>
    <cellStyle name="Note 3 4 2" xfId="1020" xr:uid="{00000000-0005-0000-0000-0000D5210000}"/>
    <cellStyle name="Note 3 4 2 2" xfId="3252" xr:uid="{00000000-0005-0000-0000-0000D6210000}"/>
    <cellStyle name="Note 3 4 2 2 2" xfId="7474" xr:uid="{00000000-0005-0000-0000-0000D7210000}"/>
    <cellStyle name="Note 3 4 2 2 2 2" xfId="16800" xr:uid="{A2E85527-C287-4657-9ADD-4805112B4373}"/>
    <cellStyle name="Note 3 4 2 2 2 3" xfId="26099" xr:uid="{F152DBC7-105F-4F43-913D-254F2D7D541D}"/>
    <cellStyle name="Note 3 4 2 2 3" xfId="12583" xr:uid="{955F1F24-E48F-4C6D-B012-3FBE1D558383}"/>
    <cellStyle name="Note 3 4 2 2 4" xfId="21882" xr:uid="{50EFB2F7-966D-4B5D-BA10-1C9B95C59468}"/>
    <cellStyle name="Note 3 4 2 3" xfId="5329" xr:uid="{00000000-0005-0000-0000-0000D8210000}"/>
    <cellStyle name="Note 3 4 2 3 2" xfId="14655" xr:uid="{04E0200C-1217-4A7B-B5CE-910FEAC230A1}"/>
    <cellStyle name="Note 3 4 2 3 3" xfId="23954" xr:uid="{C34E697F-9F0C-4B8A-AFC7-D2CBC93CE5F8}"/>
    <cellStyle name="Note 3 4 2 4" xfId="9421" xr:uid="{EC0A57E0-416C-4EC5-866A-A09E44531CB5}"/>
    <cellStyle name="Note 3 4 2 4 2" xfId="18736" xr:uid="{2052F6BF-0B62-4D94-8992-4CF2006A0938}"/>
    <cellStyle name="Note 3 4 2 4 3" xfId="28033" xr:uid="{E422A9F8-5A01-4080-B6D4-1864DC97A01D}"/>
    <cellStyle name="Note 3 4 2 5" xfId="10438" xr:uid="{54CE739C-CF81-4347-911E-7945BEA7B591}"/>
    <cellStyle name="Note 3 4 2 6" xfId="19737" xr:uid="{26B92705-8142-40DA-896F-CA0D38234639}"/>
    <cellStyle name="Note 3 4 3" xfId="1435" xr:uid="{00000000-0005-0000-0000-0000D9210000}"/>
    <cellStyle name="Note 3 4 3 2" xfId="3665" xr:uid="{00000000-0005-0000-0000-0000DA210000}"/>
    <cellStyle name="Note 3 4 3 2 2" xfId="7887" xr:uid="{00000000-0005-0000-0000-0000DB210000}"/>
    <cellStyle name="Note 3 4 3 2 2 2" xfId="17213" xr:uid="{9F40564B-95BE-4141-8BB8-ABD83311B008}"/>
    <cellStyle name="Note 3 4 3 2 2 3" xfId="26512" xr:uid="{D5DDED48-8943-4505-B71A-CE4A6E0A0635}"/>
    <cellStyle name="Note 3 4 3 2 3" xfId="12996" xr:uid="{037857C6-68CC-470F-9C9A-94497BB8CBAF}"/>
    <cellStyle name="Note 3 4 3 2 4" xfId="22295" xr:uid="{3540E9F0-ABDF-469D-AEA8-5EE385456DA6}"/>
    <cellStyle name="Note 3 4 3 3" xfId="5742" xr:uid="{00000000-0005-0000-0000-0000DC210000}"/>
    <cellStyle name="Note 3 4 3 3 2" xfId="15068" xr:uid="{64551B40-8496-4C84-B37B-4E2B6DC89D59}"/>
    <cellStyle name="Note 3 4 3 3 3" xfId="24367" xr:uid="{5A38BE3F-E522-4735-949D-E90E2EC5F802}"/>
    <cellStyle name="Note 3 4 3 4" xfId="10851" xr:uid="{FFFF66A2-DB17-4A35-AAA7-4F1B032758A8}"/>
    <cellStyle name="Note 3 4 3 5" xfId="20150" xr:uid="{C8506584-CAFB-40C7-B52E-EF9E80AEE138}"/>
    <cellStyle name="Note 3 4 4" xfId="1849" xr:uid="{00000000-0005-0000-0000-0000DD210000}"/>
    <cellStyle name="Note 3 4 4 2" xfId="4078" xr:uid="{00000000-0005-0000-0000-0000DE210000}"/>
    <cellStyle name="Note 3 4 4 2 2" xfId="8300" xr:uid="{00000000-0005-0000-0000-0000DF210000}"/>
    <cellStyle name="Note 3 4 4 2 2 2" xfId="17626" xr:uid="{1EB57498-06E7-4B99-9EB4-FD901176C5DC}"/>
    <cellStyle name="Note 3 4 4 2 2 3" xfId="26925" xr:uid="{8B9F15C9-7134-4C03-B811-2AE6F9D30B7F}"/>
    <cellStyle name="Note 3 4 4 2 3" xfId="13409" xr:uid="{9FEEFE51-6C1E-4811-9226-669F321F0E60}"/>
    <cellStyle name="Note 3 4 4 2 4" xfId="22708" xr:uid="{BEEF787B-97CB-46BB-8E3C-051B91D8BF4F}"/>
    <cellStyle name="Note 3 4 4 3" xfId="6155" xr:uid="{00000000-0005-0000-0000-0000E0210000}"/>
    <cellStyle name="Note 3 4 4 3 2" xfId="15481" xr:uid="{35CBC97B-D291-467F-A63E-3CCAB759CA0A}"/>
    <cellStyle name="Note 3 4 4 3 3" xfId="24780" xr:uid="{85A632DE-3994-42A0-83E0-1014D095F420}"/>
    <cellStyle name="Note 3 4 4 4" xfId="11264" xr:uid="{75530CC7-C2AD-4DF1-A669-54589BB046C7}"/>
    <cellStyle name="Note 3 4 4 5" xfId="20563" xr:uid="{4E93425B-9F05-40C6-84B6-986D89E77D6B}"/>
    <cellStyle name="Note 3 4 5" xfId="2262" xr:uid="{00000000-0005-0000-0000-0000E1210000}"/>
    <cellStyle name="Note 3 4 5 2" xfId="4491" xr:uid="{00000000-0005-0000-0000-0000E2210000}"/>
    <cellStyle name="Note 3 4 5 2 2" xfId="8713" xr:uid="{00000000-0005-0000-0000-0000E3210000}"/>
    <cellStyle name="Note 3 4 5 2 2 2" xfId="18039" xr:uid="{BC72F1DC-0E68-46A8-82A4-CD8C340F2A70}"/>
    <cellStyle name="Note 3 4 5 2 2 3" xfId="27338" xr:uid="{CE9EDE13-3D89-4B54-A640-6CA382760BD0}"/>
    <cellStyle name="Note 3 4 5 2 3" xfId="13822" xr:uid="{3A0D7A50-0622-4724-8442-3B38D330E272}"/>
    <cellStyle name="Note 3 4 5 2 4" xfId="23121" xr:uid="{55F907D5-DAE8-4223-8B42-3F06F700D3FA}"/>
    <cellStyle name="Note 3 4 5 3" xfId="6568" xr:uid="{00000000-0005-0000-0000-0000E4210000}"/>
    <cellStyle name="Note 3 4 5 3 2" xfId="15894" xr:uid="{10659427-47E3-4D66-9191-B24E18A0A427}"/>
    <cellStyle name="Note 3 4 5 3 3" xfId="25193" xr:uid="{9259CC4B-CF34-45CB-B0DA-8BF873397DD5}"/>
    <cellStyle name="Note 3 4 5 4" xfId="11677" xr:uid="{AF48FAC5-A41E-4A4E-AC9A-43C02BBEFBA5}"/>
    <cellStyle name="Note 3 4 5 5" xfId="20976" xr:uid="{03341F48-8F54-4CEE-AE21-E164ACD63CCF}"/>
    <cellStyle name="Note 3 4 6" xfId="2698" xr:uid="{00000000-0005-0000-0000-0000E5210000}"/>
    <cellStyle name="Note 3 4 6 2" xfId="6981" xr:uid="{00000000-0005-0000-0000-0000E6210000}"/>
    <cellStyle name="Note 3 4 6 2 2" xfId="16307" xr:uid="{C51B93D1-6728-45B2-821F-94E5169DC298}"/>
    <cellStyle name="Note 3 4 6 2 3" xfId="25606" xr:uid="{9BB9D722-BD0E-4029-8D87-04AABA9F9FBB}"/>
    <cellStyle name="Note 3 4 6 3" xfId="12090" xr:uid="{82817D5D-24A0-4D6B-8154-4D45A44F56D5}"/>
    <cellStyle name="Note 3 4 6 4" xfId="21389" xr:uid="{6F7F0D49-000E-4561-863F-2DFE3889CA24}"/>
    <cellStyle name="Note 3 4 7" xfId="2757" xr:uid="{00000000-0005-0000-0000-0000E7210000}"/>
    <cellStyle name="Note 3 4 8" xfId="2838" xr:uid="{00000000-0005-0000-0000-0000E8210000}"/>
    <cellStyle name="Note 3 4 8 2" xfId="7061" xr:uid="{00000000-0005-0000-0000-0000E9210000}"/>
    <cellStyle name="Note 3 4 8 2 2" xfId="16387" xr:uid="{C549BE92-23CB-4E7D-A866-7D59D543D6AB}"/>
    <cellStyle name="Note 3 4 8 2 3" xfId="25686" xr:uid="{32D643F6-C6BF-4148-861C-FD95F458F720}"/>
    <cellStyle name="Note 3 4 8 3" xfId="12170" xr:uid="{2E354872-C680-420E-A0F6-0BCDA89095BE}"/>
    <cellStyle name="Note 3 4 8 4" xfId="21469" xr:uid="{9CEDB3D1-EE1A-41A8-95BD-4CD8FA6191A4}"/>
    <cellStyle name="Note 3 4 9" xfId="4916" xr:uid="{00000000-0005-0000-0000-0000EA210000}"/>
    <cellStyle name="Note 3 4 9 2" xfId="14242" xr:uid="{B7A217D8-782C-4424-92F6-37564ACE5ACC}"/>
    <cellStyle name="Note 3 4 9 3" xfId="23541" xr:uid="{6C778005-7D39-4865-B398-96CE6136151C}"/>
    <cellStyle name="Note 3 5" xfId="561" xr:uid="{00000000-0005-0000-0000-0000EB210000}"/>
    <cellStyle name="Note 3 5 10" xfId="9213" xr:uid="{D9D7FB9A-B03C-4A97-A778-36731B43DF3F}"/>
    <cellStyle name="Note 3 5 10 2" xfId="18529" xr:uid="{1A0E878F-87F9-4D6C-B0E4-8125255DF19C}"/>
    <cellStyle name="Note 3 5 10 3" xfId="27826" xr:uid="{B4C13908-3A9C-4005-B04E-FF6AE273ECF4}"/>
    <cellStyle name="Note 3 5 11" xfId="10026" xr:uid="{56BCFAE8-6DFB-4C5C-90E5-FBB59BA81671}"/>
    <cellStyle name="Note 3 5 12" xfId="19325" xr:uid="{EB6001FC-B686-4F16-BAFC-9BC1179008DE}"/>
    <cellStyle name="Note 3 5 2" xfId="1021" xr:uid="{00000000-0005-0000-0000-0000EC210000}"/>
    <cellStyle name="Note 3 5 2 2" xfId="3253" xr:uid="{00000000-0005-0000-0000-0000ED210000}"/>
    <cellStyle name="Note 3 5 2 2 2" xfId="7475" xr:uid="{00000000-0005-0000-0000-0000EE210000}"/>
    <cellStyle name="Note 3 5 2 2 2 2" xfId="16801" xr:uid="{4E9C6A14-F56C-4DC3-853F-86194F3A408D}"/>
    <cellStyle name="Note 3 5 2 2 2 3" xfId="26100" xr:uid="{68E73458-27C6-49FB-8398-7E00DF5E9A9F}"/>
    <cellStyle name="Note 3 5 2 2 3" xfId="12584" xr:uid="{886F8C49-7A43-40CA-8DB7-E4A4908591D6}"/>
    <cellStyle name="Note 3 5 2 2 4" xfId="21883" xr:uid="{383D3C26-7EE7-4B02-84F8-E7A384B988EA}"/>
    <cellStyle name="Note 3 5 2 3" xfId="5330" xr:uid="{00000000-0005-0000-0000-0000EF210000}"/>
    <cellStyle name="Note 3 5 2 3 2" xfId="14656" xr:uid="{1301499D-DB09-40ED-B413-1E0D4C666A46}"/>
    <cellStyle name="Note 3 5 2 3 3" xfId="23955" xr:uid="{E4F343B7-476A-403F-B4FF-0EF9E99F8F0D}"/>
    <cellStyle name="Note 3 5 2 4" xfId="9611" xr:uid="{74765414-66B3-4FDA-BA21-3BFFEF98E338}"/>
    <cellStyle name="Note 3 5 2 4 2" xfId="18911" xr:uid="{43402266-27CF-4C4C-A180-F8E9C8B60A66}"/>
    <cellStyle name="Note 3 5 2 4 3" xfId="28208" xr:uid="{9932580E-B7E1-42AC-9106-BF0E180D8062}"/>
    <cellStyle name="Note 3 5 2 5" xfId="10439" xr:uid="{1657041E-3A15-41DB-B309-0ED80D7AC03F}"/>
    <cellStyle name="Note 3 5 2 6" xfId="19738" xr:uid="{842A592E-C4FC-47FF-8481-01840722F86F}"/>
    <cellStyle name="Note 3 5 3" xfId="1436" xr:uid="{00000000-0005-0000-0000-0000F0210000}"/>
    <cellStyle name="Note 3 5 3 2" xfId="3666" xr:uid="{00000000-0005-0000-0000-0000F1210000}"/>
    <cellStyle name="Note 3 5 3 2 2" xfId="7888" xr:uid="{00000000-0005-0000-0000-0000F2210000}"/>
    <cellStyle name="Note 3 5 3 2 2 2" xfId="17214" xr:uid="{887F9AAE-4738-47D4-92CE-357402A2795C}"/>
    <cellStyle name="Note 3 5 3 2 2 3" xfId="26513" xr:uid="{2462362E-A185-43B2-A607-D58B556EEEF4}"/>
    <cellStyle name="Note 3 5 3 2 3" xfId="12997" xr:uid="{37586752-5E68-49EB-B230-7DF9A89FF8DC}"/>
    <cellStyle name="Note 3 5 3 2 4" xfId="22296" xr:uid="{07E5A093-0557-4B67-96AD-E27AB720547C}"/>
    <cellStyle name="Note 3 5 3 3" xfId="5743" xr:uid="{00000000-0005-0000-0000-0000F3210000}"/>
    <cellStyle name="Note 3 5 3 3 2" xfId="15069" xr:uid="{9A8D4F31-DA25-4D73-A190-1F29312A6447}"/>
    <cellStyle name="Note 3 5 3 3 3" xfId="24368" xr:uid="{5B61A411-573B-49AE-9CA1-CC869F4E2980}"/>
    <cellStyle name="Note 3 5 3 4" xfId="10852" xr:uid="{741AB7A7-CB54-4693-A68E-1E2E97BB737A}"/>
    <cellStyle name="Note 3 5 3 5" xfId="20151" xr:uid="{958F1F13-7924-4314-A87D-42F1A05F2C11}"/>
    <cellStyle name="Note 3 5 4" xfId="1850" xr:uid="{00000000-0005-0000-0000-0000F4210000}"/>
    <cellStyle name="Note 3 5 4 2" xfId="4079" xr:uid="{00000000-0005-0000-0000-0000F5210000}"/>
    <cellStyle name="Note 3 5 4 2 2" xfId="8301" xr:uid="{00000000-0005-0000-0000-0000F6210000}"/>
    <cellStyle name="Note 3 5 4 2 2 2" xfId="17627" xr:uid="{ECF067DC-4B3C-49DB-9FC3-F243D0C15667}"/>
    <cellStyle name="Note 3 5 4 2 2 3" xfId="26926" xr:uid="{D44A44E9-C284-45A2-A07D-0A69DDD6D2FE}"/>
    <cellStyle name="Note 3 5 4 2 3" xfId="13410" xr:uid="{A48259F5-147B-494E-B8B1-42CAE53DB607}"/>
    <cellStyle name="Note 3 5 4 2 4" xfId="22709" xr:uid="{DDFD3B0D-DE41-4D8F-A038-8AE996F28A35}"/>
    <cellStyle name="Note 3 5 4 3" xfId="6156" xr:uid="{00000000-0005-0000-0000-0000F7210000}"/>
    <cellStyle name="Note 3 5 4 3 2" xfId="15482" xr:uid="{B49B9C30-200A-4D38-978E-15C81CB55F1B}"/>
    <cellStyle name="Note 3 5 4 3 3" xfId="24781" xr:uid="{1E6F5DA8-B63C-4D89-AAA1-3793DF5451BE}"/>
    <cellStyle name="Note 3 5 4 4" xfId="11265" xr:uid="{A38A38D5-7858-4A2F-BFB0-7EB36E1CCACE}"/>
    <cellStyle name="Note 3 5 4 5" xfId="20564" xr:uid="{AB10FAEA-B2FC-4B30-B390-80F9C4AC2964}"/>
    <cellStyle name="Note 3 5 5" xfId="2263" xr:uid="{00000000-0005-0000-0000-0000F8210000}"/>
    <cellStyle name="Note 3 5 5 2" xfId="4492" xr:uid="{00000000-0005-0000-0000-0000F9210000}"/>
    <cellStyle name="Note 3 5 5 2 2" xfId="8714" xr:uid="{00000000-0005-0000-0000-0000FA210000}"/>
    <cellStyle name="Note 3 5 5 2 2 2" xfId="18040" xr:uid="{D7926AF4-44D4-483D-9C2D-DE0A0FBB279E}"/>
    <cellStyle name="Note 3 5 5 2 2 3" xfId="27339" xr:uid="{D7A50698-5B5B-4582-8185-481198D20F4A}"/>
    <cellStyle name="Note 3 5 5 2 3" xfId="13823" xr:uid="{87E0BD2D-AB10-4DD9-A87E-A22B69250730}"/>
    <cellStyle name="Note 3 5 5 2 4" xfId="23122" xr:uid="{DE5E1B10-0673-43D4-B783-DF15D62F2C0B}"/>
    <cellStyle name="Note 3 5 5 3" xfId="6569" xr:uid="{00000000-0005-0000-0000-0000FB210000}"/>
    <cellStyle name="Note 3 5 5 3 2" xfId="15895" xr:uid="{161C1FF8-F0F8-4818-B565-74D3E0E48975}"/>
    <cellStyle name="Note 3 5 5 3 3" xfId="25194" xr:uid="{B7197F95-5DBA-4E8D-9CE0-9E43697DC7C0}"/>
    <cellStyle name="Note 3 5 5 4" xfId="11678" xr:uid="{C7B4658F-A00B-42CE-8CB1-DE48F2B95CA7}"/>
    <cellStyle name="Note 3 5 5 5" xfId="20977" xr:uid="{97B890DC-2F15-491F-89D7-092A1E3B204C}"/>
    <cellStyle name="Note 3 5 6" xfId="2699" xr:uid="{00000000-0005-0000-0000-0000FC210000}"/>
    <cellStyle name="Note 3 5 6 2" xfId="6982" xr:uid="{00000000-0005-0000-0000-0000FD210000}"/>
    <cellStyle name="Note 3 5 6 2 2" xfId="16308" xr:uid="{FF1F04EB-E5E5-42D1-BBB7-15AA53DE4F71}"/>
    <cellStyle name="Note 3 5 6 2 3" xfId="25607" xr:uid="{32EE50E7-7653-4CC2-87D3-587DFC6B9A6D}"/>
    <cellStyle name="Note 3 5 6 3" xfId="12091" xr:uid="{E79E3AEE-CB7C-46F3-8FAB-3EC5CBF596EE}"/>
    <cellStyle name="Note 3 5 6 4" xfId="21390" xr:uid="{F3342382-7FFC-4499-87A1-337557CE0CCF}"/>
    <cellStyle name="Note 3 5 7" xfId="2758" xr:uid="{00000000-0005-0000-0000-0000FE210000}"/>
    <cellStyle name="Note 3 5 8" xfId="2839" xr:uid="{00000000-0005-0000-0000-0000FF210000}"/>
    <cellStyle name="Note 3 5 8 2" xfId="7062" xr:uid="{00000000-0005-0000-0000-000000220000}"/>
    <cellStyle name="Note 3 5 8 2 2" xfId="16388" xr:uid="{3721F090-43C6-4530-B5C4-557F8A3D7626}"/>
    <cellStyle name="Note 3 5 8 2 3" xfId="25687" xr:uid="{0BC0AEA4-8A9F-41F0-8777-1761AC08E388}"/>
    <cellStyle name="Note 3 5 8 3" xfId="12171" xr:uid="{208B27AB-E086-4516-A495-401BD0688539}"/>
    <cellStyle name="Note 3 5 8 4" xfId="21470" xr:uid="{90B2ABF3-F64D-41F6-B7AC-2BF1E1208D6F}"/>
    <cellStyle name="Note 3 5 9" xfId="4917" xr:uid="{00000000-0005-0000-0000-000001220000}"/>
    <cellStyle name="Note 3 5 9 2" xfId="14243" xr:uid="{2EEBC3F1-0378-412A-8FFC-983480B2FB83}"/>
    <cellStyle name="Note 3 5 9 3" xfId="23542" xr:uid="{B3DF5007-A9A0-429A-957B-2DF3C33FC66B}"/>
    <cellStyle name="Note 3 6" xfId="9588" xr:uid="{4A2A2C5B-BA67-4FBC-A2F1-7546BE1E0E7F}"/>
    <cellStyle name="Note 3 7" xfId="8789" xr:uid="{EE6BC007-A514-4F23-A927-A69B937DFEC6}"/>
    <cellStyle name="Note 3 7 2" xfId="18113" xr:uid="{EE7EB5B8-AE4A-458A-A0DB-A0000FF239EB}"/>
    <cellStyle name="Note 3 7 3" xfId="27411" xr:uid="{B3867C03-F041-4B5E-AB21-82323FA7B8C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EBEEE733-B354-4A82-B1F9-193C7E3AEC3F}"/>
    <cellStyle name="Percent 3 2 3" xfId="28193" xr:uid="{58E80E32-8D68-4535-B961-865F0DF5A1FB}"/>
    <cellStyle name="Percent 3 3" xfId="13826" xr:uid="{CC22AD88-9376-45FA-A18F-3CEA7464665E}"/>
    <cellStyle name="Percent 3 4" xfId="23125" xr:uid="{985D7865-DE2C-474C-B68E-EA3D34690ABD}"/>
    <cellStyle name="Percent 4" xfId="4502" xr:uid="{00000000-0005-0000-0000-000007220000}"/>
    <cellStyle name="Percent 4 2" xfId="8717" xr:uid="{00000000-0005-0000-0000-000008220000}"/>
    <cellStyle name="Percent 4 2 2" xfId="18043" xr:uid="{C37358C1-5CFF-46EB-9F3D-205C33F0B05F}"/>
    <cellStyle name="Percent 4 2 3" xfId="27342" xr:uid="{42FC471B-1EFB-44C2-B9DE-4C05E97B25CF}"/>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C53096D5-CE93-4B00-8349-1B133C8B6B5E}"/>
    <cellStyle name="Percent 4 3 2 2 2 2 2 3" xfId="27361" xr:uid="{1C2E89CD-6F81-41C9-BD5F-C2F1D923741A}"/>
    <cellStyle name="Percent 4 3 2 2 2 2 3" xfId="18059" xr:uid="{C4694D9B-C428-41C0-986C-79F12E1277DD}"/>
    <cellStyle name="Percent 4 3 2 2 2 2 4" xfId="27358" xr:uid="{F0082F26-B66A-4AC5-8B64-FE424919522C}"/>
    <cellStyle name="Percent 4 3 2 2 2 3" xfId="18056" xr:uid="{F77E9A52-1205-4AA6-B72E-7F29759F83C1}"/>
    <cellStyle name="Percent 4 3 2 2 2 4" xfId="27355" xr:uid="{95B8B968-653A-44B4-8EA1-D41D9A615C8B}"/>
    <cellStyle name="Percent 4 3 2 2 3" xfId="18052" xr:uid="{EC070A24-7239-454A-B85E-0B74111E9043}"/>
    <cellStyle name="Percent 4 3 2 2 4" xfId="27351" xr:uid="{C7B41447-0A23-4F9E-BB9F-EA7DC9D7BDB7}"/>
    <cellStyle name="Percent 4 3 2 3" xfId="18049" xr:uid="{8A1F7328-7956-4A71-8211-6217E1AA528F}"/>
    <cellStyle name="Percent 4 3 2 4" xfId="27348" xr:uid="{DCB4770C-D965-484D-9613-E4E882336D9D}"/>
    <cellStyle name="Percent 4 3 3" xfId="18046" xr:uid="{FAEC47B6-3DE4-47F0-B3D2-B64463F9DED4}"/>
    <cellStyle name="Percent 4 3 4" xfId="27345" xr:uid="{61A72D56-A459-450D-AA1B-C82E0BEEDDB7}"/>
    <cellStyle name="Percent 4 4" xfId="13829" xr:uid="{3436407D-D6FF-43F3-9B8E-65DC4E569633}"/>
    <cellStyle name="Percent 4 5" xfId="23128" xr:uid="{F7AB9B22-1757-4B4A-BD15-25094741F3E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4">
  <autoFilter ref="BD2:BF110"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2" dataDxfId="121" headerRowCellStyle="Normal 16 3" dataCellStyle="Normal 16 3">
  <autoFilter ref="BM8:BM13" xr:uid="{EC5E3245-E94C-4732-9264-A1FF7840F5A2}"/>
  <tableColumns count="1">
    <tableColumn id="1" xr3:uid="{FC9561DE-AB40-4108-8A40-2198A441853F}"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9" dataDxfId="118"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IFERROR(MIN(4,MATCH(Application!B726,UnitSizes,0)-1),"")</calculatedColumnFormula>
    </tableColumn>
    <tableColumn id="3" xr3:uid="{3C170205-C158-4CBB-8CF5-9AF725351349}" name="Quantity" dataDxfId="116" dataCellStyle="Normal 15">
      <calculatedColumnFormula>Application!G726</calculatedColumnFormula>
    </tableColumn>
    <tableColumn id="6" xr3:uid="{7C05B4DE-3AC1-47F3-9C25-D16553367CFA}" name="iAMI" dataDxfId="115" dataCellStyle="Percent">
      <calculatedColumnFormula>Application!AC726</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Row],[Quantity]]&gt;0,AND(Application!AK726&lt;&gt;"N/A",Application!AK726&lt;&gt;"")*Cdlac[[#This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3" workbookViewId="0">
      <selection activeCell="D33" sqref="D33:AK34"/>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526" t="s">
        <v>549</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row>
    <row r="2" spans="1:38" ht="13.5"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528" t="s">
        <v>1990</v>
      </c>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453"/>
    </row>
    <row r="8" spans="1:38">
      <c r="A8" s="204"/>
      <c r="B8" s="204"/>
      <c r="C8" s="205"/>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1528"/>
      <c r="AC8" s="1528"/>
      <c r="AD8" s="1528"/>
      <c r="AE8" s="1528"/>
      <c r="AF8" s="1528"/>
      <c r="AG8" s="1528"/>
      <c r="AH8" s="1528"/>
      <c r="AI8" s="1528"/>
      <c r="AJ8" s="1528"/>
      <c r="AK8" s="1528"/>
      <c r="AL8" s="453"/>
    </row>
    <row r="9" spans="1:38">
      <c r="A9" s="204"/>
      <c r="B9" s="204"/>
      <c r="C9" s="205"/>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453"/>
    </row>
    <row r="10" spans="1:38">
      <c r="A10" s="204"/>
      <c r="B10" s="204"/>
      <c r="C10" s="205"/>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row>
    <row r="11" spans="1:38" ht="12.95" customHeight="1">
      <c r="A11" s="204"/>
      <c r="B11" s="204"/>
      <c r="C11" s="205"/>
      <c r="D11" s="1528" t="s">
        <v>1991</v>
      </c>
      <c r="E11" s="1528"/>
      <c r="F11" s="1528"/>
      <c r="G11" s="1528"/>
      <c r="H11" s="1528"/>
      <c r="I11" s="1528"/>
      <c r="J11" s="1528"/>
      <c r="K11" s="1528"/>
      <c r="L11" s="1528"/>
      <c r="M11" s="1528"/>
      <c r="N11" s="1528"/>
      <c r="O11" s="1528"/>
      <c r="P11" s="1528"/>
      <c r="Q11" s="1528"/>
      <c r="R11" s="1528"/>
      <c r="S11" s="1528"/>
      <c r="T11" s="1528"/>
      <c r="U11" s="1528"/>
      <c r="V11" s="1528"/>
      <c r="W11" s="1528"/>
      <c r="X11" s="1528"/>
      <c r="Y11" s="1528"/>
      <c r="Z11" s="1528"/>
      <c r="AA11" s="1528"/>
      <c r="AB11" s="1528"/>
      <c r="AC11" s="1528"/>
      <c r="AD11" s="1528"/>
      <c r="AE11" s="1528"/>
      <c r="AF11" s="1528"/>
      <c r="AG11" s="1528"/>
      <c r="AH11" s="1528"/>
      <c r="AI11" s="1528"/>
      <c r="AJ11" s="1528"/>
      <c r="AK11" s="1528"/>
      <c r="AL11" s="453"/>
    </row>
    <row r="12" spans="1:38">
      <c r="A12" s="204"/>
      <c r="B12" s="204"/>
      <c r="C12" s="205"/>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453"/>
    </row>
    <row r="13" spans="1:38">
      <c r="A13" s="204"/>
      <c r="B13" s="204"/>
      <c r="C13" s="205"/>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453"/>
    </row>
    <row r="14" spans="1:38">
      <c r="A14" s="204"/>
      <c r="B14" s="204"/>
      <c r="C14" s="205"/>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53"/>
    </row>
    <row r="15" spans="1:38" ht="13.35" customHeight="1">
      <c r="A15" s="204"/>
      <c r="B15" s="204"/>
      <c r="C15" s="205"/>
      <c r="D15" s="1528" t="s">
        <v>2520</v>
      </c>
      <c r="E15" s="1528"/>
      <c r="F15" s="1528"/>
      <c r="G15" s="1528"/>
      <c r="H15" s="1528"/>
      <c r="I15" s="1528"/>
      <c r="J15" s="1528"/>
      <c r="K15" s="1528"/>
      <c r="L15" s="1528"/>
      <c r="M15" s="1528"/>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c r="AL15" s="453"/>
    </row>
    <row r="16" spans="1:38" ht="13.35" customHeight="1">
      <c r="A16" s="204"/>
      <c r="B16" s="204"/>
      <c r="C16" s="205"/>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453"/>
    </row>
    <row r="17" spans="1:38">
      <c r="A17" s="204"/>
      <c r="B17" s="204"/>
      <c r="C17" s="205"/>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c r="AL17" s="453"/>
    </row>
    <row r="18" spans="1:38">
      <c r="A18" s="204"/>
      <c r="B18" s="204"/>
      <c r="C18" s="205"/>
      <c r="D18" s="517" t="s">
        <v>2519</v>
      </c>
      <c r="E18" s="439"/>
      <c r="G18" s="439"/>
      <c r="H18" s="439"/>
      <c r="I18" s="439"/>
      <c r="J18" s="1530" t="s">
        <v>2518</v>
      </c>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c r="AL18" s="453"/>
    </row>
    <row r="19" spans="1:38">
      <c r="A19" s="204"/>
      <c r="B19" s="204"/>
      <c r="C19" s="205"/>
      <c r="D19" s="439"/>
      <c r="E19" s="439"/>
      <c r="F19" s="1183"/>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53"/>
    </row>
    <row r="20" spans="1:38" ht="13.35" customHeight="1">
      <c r="A20" s="204"/>
      <c r="B20" s="204"/>
      <c r="C20" s="205"/>
      <c r="D20" s="1528" t="s">
        <v>1992</v>
      </c>
      <c r="E20" s="1528"/>
      <c r="F20" s="1528"/>
      <c r="G20" s="1528"/>
      <c r="H20" s="1528"/>
      <c r="I20" s="1528"/>
      <c r="J20" s="1528"/>
      <c r="K20" s="1528"/>
      <c r="L20" s="1528"/>
      <c r="M20" s="1528"/>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c r="AL20" s="204"/>
    </row>
    <row r="21" spans="1:38">
      <c r="A21" s="204"/>
      <c r="B21" s="204"/>
      <c r="C21" s="205"/>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c r="AL21" s="204"/>
    </row>
    <row r="22" spans="1:38">
      <c r="A22" s="204"/>
      <c r="B22" s="204"/>
      <c r="C22" s="205"/>
      <c r="D22" s="1528"/>
      <c r="E22" s="1528"/>
      <c r="F22" s="1528"/>
      <c r="G22" s="1528"/>
      <c r="H22" s="1528"/>
      <c r="I22" s="1528"/>
      <c r="J22" s="1528"/>
      <c r="K22" s="1528"/>
      <c r="L22" s="1528"/>
      <c r="M22" s="1528"/>
      <c r="N22" s="1528"/>
      <c r="O22" s="1528"/>
      <c r="P22" s="1528"/>
      <c r="Q22" s="1528"/>
      <c r="R22" s="1528"/>
      <c r="S22" s="1528"/>
      <c r="T22" s="1528"/>
      <c r="U22" s="1528"/>
      <c r="V22" s="1528"/>
      <c r="W22" s="1528"/>
      <c r="X22" s="1528"/>
      <c r="Y22" s="1528"/>
      <c r="Z22" s="1528"/>
      <c r="AA22" s="1528"/>
      <c r="AB22" s="1528"/>
      <c r="AC22" s="1528"/>
      <c r="AD22" s="1528"/>
      <c r="AE22" s="1528"/>
      <c r="AF22" s="1528"/>
      <c r="AG22" s="1528"/>
      <c r="AH22" s="1528"/>
      <c r="AI22" s="1528"/>
      <c r="AJ22" s="1528"/>
      <c r="AK22" s="1528"/>
      <c r="AL22" s="204"/>
    </row>
    <row r="23" spans="1:38" ht="13.35" customHeight="1">
      <c r="A23" s="204"/>
      <c r="B23" s="204"/>
      <c r="C23" s="205"/>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c r="AL23" s="204"/>
    </row>
    <row r="24" spans="1:38">
      <c r="A24" s="204"/>
      <c r="B24" s="204"/>
      <c r="C24" s="205"/>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c r="AL24" s="204"/>
    </row>
    <row r="25" spans="1:38">
      <c r="A25" s="204"/>
      <c r="B25" s="204"/>
      <c r="C25" s="205"/>
      <c r="D25" s="1528"/>
      <c r="E25" s="1528"/>
      <c r="F25" s="1528"/>
      <c r="G25" s="1528"/>
      <c r="H25" s="1528"/>
      <c r="I25" s="1528"/>
      <c r="J25" s="1528"/>
      <c r="K25" s="1528"/>
      <c r="L25" s="1528"/>
      <c r="M25" s="1528"/>
      <c r="N25" s="1528"/>
      <c r="O25" s="1528"/>
      <c r="P25" s="1528"/>
      <c r="Q25" s="1528"/>
      <c r="R25" s="1528"/>
      <c r="S25" s="1528"/>
      <c r="T25" s="1528"/>
      <c r="U25" s="1528"/>
      <c r="V25" s="1528"/>
      <c r="W25" s="1528"/>
      <c r="X25" s="1528"/>
      <c r="Y25" s="1528"/>
      <c r="Z25" s="1528"/>
      <c r="AA25" s="1528"/>
      <c r="AB25" s="1528"/>
      <c r="AC25" s="1528"/>
      <c r="AD25" s="1528"/>
      <c r="AE25" s="1528"/>
      <c r="AF25" s="1528"/>
      <c r="AG25" s="1528"/>
      <c r="AH25" s="1528"/>
      <c r="AI25" s="1528"/>
      <c r="AJ25" s="1528"/>
      <c r="AK25" s="1528"/>
      <c r="AL25" s="204"/>
    </row>
    <row r="26" spans="1:38">
      <c r="A26" s="204"/>
      <c r="B26" s="204"/>
      <c r="C26" s="205"/>
      <c r="D26" s="1528"/>
      <c r="E26" s="1528"/>
      <c r="F26" s="1528"/>
      <c r="G26" s="1528"/>
      <c r="H26" s="1528"/>
      <c r="I26" s="1528"/>
      <c r="J26" s="1528"/>
      <c r="K26" s="1528"/>
      <c r="L26" s="1528"/>
      <c r="M26" s="1528"/>
      <c r="N26" s="1528"/>
      <c r="O26" s="1528"/>
      <c r="P26" s="1528"/>
      <c r="Q26" s="1528"/>
      <c r="R26" s="1528"/>
      <c r="S26" s="1528"/>
      <c r="T26" s="1528"/>
      <c r="U26" s="1528"/>
      <c r="V26" s="1528"/>
      <c r="W26" s="1528"/>
      <c r="X26" s="1528"/>
      <c r="Y26" s="1528"/>
      <c r="Z26" s="1528"/>
      <c r="AA26" s="1528"/>
      <c r="AB26" s="1528"/>
      <c r="AC26" s="1528"/>
      <c r="AD26" s="1528"/>
      <c r="AE26" s="1528"/>
      <c r="AF26" s="1528"/>
      <c r="AG26" s="1528"/>
      <c r="AH26" s="1528"/>
      <c r="AI26" s="1528"/>
      <c r="AJ26" s="1528"/>
      <c r="AK26" s="1528"/>
      <c r="AL26" s="204"/>
    </row>
    <row r="27" spans="1:38">
      <c r="A27" s="204"/>
      <c r="B27" s="204"/>
      <c r="C27" s="205"/>
      <c r="D27" s="1528"/>
      <c r="E27" s="1528"/>
      <c r="F27" s="1528"/>
      <c r="G27" s="1528"/>
      <c r="H27" s="1528"/>
      <c r="I27" s="1528"/>
      <c r="J27" s="1528"/>
      <c r="K27" s="1528"/>
      <c r="L27" s="1528"/>
      <c r="M27" s="1528"/>
      <c r="N27" s="1528"/>
      <c r="O27" s="1528"/>
      <c r="P27" s="1528"/>
      <c r="Q27" s="1528"/>
      <c r="R27" s="1528"/>
      <c r="S27" s="1528"/>
      <c r="T27" s="1528"/>
      <c r="U27" s="1528"/>
      <c r="V27" s="1528"/>
      <c r="W27" s="1528"/>
      <c r="X27" s="1528"/>
      <c r="Y27" s="1528"/>
      <c r="Z27" s="1528"/>
      <c r="AA27" s="1528"/>
      <c r="AB27" s="1528"/>
      <c r="AC27" s="1528"/>
      <c r="AD27" s="1528"/>
      <c r="AE27" s="1528"/>
      <c r="AF27" s="1528"/>
      <c r="AG27" s="1528"/>
      <c r="AH27" s="1528"/>
      <c r="AI27" s="1528"/>
      <c r="AJ27" s="1528"/>
      <c r="AK27" s="1528"/>
      <c r="AL27" s="204"/>
    </row>
    <row r="28" spans="1:38">
      <c r="A28" s="204"/>
      <c r="B28" s="204"/>
      <c r="C28" s="205"/>
      <c r="D28" s="1528"/>
      <c r="E28" s="1528"/>
      <c r="F28" s="1528"/>
      <c r="G28" s="1528"/>
      <c r="H28" s="1528"/>
      <c r="I28" s="1528"/>
      <c r="J28" s="1528"/>
      <c r="K28" s="1528"/>
      <c r="L28" s="1528"/>
      <c r="M28" s="1528"/>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c r="AL28" s="204"/>
    </row>
    <row r="29" spans="1:38">
      <c r="A29" s="204"/>
      <c r="B29" s="204"/>
      <c r="C29" s="205"/>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204"/>
    </row>
    <row r="30" spans="1:38" ht="13.35" customHeight="1">
      <c r="A30" s="204"/>
      <c r="B30" s="204"/>
      <c r="C30" s="205"/>
      <c r="D30" s="1528" t="s">
        <v>1993</v>
      </c>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204"/>
    </row>
    <row r="31" spans="1:38">
      <c r="A31" s="204"/>
      <c r="B31" s="204"/>
      <c r="C31" s="205"/>
      <c r="D31" s="453"/>
      <c r="E31" s="1536" t="s">
        <v>2594</v>
      </c>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204"/>
    </row>
    <row r="32" spans="1:38">
      <c r="A32" s="4"/>
      <c r="C32" s="2"/>
    </row>
    <row r="33" spans="1:38">
      <c r="A33" s="4"/>
      <c r="D33" s="1529" t="s">
        <v>2093</v>
      </c>
      <c r="E33" s="1529"/>
      <c r="F33" s="1529"/>
      <c r="G33" s="1529"/>
      <c r="H33" s="1529"/>
      <c r="I33" s="1529"/>
      <c r="J33" s="1529"/>
      <c r="K33" s="1529"/>
      <c r="L33" s="1529"/>
      <c r="M33" s="1529"/>
      <c r="N33" s="1529"/>
      <c r="O33" s="1529"/>
      <c r="P33" s="1529"/>
      <c r="Q33" s="1529"/>
      <c r="R33" s="1529"/>
      <c r="S33" s="1529"/>
      <c r="T33" s="1529"/>
      <c r="U33" s="1529"/>
      <c r="V33" s="1529"/>
      <c r="W33" s="1529"/>
      <c r="X33" s="1529"/>
      <c r="Y33" s="1529"/>
      <c r="Z33" s="1529"/>
      <c r="AA33" s="1529"/>
      <c r="AB33" s="1529"/>
      <c r="AC33" s="1529"/>
      <c r="AD33" s="1529"/>
      <c r="AE33" s="1529"/>
      <c r="AF33" s="1529"/>
      <c r="AG33" s="1529"/>
      <c r="AH33" s="1529"/>
      <c r="AI33" s="1529"/>
      <c r="AJ33" s="1529"/>
      <c r="AK33" s="1529"/>
    </row>
    <row r="34" spans="1:38">
      <c r="A34" s="4"/>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row>
    <row r="35" spans="1:38">
      <c r="A35" s="4"/>
      <c r="D35" s="120"/>
      <c r="E35" s="1535" t="s">
        <v>2595</v>
      </c>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row>
    <row r="36" spans="1:38">
      <c r="A36" s="4"/>
      <c r="D36" s="120"/>
      <c r="E36" s="1535" t="s">
        <v>2596</v>
      </c>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528" customFormat="1" ht="13.35" customHeight="1">
      <c r="A40" s="4"/>
      <c r="B40"/>
      <c r="C40" s="2"/>
      <c r="D40" s="4"/>
      <c r="E40" s="4" t="s">
        <v>652</v>
      </c>
      <c r="F40" s="1528" t="s">
        <v>1161</v>
      </c>
    </row>
    <row r="41" spans="1:38" s="1528" customFormat="1" ht="13.35" customHeight="1">
      <c r="A41" s="4"/>
      <c r="B41"/>
      <c r="C41" s="2"/>
      <c r="D41" s="4"/>
      <c r="E41" s="4"/>
    </row>
    <row r="42" spans="1:38">
      <c r="A42" s="4"/>
      <c r="C42" s="2"/>
      <c r="D42" s="4"/>
      <c r="E42" s="4"/>
      <c r="F42" s="35" t="s">
        <v>686</v>
      </c>
      <c r="G42" s="4" t="s">
        <v>175</v>
      </c>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row>
    <row r="43" spans="1:38" s="118" customFormat="1" ht="13.35" customHeight="1">
      <c r="A43" s="4"/>
      <c r="B43"/>
      <c r="C43" s="2"/>
      <c r="D43" s="4"/>
      <c r="E43" s="3" t="s">
        <v>347</v>
      </c>
      <c r="F43" s="1533" t="s">
        <v>1243</v>
      </c>
      <c r="G43" s="1533"/>
      <c r="H43" s="1533"/>
      <c r="I43" s="1533"/>
      <c r="J43" s="1533"/>
      <c r="K43" s="1533"/>
      <c r="L43" s="1533"/>
      <c r="M43" s="1533"/>
      <c r="N43" s="1533"/>
      <c r="O43" s="1533"/>
      <c r="P43" s="1533"/>
      <c r="Q43" s="1533"/>
      <c r="R43" s="1533"/>
      <c r="S43" s="1533"/>
      <c r="T43" s="1533"/>
      <c r="U43" s="1533"/>
      <c r="V43" s="1533"/>
      <c r="W43" s="1533"/>
      <c r="X43" s="1533"/>
      <c r="Y43" s="1533"/>
      <c r="Z43" s="1533"/>
      <c r="AA43" s="1533"/>
      <c r="AB43" s="1533"/>
      <c r="AC43" s="1533"/>
      <c r="AD43" s="1533"/>
      <c r="AE43" s="1533"/>
      <c r="AF43" s="1533"/>
      <c r="AG43" s="1533"/>
      <c r="AH43" s="1533"/>
      <c r="AI43" s="1533"/>
      <c r="AJ43" s="1533"/>
      <c r="AK43" s="1533"/>
      <c r="AL43" s="1533"/>
    </row>
    <row r="44" spans="1:38" s="118" customFormat="1">
      <c r="A44" s="4"/>
      <c r="B44"/>
      <c r="C44" s="2"/>
      <c r="D44" s="4"/>
      <c r="E44" s="4"/>
      <c r="F44" s="1533"/>
      <c r="G44" s="1533"/>
      <c r="H44" s="1533"/>
      <c r="I44" s="1533"/>
      <c r="J44" s="1533"/>
      <c r="K44" s="1533"/>
      <c r="L44" s="1533"/>
      <c r="M44" s="1533"/>
      <c r="N44" s="1533"/>
      <c r="O44" s="1533"/>
      <c r="P44" s="1533"/>
      <c r="Q44" s="1533"/>
      <c r="R44" s="1533"/>
      <c r="S44" s="1533"/>
      <c r="T44" s="1533"/>
      <c r="U44" s="1533"/>
      <c r="V44" s="1533"/>
      <c r="W44" s="1533"/>
      <c r="X44" s="1533"/>
      <c r="Y44" s="1533"/>
      <c r="Z44" s="1533"/>
      <c r="AA44" s="1533"/>
      <c r="AB44" s="1533"/>
      <c r="AC44" s="1533"/>
      <c r="AD44" s="1533"/>
      <c r="AE44" s="1533"/>
      <c r="AF44" s="1533"/>
      <c r="AG44" s="1533"/>
      <c r="AH44" s="1533"/>
      <c r="AI44" s="1533"/>
      <c r="AJ44" s="1533"/>
      <c r="AK44" s="1533"/>
      <c r="AL44" s="1533"/>
    </row>
    <row r="45" spans="1:38" s="118" customFormat="1" ht="13.35" customHeight="1">
      <c r="A45" s="4"/>
      <c r="B45"/>
      <c r="C45" s="2"/>
      <c r="D45" s="4"/>
      <c r="E45" s="4"/>
      <c r="F45" s="1533"/>
      <c r="G45" s="1533"/>
      <c r="H45" s="1533"/>
      <c r="I45" s="1533"/>
      <c r="J45" s="1533"/>
      <c r="K45" s="1533"/>
      <c r="L45" s="1533"/>
      <c r="M45" s="1533"/>
      <c r="N45" s="1533"/>
      <c r="O45" s="1533"/>
      <c r="P45" s="1533"/>
      <c r="Q45" s="1533"/>
      <c r="R45" s="1533"/>
      <c r="S45" s="1533"/>
      <c r="T45" s="1533"/>
      <c r="U45" s="1533"/>
      <c r="V45" s="1533"/>
      <c r="W45" s="1533"/>
      <c r="X45" s="1533"/>
      <c r="Y45" s="1533"/>
      <c r="Z45" s="1533"/>
      <c r="AA45" s="1533"/>
      <c r="AB45" s="1533"/>
      <c r="AC45" s="1533"/>
      <c r="AD45" s="1533"/>
      <c r="AE45" s="1533"/>
      <c r="AF45" s="1533"/>
      <c r="AG45" s="1533"/>
      <c r="AH45" s="1533"/>
      <c r="AI45" s="1533"/>
      <c r="AJ45" s="1533"/>
      <c r="AK45" s="1533"/>
      <c r="AL45" s="1533"/>
    </row>
    <row r="46" spans="1:38">
      <c r="A46" s="4"/>
      <c r="C46" s="2"/>
      <c r="D46" s="4"/>
      <c r="E46" s="4"/>
      <c r="F46" s="118" t="s">
        <v>686</v>
      </c>
      <c r="G46" s="3" t="s">
        <v>1994</v>
      </c>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528" t="s">
        <v>1995</v>
      </c>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1:38">
      <c r="A49" s="4"/>
      <c r="C49" s="2"/>
      <c r="D49" s="4"/>
      <c r="E49" s="4"/>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row>
    <row r="50" spans="1:38">
      <c r="A50" s="4"/>
      <c r="C50" s="2"/>
      <c r="D50" s="4"/>
      <c r="F50" s="1528"/>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531" t="s">
        <v>1188</v>
      </c>
      <c r="H54" s="1531"/>
      <c r="I54" s="1531"/>
      <c r="J54" s="1531"/>
      <c r="K54" s="1531"/>
      <c r="L54" s="1531"/>
      <c r="M54" s="1531"/>
      <c r="N54" s="1531"/>
      <c r="O54" s="1531"/>
      <c r="P54" s="1531"/>
      <c r="Q54" s="1531"/>
      <c r="R54" s="1531"/>
      <c r="S54" s="1531"/>
      <c r="T54" s="1531"/>
      <c r="U54" s="1531"/>
      <c r="V54" s="1531"/>
      <c r="W54" s="1531"/>
      <c r="X54" s="1531"/>
      <c r="Y54" s="1531"/>
      <c r="Z54" s="1531"/>
      <c r="AA54" s="1531"/>
      <c r="AB54" s="1531"/>
      <c r="AC54" s="1531"/>
      <c r="AD54" s="1531"/>
      <c r="AE54" s="1531"/>
      <c r="AF54" s="1531"/>
      <c r="AG54" s="1531"/>
      <c r="AH54" s="1531"/>
      <c r="AI54" s="1531"/>
      <c r="AJ54" s="1531"/>
      <c r="AK54" s="1531"/>
      <c r="AL54" s="204"/>
    </row>
    <row r="55" spans="1:38" ht="13.35" customHeight="1">
      <c r="A55" s="204"/>
      <c r="B55" s="204"/>
      <c r="C55" s="205"/>
      <c r="D55" s="205"/>
      <c r="E55" s="204"/>
      <c r="F55" s="206"/>
      <c r="G55" s="476" t="s">
        <v>1190</v>
      </c>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204"/>
    </row>
    <row r="56" spans="1:38">
      <c r="A56" s="204"/>
      <c r="B56" s="204"/>
      <c r="C56" s="205"/>
      <c r="D56" s="205"/>
      <c r="E56" s="204"/>
      <c r="F56" s="206"/>
      <c r="G56" s="1531" t="s">
        <v>574</v>
      </c>
      <c r="H56" s="1531"/>
      <c r="I56" s="1531"/>
      <c r="J56" s="450"/>
      <c r="K56" s="450"/>
      <c r="L56" s="450"/>
      <c r="M56" s="450"/>
      <c r="N56" s="450"/>
      <c r="O56" s="450"/>
      <c r="P56" s="450"/>
      <c r="Q56" s="450"/>
      <c r="R56" s="450"/>
      <c r="S56" s="450"/>
      <c r="T56" s="450"/>
      <c r="U56" s="450"/>
      <c r="V56" s="450"/>
      <c r="W56" s="450"/>
      <c r="X56" s="450"/>
      <c r="Y56" s="450"/>
      <c r="Z56" s="450"/>
      <c r="AA56" s="450"/>
      <c r="AB56" s="450"/>
      <c r="AC56" s="450"/>
      <c r="AD56" s="450"/>
      <c r="AE56" s="450"/>
      <c r="AF56" s="450"/>
      <c r="AG56" s="450"/>
      <c r="AH56" s="450"/>
      <c r="AI56" s="450"/>
      <c r="AJ56" s="450"/>
      <c r="AK56" s="450"/>
      <c r="AL56" s="204"/>
    </row>
    <row r="57" spans="1:38" ht="13.35" customHeight="1">
      <c r="A57" s="204"/>
      <c r="B57" s="205"/>
      <c r="C57" s="205"/>
      <c r="D57" s="205"/>
      <c r="E57" s="204"/>
      <c r="F57" s="206" t="s">
        <v>508</v>
      </c>
      <c r="G57" s="1531" t="s">
        <v>1996</v>
      </c>
      <c r="H57" s="1531"/>
      <c r="I57" s="1531"/>
      <c r="J57" s="1531"/>
      <c r="K57" s="1531"/>
      <c r="L57" s="1531"/>
      <c r="M57" s="1531"/>
      <c r="N57" s="1531"/>
      <c r="O57" s="1531"/>
      <c r="P57" s="1531"/>
      <c r="Q57" s="1531"/>
      <c r="R57" s="1531"/>
      <c r="S57" s="1531"/>
      <c r="T57" s="1531"/>
      <c r="U57" s="1531"/>
      <c r="V57" s="1531"/>
      <c r="W57" s="1531"/>
      <c r="X57" s="1531"/>
      <c r="Y57" s="1531"/>
      <c r="Z57" s="1531"/>
      <c r="AA57" s="1531"/>
      <c r="AB57" s="1531"/>
      <c r="AC57" s="1531"/>
      <c r="AD57" s="1531"/>
      <c r="AE57" s="1531"/>
      <c r="AF57" s="1531"/>
      <c r="AG57" s="1531"/>
      <c r="AH57" s="1531"/>
      <c r="AI57" s="1531"/>
      <c r="AJ57" s="1531"/>
      <c r="AK57" s="1531"/>
      <c r="AL57" s="1531"/>
    </row>
    <row r="58" spans="1:38">
      <c r="A58" s="204"/>
      <c r="B58" s="204"/>
      <c r="C58" s="205"/>
      <c r="D58" s="205"/>
      <c r="E58" s="204"/>
      <c r="F58" s="206"/>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row>
    <row r="59" spans="1:38">
      <c r="A59" s="204"/>
      <c r="B59" s="204"/>
      <c r="C59" s="205"/>
      <c r="D59" s="205"/>
      <c r="E59" s="204"/>
      <c r="F59" s="206"/>
      <c r="G59" s="477" t="s">
        <v>1276</v>
      </c>
      <c r="H59" s="450"/>
      <c r="I59" s="450"/>
      <c r="J59" s="450"/>
      <c r="K59" s="450"/>
      <c r="L59" s="450"/>
      <c r="M59" s="450"/>
      <c r="N59" s="450"/>
      <c r="O59" s="450"/>
      <c r="P59" s="450"/>
      <c r="Q59" s="450"/>
      <c r="R59" s="450"/>
      <c r="S59" s="450"/>
      <c r="T59" s="450"/>
      <c r="U59" s="450"/>
      <c r="V59" s="450"/>
      <c r="W59" s="450"/>
      <c r="X59" s="450"/>
      <c r="Y59" s="450"/>
      <c r="Z59" s="450"/>
      <c r="AA59" s="450"/>
      <c r="AB59" s="450"/>
      <c r="AC59" s="450"/>
      <c r="AD59" s="450"/>
      <c r="AE59" s="450"/>
      <c r="AF59" s="450"/>
      <c r="AG59" s="450"/>
      <c r="AH59" s="450"/>
      <c r="AI59" s="450"/>
      <c r="AJ59" s="450"/>
      <c r="AK59" s="450"/>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528" t="s">
        <v>1163</v>
      </c>
      <c r="H64" s="1528"/>
      <c r="I64" s="1528"/>
      <c r="J64" s="1528"/>
      <c r="K64" s="1528"/>
      <c r="L64" s="1528"/>
      <c r="M64" s="1528"/>
      <c r="N64" s="1528"/>
      <c r="O64" s="1528"/>
      <c r="P64" s="1528"/>
      <c r="Q64" s="1528"/>
      <c r="R64" s="1528"/>
      <c r="S64" s="1528"/>
      <c r="T64" s="1528"/>
      <c r="U64" s="1528"/>
      <c r="V64" s="1528"/>
      <c r="W64" s="1528"/>
      <c r="X64" s="1528"/>
      <c r="Y64" s="1528"/>
      <c r="Z64" s="1528"/>
      <c r="AA64" s="1528"/>
      <c r="AB64" s="1528"/>
      <c r="AC64" s="1528"/>
      <c r="AD64" s="1528"/>
      <c r="AE64" s="1528"/>
      <c r="AF64" s="1528"/>
      <c r="AG64" s="1528"/>
      <c r="AH64" s="1528"/>
      <c r="AI64" s="1528"/>
      <c r="AJ64" s="1528"/>
      <c r="AK64" s="1528"/>
    </row>
    <row r="65" spans="1:37">
      <c r="A65" s="4"/>
      <c r="C65" s="2"/>
      <c r="D65" s="4"/>
      <c r="E65" s="4"/>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row>
    <row r="66" spans="1:37">
      <c r="A66" s="4"/>
      <c r="C66" s="2"/>
      <c r="D66" s="4"/>
      <c r="E66" s="4"/>
      <c r="G66" s="1528"/>
      <c r="H66" s="1528"/>
      <c r="I66" s="1528"/>
      <c r="J66" s="1528"/>
      <c r="K66" s="152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row>
    <row r="67" spans="1:37" ht="13.35" customHeight="1">
      <c r="A67" s="4"/>
      <c r="C67" s="2"/>
      <c r="D67" s="4"/>
      <c r="E67" s="4"/>
      <c r="F67" t="s">
        <v>508</v>
      </c>
      <c r="G67" s="1528" t="s">
        <v>1164</v>
      </c>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row>
    <row r="68" spans="1:37">
      <c r="A68" s="4"/>
      <c r="C68" s="2"/>
      <c r="D68" s="4"/>
      <c r="E68" s="4"/>
      <c r="F68" s="27"/>
      <c r="G68" s="1528"/>
      <c r="H68" s="1528"/>
      <c r="I68" s="1528"/>
      <c r="J68" s="1528"/>
      <c r="K68" s="1528"/>
      <c r="L68" s="1528"/>
      <c r="M68" s="1528"/>
      <c r="N68" s="1528"/>
      <c r="O68" s="1528"/>
      <c r="P68" s="1528"/>
      <c r="Q68" s="1528"/>
      <c r="R68" s="1528"/>
      <c r="S68" s="1528"/>
      <c r="T68" s="1528"/>
      <c r="U68" s="1528"/>
      <c r="V68" s="1528"/>
      <c r="W68" s="1528"/>
      <c r="X68" s="1528"/>
      <c r="Y68" s="1528"/>
      <c r="Z68" s="1528"/>
      <c r="AA68" s="1528"/>
      <c r="AB68" s="1528"/>
      <c r="AC68" s="1528"/>
      <c r="AD68" s="1528"/>
      <c r="AE68" s="1528"/>
      <c r="AF68" s="1528"/>
      <c r="AG68" s="1528"/>
      <c r="AH68" s="1528"/>
      <c r="AI68" s="1528"/>
      <c r="AJ68" s="1528"/>
      <c r="AK68" s="1528"/>
    </row>
    <row r="69" spans="1:37">
      <c r="A69" s="4"/>
      <c r="C69" s="2"/>
      <c r="D69" s="4"/>
      <c r="E69" s="4" t="s">
        <v>347</v>
      </c>
      <c r="F69" s="4" t="s">
        <v>420</v>
      </c>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row>
    <row r="70" spans="1:37">
      <c r="A70" s="4"/>
      <c r="C70" s="2"/>
      <c r="D70" s="4"/>
      <c r="E70" s="4"/>
      <c r="F70" s="8" t="s">
        <v>686</v>
      </c>
      <c r="G70" s="1528" t="s">
        <v>1165</v>
      </c>
      <c r="H70" s="1528"/>
      <c r="I70" s="1528"/>
      <c r="J70" s="1528"/>
      <c r="K70" s="1528"/>
      <c r="L70" s="1528"/>
      <c r="M70" s="1528"/>
      <c r="N70" s="1528"/>
      <c r="O70" s="1528"/>
      <c r="P70" s="1528"/>
      <c r="Q70" s="1528"/>
      <c r="R70" s="1528"/>
      <c r="S70" s="1528"/>
      <c r="T70" s="1528"/>
      <c r="U70" s="1528"/>
      <c r="V70" s="1528"/>
      <c r="W70" s="1528"/>
      <c r="X70" s="1528"/>
      <c r="Y70" s="1528"/>
      <c r="Z70" s="1528"/>
      <c r="AA70" s="1528"/>
      <c r="AB70" s="1528"/>
      <c r="AC70" s="1528"/>
      <c r="AD70" s="1528"/>
      <c r="AE70" s="1528"/>
      <c r="AF70" s="1528"/>
      <c r="AG70" s="1528"/>
      <c r="AH70" s="1528"/>
      <c r="AI70" s="1528"/>
      <c r="AJ70" s="1528"/>
      <c r="AK70" s="1528"/>
    </row>
    <row r="71" spans="1:37">
      <c r="A71" s="4"/>
      <c r="C71" s="2"/>
      <c r="D71" s="4"/>
      <c r="E71" s="4"/>
      <c r="F71" s="8"/>
      <c r="G71" s="1528"/>
      <c r="H71" s="1528"/>
      <c r="I71" s="1528"/>
      <c r="J71" s="1528"/>
      <c r="K71" s="1528"/>
      <c r="L71" s="1528"/>
      <c r="M71" s="1528"/>
      <c r="N71" s="1528"/>
      <c r="O71" s="1528"/>
      <c r="P71" s="1528"/>
      <c r="Q71" s="1528"/>
      <c r="R71" s="1528"/>
      <c r="S71" s="1528"/>
      <c r="T71" s="1528"/>
      <c r="U71" s="1528"/>
      <c r="V71" s="1528"/>
      <c r="W71" s="1528"/>
      <c r="X71" s="1528"/>
      <c r="Y71" s="1528"/>
      <c r="Z71" s="1528"/>
      <c r="AA71" s="1528"/>
      <c r="AB71" s="1528"/>
      <c r="AC71" s="1528"/>
      <c r="AD71" s="1528"/>
      <c r="AE71" s="1528"/>
      <c r="AF71" s="1528"/>
      <c r="AG71" s="1528"/>
      <c r="AH71" s="1528"/>
      <c r="AI71" s="1528"/>
      <c r="AJ71" s="1528"/>
      <c r="AK71" s="1528"/>
    </row>
    <row r="72" spans="1:37">
      <c r="A72" s="4"/>
      <c r="C72" s="2"/>
      <c r="D72" s="4"/>
      <c r="E72" s="4"/>
      <c r="F72" s="8" t="s">
        <v>508</v>
      </c>
      <c r="G72" s="1528" t="s">
        <v>1166</v>
      </c>
      <c r="H72" s="1528"/>
      <c r="I72" s="1528"/>
      <c r="J72" s="1528"/>
      <c r="K72" s="1528"/>
      <c r="L72" s="1528"/>
      <c r="M72" s="1528"/>
      <c r="N72" s="1528"/>
      <c r="O72" s="1528"/>
      <c r="P72" s="1528"/>
      <c r="Q72" s="1528"/>
      <c r="R72" s="1528"/>
      <c r="S72" s="1528"/>
      <c r="T72" s="1528"/>
      <c r="U72" s="1528"/>
      <c r="V72" s="1528"/>
      <c r="W72" s="1528"/>
      <c r="X72" s="1528"/>
      <c r="Y72" s="1528"/>
      <c r="Z72" s="1528"/>
      <c r="AA72" s="1528"/>
      <c r="AB72" s="1528"/>
      <c r="AC72" s="1528"/>
      <c r="AD72" s="1528"/>
      <c r="AE72" s="1528"/>
      <c r="AF72" s="1528"/>
      <c r="AG72" s="1528"/>
      <c r="AH72" s="1528"/>
      <c r="AI72" s="1528"/>
      <c r="AJ72" s="1528"/>
      <c r="AK72" s="1528"/>
    </row>
    <row r="73" spans="1:37">
      <c r="A73" s="4"/>
      <c r="C73" s="2"/>
      <c r="D73" s="4"/>
      <c r="E73" s="4"/>
      <c r="F73" s="8"/>
      <c r="G73" s="1528"/>
      <c r="H73" s="1528"/>
      <c r="I73" s="1528"/>
      <c r="J73" s="1528"/>
      <c r="K73" s="1528"/>
      <c r="L73" s="1528"/>
      <c r="M73" s="1528"/>
      <c r="N73" s="1528"/>
      <c r="O73" s="1528"/>
      <c r="P73" s="1528"/>
      <c r="Q73" s="1528"/>
      <c r="R73" s="1528"/>
      <c r="S73" s="1528"/>
      <c r="T73" s="1528"/>
      <c r="U73" s="1528"/>
      <c r="V73" s="1528"/>
      <c r="W73" s="1528"/>
      <c r="X73" s="1528"/>
      <c r="Y73" s="1528"/>
      <c r="Z73" s="1528"/>
      <c r="AA73" s="1528"/>
      <c r="AB73" s="1528"/>
      <c r="AC73" s="1528"/>
      <c r="AD73" s="1528"/>
      <c r="AE73" s="1528"/>
      <c r="AF73" s="1528"/>
      <c r="AG73" s="1528"/>
      <c r="AH73" s="1528"/>
      <c r="AI73" s="1528"/>
      <c r="AJ73" s="1528"/>
      <c r="AK73" s="152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861</v>
      </c>
      <c r="J75" s="120"/>
      <c r="K75" s="120"/>
      <c r="L75" s="120"/>
      <c r="P75" s="4"/>
      <c r="Q75" s="4"/>
      <c r="R75" s="4"/>
      <c r="S75" s="4"/>
      <c r="T75" s="4"/>
      <c r="U75" s="4"/>
      <c r="V75" s="4"/>
      <c r="W75" s="4"/>
      <c r="X75" s="4"/>
      <c r="Y75" s="4"/>
      <c r="Z75" s="4"/>
      <c r="AA75" s="4"/>
      <c r="AB75" s="4"/>
    </row>
    <row r="76" spans="1:37">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862</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528" t="s">
        <v>1167</v>
      </c>
      <c r="H80" s="1528"/>
      <c r="I80" s="1528"/>
      <c r="J80" s="1528"/>
      <c r="K80" s="1528"/>
      <c r="L80" s="1528"/>
      <c r="M80" s="1528"/>
      <c r="N80" s="1528"/>
      <c r="O80" s="1528"/>
      <c r="P80" s="1528"/>
      <c r="Q80" s="1528"/>
      <c r="R80" s="1528"/>
      <c r="S80" s="1528"/>
      <c r="T80" s="1528"/>
      <c r="U80" s="1528"/>
      <c r="V80" s="1528"/>
      <c r="W80" s="1528"/>
      <c r="X80" s="1528"/>
      <c r="Y80" s="1528"/>
      <c r="Z80" s="1528"/>
      <c r="AA80" s="1528"/>
      <c r="AB80" s="1528"/>
      <c r="AC80" s="1528"/>
      <c r="AD80" s="1528"/>
      <c r="AE80" s="1528"/>
      <c r="AF80" s="1528"/>
      <c r="AG80" s="1528"/>
      <c r="AH80" s="1528"/>
      <c r="AI80" s="1528"/>
      <c r="AJ80" s="1528"/>
      <c r="AK80" s="1528"/>
    </row>
    <row r="81" spans="1:37">
      <c r="A81" s="4"/>
      <c r="C81" s="2"/>
      <c r="D81" s="4"/>
      <c r="E81" s="4"/>
      <c r="F81" s="4"/>
      <c r="G81" s="1528"/>
      <c r="H81" s="1528"/>
      <c r="I81" s="1528"/>
      <c r="J81" s="1528"/>
      <c r="K81" s="1528"/>
      <c r="L81" s="1528"/>
      <c r="M81" s="1528"/>
      <c r="N81" s="1528"/>
      <c r="O81" s="1528"/>
      <c r="P81" s="1528"/>
      <c r="Q81" s="1528"/>
      <c r="R81" s="1528"/>
      <c r="S81" s="1528"/>
      <c r="T81" s="1528"/>
      <c r="U81" s="1528"/>
      <c r="V81" s="1528"/>
      <c r="W81" s="1528"/>
      <c r="X81" s="1528"/>
      <c r="Y81" s="1528"/>
      <c r="Z81" s="1528"/>
      <c r="AA81" s="1528"/>
      <c r="AB81" s="1528"/>
      <c r="AC81" s="1528"/>
      <c r="AD81" s="1528"/>
      <c r="AE81" s="1528"/>
      <c r="AF81" s="1528"/>
      <c r="AG81" s="1528"/>
      <c r="AH81" s="1528"/>
      <c r="AI81" s="1528"/>
      <c r="AJ81" s="1528"/>
      <c r="AK81" s="1528"/>
    </row>
    <row r="82" spans="1:37">
      <c r="A82" s="4"/>
      <c r="C82" s="2"/>
      <c r="D82" s="4"/>
      <c r="E82" s="4"/>
      <c r="F82" s="4"/>
      <c r="G82" s="1528"/>
      <c r="H82" s="1528"/>
      <c r="I82" s="1528"/>
      <c r="J82" s="1528"/>
      <c r="K82" s="1528"/>
      <c r="L82" s="1528"/>
      <c r="M82" s="1528"/>
      <c r="N82" s="1528"/>
      <c r="O82" s="1528"/>
      <c r="P82" s="1528"/>
      <c r="Q82" s="1528"/>
      <c r="R82" s="1528"/>
      <c r="S82" s="1528"/>
      <c r="T82" s="1528"/>
      <c r="U82" s="1528"/>
      <c r="V82" s="1528"/>
      <c r="W82" s="1528"/>
      <c r="X82" s="1528"/>
      <c r="Y82" s="1528"/>
      <c r="Z82" s="1528"/>
      <c r="AA82" s="1528"/>
      <c r="AB82" s="1528"/>
      <c r="AC82" s="1528"/>
      <c r="AD82" s="1528"/>
      <c r="AE82" s="1528"/>
      <c r="AF82" s="1528"/>
      <c r="AG82" s="1528"/>
      <c r="AH82" s="1528"/>
      <c r="AI82" s="1528"/>
      <c r="AJ82" s="1528"/>
      <c r="AK82" s="152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528" t="s">
        <v>1168</v>
      </c>
      <c r="H84" s="1528"/>
      <c r="I84" s="1528"/>
      <c r="J84" s="1528"/>
      <c r="K84" s="1528"/>
      <c r="L84" s="1528"/>
      <c r="M84" s="1528"/>
      <c r="N84" s="1528"/>
      <c r="O84" s="1528"/>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row>
    <row r="85" spans="1:37">
      <c r="A85" s="4"/>
      <c r="C85" s="2"/>
      <c r="D85" s="4"/>
      <c r="E85" s="4"/>
      <c r="F85" s="4"/>
      <c r="G85" s="1528"/>
      <c r="H85" s="1528"/>
      <c r="I85" s="1528"/>
      <c r="J85" s="1528"/>
      <c r="K85" s="1528"/>
      <c r="L85" s="1528"/>
      <c r="M85" s="1528"/>
      <c r="N85" s="1528"/>
      <c r="O85" s="1528"/>
      <c r="P85" s="1528"/>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row>
    <row r="86" spans="1:37">
      <c r="A86" s="4"/>
      <c r="C86" s="2"/>
      <c r="D86" s="4"/>
      <c r="E86" s="4"/>
      <c r="G86" s="1528"/>
      <c r="H86" s="1528"/>
      <c r="I86" s="1528"/>
      <c r="J86" s="1528"/>
      <c r="K86" s="1528"/>
      <c r="L86" s="1528"/>
      <c r="M86" s="1528"/>
      <c r="N86" s="1528"/>
      <c r="O86" s="1528"/>
      <c r="P86" s="1528"/>
      <c r="Q86" s="1528"/>
      <c r="R86" s="1528"/>
      <c r="S86" s="1528"/>
      <c r="T86" s="1528"/>
      <c r="U86" s="1528"/>
      <c r="V86" s="1528"/>
      <c r="W86" s="1528"/>
      <c r="X86" s="1528"/>
      <c r="Y86" s="1528"/>
      <c r="Z86" s="1528"/>
      <c r="AA86" s="1528"/>
      <c r="AB86" s="1528"/>
      <c r="AC86" s="1528"/>
      <c r="AD86" s="1528"/>
      <c r="AE86" s="1528"/>
      <c r="AF86" s="1528"/>
      <c r="AG86" s="1528"/>
      <c r="AH86" s="1528"/>
      <c r="AI86" s="1528"/>
      <c r="AJ86" s="1528"/>
      <c r="AK86" s="1528"/>
    </row>
    <row r="87" spans="1:37">
      <c r="A87" s="4"/>
      <c r="C87" s="2"/>
      <c r="D87" s="4"/>
      <c r="E87" s="4" t="s">
        <v>261</v>
      </c>
      <c r="F87" t="s">
        <v>863</v>
      </c>
      <c r="G87" s="4"/>
      <c r="L87" s="4"/>
      <c r="M87" s="4"/>
      <c r="P87" s="4"/>
      <c r="Q87" s="4"/>
      <c r="R87" s="4"/>
      <c r="S87" s="4"/>
      <c r="T87" s="4"/>
      <c r="U87" s="4"/>
      <c r="V87" s="4"/>
      <c r="W87" s="4"/>
      <c r="X87" s="4"/>
      <c r="Y87" s="4"/>
      <c r="Z87" s="4"/>
      <c r="AA87" s="4"/>
      <c r="AB87" s="4"/>
    </row>
    <row r="88" spans="1:37">
      <c r="A88" s="4"/>
      <c r="C88" s="2"/>
      <c r="D88" s="4"/>
      <c r="E88" s="4"/>
      <c r="G88" s="1538" t="s">
        <v>1169</v>
      </c>
      <c r="H88" s="1538"/>
      <c r="I88" s="1538"/>
      <c r="J88" s="1538"/>
      <c r="K88" s="1538"/>
      <c r="L88" s="1538"/>
      <c r="M88" s="1538"/>
      <c r="N88" s="1538"/>
      <c r="O88" s="1538"/>
      <c r="P88" s="1538"/>
      <c r="Q88" s="1538"/>
      <c r="R88" s="1538"/>
      <c r="S88" s="1538"/>
      <c r="T88" s="1538"/>
      <c r="U88" s="1538"/>
      <c r="V88" s="1538"/>
      <c r="W88" s="1538"/>
      <c r="X88" s="1538"/>
      <c r="Y88" s="1538"/>
      <c r="Z88" s="1538"/>
      <c r="AA88" s="1538"/>
      <c r="AB88" s="1538"/>
      <c r="AC88" s="1538"/>
      <c r="AD88" s="1538"/>
      <c r="AE88" s="1538"/>
      <c r="AF88" s="1538"/>
      <c r="AG88" s="1538"/>
      <c r="AH88" s="1538"/>
      <c r="AI88" s="1538"/>
      <c r="AJ88" s="1538"/>
      <c r="AK88" s="1538"/>
    </row>
    <row r="89" spans="1:37">
      <c r="A89" s="4"/>
      <c r="C89" s="2"/>
      <c r="D89" s="4"/>
      <c r="E89" s="4"/>
      <c r="G89" s="1538"/>
      <c r="H89" s="1538"/>
      <c r="I89" s="1538"/>
      <c r="J89" s="1538"/>
      <c r="K89" s="1538"/>
      <c r="L89" s="1538"/>
      <c r="M89" s="1538"/>
      <c r="N89" s="1538"/>
      <c r="O89" s="1538"/>
      <c r="P89" s="1538"/>
      <c r="Q89" s="1538"/>
      <c r="R89" s="1538"/>
      <c r="S89" s="1538"/>
      <c r="T89" s="1538"/>
      <c r="U89" s="1538"/>
      <c r="V89" s="1538"/>
      <c r="W89" s="1538"/>
      <c r="X89" s="1538"/>
      <c r="Y89" s="1538"/>
      <c r="Z89" s="1538"/>
      <c r="AA89" s="1538"/>
      <c r="AB89" s="1538"/>
      <c r="AC89" s="1538"/>
      <c r="AD89" s="1538"/>
      <c r="AE89" s="1538"/>
      <c r="AF89" s="1538"/>
      <c r="AG89" s="1538"/>
      <c r="AH89" s="1538"/>
      <c r="AI89" s="1538"/>
      <c r="AJ89" s="1538"/>
      <c r="AK89" s="1538"/>
    </row>
    <row r="90" spans="1:37">
      <c r="A90" s="4"/>
      <c r="C90" s="2"/>
      <c r="D90" s="4"/>
      <c r="E90" s="4"/>
      <c r="G90" s="1538"/>
      <c r="H90" s="1538"/>
      <c r="I90" s="1538"/>
      <c r="J90" s="1538"/>
      <c r="K90" s="1538"/>
      <c r="L90" s="1538"/>
      <c r="M90" s="1538"/>
      <c r="N90" s="1538"/>
      <c r="O90" s="1538"/>
      <c r="P90" s="1538"/>
      <c r="Q90" s="1538"/>
      <c r="R90" s="1538"/>
      <c r="S90" s="1538"/>
      <c r="T90" s="1538"/>
      <c r="U90" s="1538"/>
      <c r="V90" s="1538"/>
      <c r="W90" s="1538"/>
      <c r="X90" s="1538"/>
      <c r="Y90" s="1538"/>
      <c r="Z90" s="1538"/>
      <c r="AA90" s="1538"/>
      <c r="AB90" s="1538"/>
      <c r="AC90" s="1538"/>
      <c r="AD90" s="1538"/>
      <c r="AE90" s="1538"/>
      <c r="AF90" s="1538"/>
      <c r="AG90" s="1538"/>
      <c r="AH90" s="1538"/>
      <c r="AI90" s="1538"/>
      <c r="AJ90" s="1538"/>
      <c r="AK90" s="153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528" t="s">
        <v>1170</v>
      </c>
      <c r="H92" s="1528"/>
      <c r="I92" s="1528"/>
      <c r="J92" s="1528"/>
      <c r="K92" s="1528"/>
      <c r="L92" s="1528"/>
      <c r="M92" s="1528"/>
      <c r="N92" s="1528"/>
      <c r="O92" s="1528"/>
      <c r="P92" s="1528"/>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row>
    <row r="93" spans="1:37">
      <c r="A93" s="4"/>
      <c r="C93" s="2"/>
      <c r="D93" s="4"/>
      <c r="E93" s="4"/>
      <c r="G93" s="1528"/>
      <c r="H93" s="1528"/>
      <c r="I93" s="1528"/>
      <c r="J93" s="1528"/>
      <c r="K93" s="1528"/>
      <c r="L93" s="1528"/>
      <c r="M93" s="1528"/>
      <c r="N93" s="1528"/>
      <c r="O93" s="1528"/>
      <c r="P93" s="1528"/>
      <c r="Q93" s="1528"/>
      <c r="R93" s="1528"/>
      <c r="S93" s="1528"/>
      <c r="T93" s="1528"/>
      <c r="U93" s="1528"/>
      <c r="V93" s="1528"/>
      <c r="W93" s="1528"/>
      <c r="X93" s="1528"/>
      <c r="Y93" s="1528"/>
      <c r="Z93" s="1528"/>
      <c r="AA93" s="1528"/>
      <c r="AB93" s="1528"/>
      <c r="AC93" s="1528"/>
      <c r="AD93" s="1528"/>
      <c r="AE93" s="1528"/>
      <c r="AF93" s="1528"/>
      <c r="AG93" s="1528"/>
      <c r="AH93" s="1528"/>
      <c r="AI93" s="1528"/>
      <c r="AJ93" s="1528"/>
      <c r="AK93" s="1528"/>
    </row>
    <row r="94" spans="1:37">
      <c r="A94" s="4"/>
      <c r="C94" s="2"/>
      <c r="D94" s="4"/>
      <c r="E94" s="4" t="s">
        <v>901</v>
      </c>
      <c r="F94" s="204" t="s">
        <v>902</v>
      </c>
      <c r="G94" s="204"/>
      <c r="L94" s="4"/>
      <c r="M94" s="4"/>
      <c r="P94" s="4"/>
      <c r="Q94" s="4"/>
      <c r="R94" s="4"/>
      <c r="S94" s="4"/>
      <c r="T94" s="4"/>
      <c r="U94" s="4"/>
      <c r="V94" s="4"/>
      <c r="W94" s="4"/>
      <c r="X94" s="4"/>
      <c r="Y94" s="4"/>
      <c r="Z94" s="4"/>
      <c r="AA94" s="4"/>
      <c r="AB94" s="4"/>
    </row>
    <row r="95" spans="1:37">
      <c r="A95" s="4"/>
      <c r="C95" s="2"/>
      <c r="D95" s="4"/>
      <c r="E95" s="4"/>
      <c r="G95" s="1528" t="s">
        <v>1171</v>
      </c>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row>
    <row r="96" spans="1:37">
      <c r="A96" s="4"/>
      <c r="C96" s="2"/>
      <c r="D96" s="4"/>
      <c r="E96" s="4"/>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row>
    <row r="97" spans="1:38">
      <c r="A97" s="4"/>
      <c r="C97" s="2"/>
      <c r="D97" s="4"/>
      <c r="E97" s="4"/>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row>
    <row r="98" spans="1:38">
      <c r="A98" s="4"/>
      <c r="D98" s="99"/>
      <c r="E98" s="1539" t="s">
        <v>1172</v>
      </c>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row>
    <row r="99" spans="1:38">
      <c r="A99" s="4"/>
      <c r="D99" s="99"/>
      <c r="E99" s="1539"/>
      <c r="F99" s="1539"/>
      <c r="G99" s="1539"/>
      <c r="H99" s="1539"/>
      <c r="I99" s="1539"/>
      <c r="J99" s="1539"/>
      <c r="K99" s="1539"/>
      <c r="L99" s="1539"/>
      <c r="M99" s="1539"/>
      <c r="N99" s="1539"/>
      <c r="O99" s="1539"/>
      <c r="P99" s="1539"/>
      <c r="Q99" s="1539"/>
      <c r="R99" s="1539"/>
      <c r="S99" s="1539"/>
      <c r="T99" s="1539"/>
      <c r="U99" s="1539"/>
      <c r="V99" s="1539"/>
      <c r="W99" s="1539"/>
      <c r="X99" s="1539"/>
      <c r="Y99" s="1539"/>
      <c r="Z99" s="1539"/>
      <c r="AA99" s="1539"/>
      <c r="AB99" s="1539"/>
      <c r="AC99" s="1539"/>
      <c r="AD99" s="1539"/>
      <c r="AE99" s="1539"/>
      <c r="AF99" s="1539"/>
      <c r="AG99" s="1539"/>
      <c r="AH99" s="1539"/>
      <c r="AI99" s="1539"/>
      <c r="AJ99" s="1539"/>
      <c r="AK99" s="153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1183</v>
      </c>
      <c r="H103" s="2"/>
      <c r="I103" s="2"/>
      <c r="K103" s="2"/>
    </row>
    <row r="104" spans="1:38">
      <c r="B104" s="2"/>
      <c r="C104" s="2"/>
      <c r="D104" s="2" t="s">
        <v>206</v>
      </c>
      <c r="E104" s="2" t="s">
        <v>1185</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580</v>
      </c>
      <c r="F116" s="98" t="s">
        <v>919</v>
      </c>
    </row>
    <row r="117" spans="2:10">
      <c r="F117" s="4" t="s">
        <v>1012</v>
      </c>
      <c r="G117" s="4"/>
    </row>
    <row r="118" spans="2:10">
      <c r="F118" s="99" t="s">
        <v>1184</v>
      </c>
      <c r="G118" s="99"/>
    </row>
    <row r="119" spans="2:10">
      <c r="G119" s="99"/>
    </row>
    <row r="120" spans="2:10">
      <c r="E120" s="4" t="s">
        <v>762</v>
      </c>
      <c r="F120" s="98" t="s">
        <v>377</v>
      </c>
    </row>
    <row r="121" spans="2:10">
      <c r="E121" s="4"/>
      <c r="F121" s="4" t="s">
        <v>1004</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920</v>
      </c>
      <c r="F125" s="4"/>
    </row>
    <row r="126" spans="2:10"/>
    <row r="127" spans="2:10">
      <c r="D127" s="2" t="s">
        <v>340</v>
      </c>
      <c r="E127" s="2" t="s">
        <v>576</v>
      </c>
    </row>
    <row r="128" spans="2:10">
      <c r="E128" s="4" t="s">
        <v>920</v>
      </c>
      <c r="F128" s="4"/>
    </row>
    <row r="129" spans="4:37"/>
    <row r="130" spans="4:37">
      <c r="D130" s="2" t="s">
        <v>573</v>
      </c>
      <c r="E130" s="2" t="s">
        <v>723</v>
      </c>
      <c r="G130" s="2"/>
      <c r="H130" s="2"/>
      <c r="I130" s="2"/>
      <c r="J130" s="2"/>
      <c r="K130" s="2"/>
      <c r="L130" s="2"/>
      <c r="M130" s="2"/>
      <c r="N130" s="2"/>
    </row>
    <row r="131" spans="4:37">
      <c r="D131" s="2"/>
      <c r="E131" s="119" t="s">
        <v>1254</v>
      </c>
      <c r="G131" s="2"/>
      <c r="H131" s="2"/>
      <c r="I131" s="2"/>
      <c r="J131" s="2"/>
      <c r="K131" s="2"/>
      <c r="L131" s="2"/>
      <c r="M131" s="2"/>
      <c r="N131" s="2"/>
    </row>
    <row r="132" spans="4:37" ht="12.75" customHeight="1">
      <c r="E132" s="119" t="s">
        <v>1252</v>
      </c>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row>
    <row r="133" spans="4:37">
      <c r="E133" s="119" t="s">
        <v>1253</v>
      </c>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row>
    <row r="134" spans="4:37">
      <c r="F134" s="4"/>
    </row>
    <row r="135" spans="4:37">
      <c r="D135" s="2" t="s">
        <v>513</v>
      </c>
      <c r="E135" s="2" t="s">
        <v>516</v>
      </c>
      <c r="F135" s="2"/>
    </row>
    <row r="136" spans="4:37">
      <c r="E136" s="3" t="s">
        <v>1210</v>
      </c>
      <c r="F136" s="4"/>
    </row>
    <row r="137" spans="4:37">
      <c r="F137" s="4"/>
    </row>
    <row r="138" spans="4:37">
      <c r="D138" s="2" t="s">
        <v>302</v>
      </c>
      <c r="E138" s="2" t="s">
        <v>1997</v>
      </c>
      <c r="F138" s="2"/>
      <c r="G138" s="2"/>
      <c r="H138" s="2"/>
    </row>
    <row r="139" spans="4:37">
      <c r="E139" t="s">
        <v>112</v>
      </c>
      <c r="F139" t="s">
        <v>52</v>
      </c>
    </row>
    <row r="140" spans="4:37">
      <c r="E140" t="s">
        <v>113</v>
      </c>
      <c r="F140" t="s">
        <v>465</v>
      </c>
    </row>
    <row r="141" spans="4:37"/>
    <row r="142" spans="4:37">
      <c r="D142" s="2" t="s">
        <v>428</v>
      </c>
      <c r="E142" s="2" t="s">
        <v>1998</v>
      </c>
    </row>
    <row r="143" spans="4:37">
      <c r="E143" s="204" t="s">
        <v>1999</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922</v>
      </c>
      <c r="F150" s="4"/>
    </row>
    <row r="151" spans="3:7"/>
    <row r="152" spans="3:7">
      <c r="D152" s="2" t="s">
        <v>573</v>
      </c>
      <c r="E152" s="2" t="s">
        <v>552</v>
      </c>
    </row>
    <row r="153" spans="3:7">
      <c r="E153" s="4" t="s">
        <v>923</v>
      </c>
    </row>
    <row r="154" spans="3:7">
      <c r="E154" s="4" t="s">
        <v>921</v>
      </c>
      <c r="G154" s="4"/>
    </row>
    <row r="155" spans="3:7"/>
    <row r="156" spans="3:7">
      <c r="D156" s="2" t="s">
        <v>513</v>
      </c>
      <c r="E156" s="2" t="s">
        <v>532</v>
      </c>
    </row>
    <row r="157" spans="3:7">
      <c r="E157" t="s">
        <v>112</v>
      </c>
      <c r="F157" s="4" t="s">
        <v>924</v>
      </c>
    </row>
    <row r="158" spans="3:7">
      <c r="E158" s="4" t="s">
        <v>113</v>
      </c>
      <c r="F158" s="4" t="s">
        <v>925</v>
      </c>
    </row>
    <row r="159" spans="3:7">
      <c r="E159" s="4" t="s">
        <v>119</v>
      </c>
      <c r="F159" t="s">
        <v>724</v>
      </c>
    </row>
    <row r="160" spans="3:7"/>
    <row r="161" spans="3:20">
      <c r="D161" s="2" t="s">
        <v>302</v>
      </c>
      <c r="E161" s="2" t="s">
        <v>380</v>
      </c>
    </row>
    <row r="162" spans="3:20">
      <c r="E162" s="4" t="s">
        <v>926</v>
      </c>
      <c r="F162" s="4"/>
    </row>
    <row r="163" spans="3:20"/>
    <row r="164" spans="3:20">
      <c r="D164" s="2" t="s">
        <v>428</v>
      </c>
      <c r="E164" s="2" t="s">
        <v>171</v>
      </c>
    </row>
    <row r="165" spans="3:20">
      <c r="E165" s="4" t="s">
        <v>928</v>
      </c>
    </row>
    <row r="166" spans="3:20">
      <c r="E166" s="4" t="s">
        <v>927</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929</v>
      </c>
    </row>
    <row r="178" spans="2:19">
      <c r="F178" s="120" t="s">
        <v>1145</v>
      </c>
      <c r="I178" s="120"/>
    </row>
    <row r="179" spans="2:19">
      <c r="I179" s="120"/>
    </row>
    <row r="180" spans="2:19">
      <c r="B180" s="4"/>
      <c r="C180" s="4"/>
      <c r="E180" t="s">
        <v>113</v>
      </c>
      <c r="F180" s="3" t="s">
        <v>865</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1005</v>
      </c>
    </row>
    <row r="184" spans="2:19">
      <c r="B184" s="4"/>
      <c r="C184" s="4"/>
      <c r="E184" s="4" t="s">
        <v>708</v>
      </c>
      <c r="F184" s="4"/>
      <c r="I184" s="4"/>
    </row>
    <row r="185" spans="2:19">
      <c r="B185" s="4"/>
      <c r="C185" s="4"/>
      <c r="E185" s="4" t="s">
        <v>1003</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1013</v>
      </c>
      <c r="G191" s="4"/>
      <c r="H191" s="4"/>
      <c r="I191" s="4"/>
    </row>
    <row r="192" spans="2:19">
      <c r="B192" s="4"/>
      <c r="C192" s="2"/>
      <c r="F192" s="4" t="s">
        <v>652</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932</v>
      </c>
      <c r="M200" s="4"/>
      <c r="N200" s="4"/>
      <c r="O200" s="4"/>
      <c r="P200" s="4"/>
      <c r="Q200" s="4"/>
      <c r="R200" s="4"/>
      <c r="S200" s="4"/>
    </row>
    <row r="201" spans="2:37">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933</v>
      </c>
      <c r="I203" s="4"/>
      <c r="J203" s="4"/>
      <c r="M203" s="4"/>
      <c r="N203" s="4"/>
      <c r="O203" s="4"/>
      <c r="P203" s="4"/>
      <c r="Q203" s="4"/>
      <c r="R203" s="4"/>
      <c r="S203" s="4"/>
      <c r="T203" s="4"/>
      <c r="U203" s="4"/>
      <c r="V203" s="4"/>
      <c r="W203" s="4"/>
      <c r="X203" s="4"/>
      <c r="Y203" s="4"/>
    </row>
    <row r="204" spans="2:37">
      <c r="B204" s="4"/>
      <c r="C204" s="4"/>
      <c r="D204" s="2"/>
      <c r="E204" s="4" t="s">
        <v>580</v>
      </c>
      <c r="F204" s="4" t="s">
        <v>934</v>
      </c>
      <c r="M204" s="4"/>
      <c r="N204" s="4"/>
      <c r="O204" s="4"/>
      <c r="P204" s="4"/>
      <c r="Q204" s="4"/>
      <c r="R204" s="4"/>
      <c r="S204" s="4"/>
    </row>
    <row r="205" spans="2:37">
      <c r="B205" s="4"/>
      <c r="C205" s="4"/>
      <c r="D205" s="2"/>
      <c r="F205" t="s">
        <v>652</v>
      </c>
      <c r="G205" s="1528" t="s">
        <v>1173</v>
      </c>
      <c r="H205" s="1528"/>
      <c r="I205" s="1528"/>
      <c r="J205" s="1528"/>
      <c r="K205" s="1528"/>
      <c r="L205" s="1528"/>
      <c r="M205" s="1528"/>
      <c r="N205" s="1528"/>
      <c r="O205" s="1528"/>
      <c r="P205" s="1528"/>
      <c r="Q205" s="1528"/>
      <c r="R205" s="1528"/>
      <c r="S205" s="1528"/>
      <c r="T205" s="1528"/>
      <c r="U205" s="1528"/>
      <c r="V205" s="1528"/>
      <c r="W205" s="1528"/>
      <c r="X205" s="1528"/>
      <c r="Y205" s="1528"/>
      <c r="Z205" s="1528"/>
      <c r="AA205" s="1528"/>
      <c r="AB205" s="1528"/>
      <c r="AC205" s="1528"/>
      <c r="AD205" s="1528"/>
      <c r="AE205" s="1528"/>
      <c r="AF205" s="1528"/>
      <c r="AG205" s="1528"/>
      <c r="AH205" s="1528"/>
      <c r="AI205" s="1528"/>
      <c r="AJ205" s="1528"/>
      <c r="AK205" s="1528"/>
    </row>
    <row r="206" spans="2:37">
      <c r="B206" s="4"/>
      <c r="C206" s="4"/>
      <c r="D206" s="2"/>
      <c r="G206" s="1528"/>
      <c r="H206" s="1528"/>
      <c r="I206" s="1528"/>
      <c r="J206" s="1528"/>
      <c r="K206" s="1528"/>
      <c r="L206" s="1528"/>
      <c r="M206" s="1528"/>
      <c r="N206" s="1528"/>
      <c r="O206" s="1528"/>
      <c r="P206" s="1528"/>
      <c r="Q206" s="1528"/>
      <c r="R206" s="1528"/>
      <c r="S206" s="1528"/>
      <c r="T206" s="1528"/>
      <c r="U206" s="1528"/>
      <c r="V206" s="1528"/>
      <c r="W206" s="1528"/>
      <c r="X206" s="1528"/>
      <c r="Y206" s="1528"/>
      <c r="Z206" s="1528"/>
      <c r="AA206" s="1528"/>
      <c r="AB206" s="1528"/>
      <c r="AC206" s="1528"/>
      <c r="AD206" s="1528"/>
      <c r="AE206" s="1528"/>
      <c r="AF206" s="1528"/>
      <c r="AG206" s="1528"/>
      <c r="AH206" s="1528"/>
      <c r="AI206" s="1528"/>
      <c r="AJ206" s="1528"/>
      <c r="AK206" s="152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949</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938</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1146</v>
      </c>
      <c r="G251" s="4"/>
      <c r="I251" s="120"/>
      <c r="J251" s="4"/>
      <c r="K251" s="4"/>
      <c r="L251" s="4"/>
      <c r="M251" s="4"/>
      <c r="N251" s="4"/>
      <c r="O251" s="4"/>
      <c r="P251" s="4"/>
      <c r="Q251" s="4"/>
      <c r="R251" s="4"/>
      <c r="S251" s="4"/>
      <c r="T251" s="4"/>
      <c r="U251" s="4"/>
    </row>
    <row r="252" spans="2:21">
      <c r="B252" s="2"/>
      <c r="C252" s="2"/>
      <c r="E252" s="4" t="s">
        <v>113</v>
      </c>
      <c r="F252" s="4" t="s">
        <v>935</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941</v>
      </c>
      <c r="I255" s="4"/>
      <c r="K255" s="4"/>
      <c r="L255" s="4"/>
      <c r="M255" s="4"/>
      <c r="N255" s="4"/>
      <c r="O255" s="4"/>
      <c r="P255" s="3"/>
    </row>
    <row r="256" spans="2:21">
      <c r="B256" s="2"/>
      <c r="C256" s="2"/>
      <c r="E256" s="4"/>
      <c r="F256" s="204"/>
      <c r="G256" s="204" t="s">
        <v>867</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1015</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942</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1008</v>
      </c>
      <c r="J273" s="4"/>
      <c r="K273" s="4"/>
      <c r="L273" s="4"/>
      <c r="M273" s="4"/>
      <c r="N273" s="4"/>
      <c r="O273" s="4"/>
      <c r="P273" s="4"/>
      <c r="Q273" s="4"/>
      <c r="R273" s="4"/>
      <c r="S273" s="4"/>
      <c r="T273" s="4"/>
      <c r="U273" s="4"/>
    </row>
    <row r="274" spans="2:23">
      <c r="B274" s="2"/>
      <c r="D274" s="4"/>
      <c r="E274" s="4" t="s">
        <v>936</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943</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944</v>
      </c>
      <c r="F283" s="120"/>
      <c r="G283" s="4"/>
      <c r="H283" s="120"/>
      <c r="I283" s="120"/>
      <c r="J283" s="4"/>
      <c r="K283" s="4"/>
      <c r="L283" s="4"/>
      <c r="M283" s="4"/>
      <c r="P283" s="4"/>
      <c r="Q283" s="4"/>
      <c r="R283" s="4"/>
      <c r="S283" s="4"/>
    </row>
    <row r="284" spans="2:23">
      <c r="B284" s="2"/>
      <c r="D284" s="2"/>
      <c r="E284" s="447" t="s">
        <v>866</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937</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945</v>
      </c>
      <c r="F304" s="4"/>
      <c r="K304" s="4"/>
      <c r="L304" s="4"/>
      <c r="M304" s="4"/>
      <c r="N304" s="4"/>
      <c r="O304" s="4"/>
      <c r="P304" s="4"/>
      <c r="Q304" s="4"/>
      <c r="R304" s="4"/>
      <c r="S304" s="4"/>
      <c r="T304" s="4"/>
      <c r="U304" s="4"/>
      <c r="V304" s="4"/>
      <c r="W304" s="4"/>
    </row>
    <row r="305" spans="2:23">
      <c r="B305" s="2"/>
      <c r="D305" s="2"/>
      <c r="E305" s="4" t="s">
        <v>943</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946</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1148</v>
      </c>
      <c r="I326" s="120"/>
      <c r="J326" s="4"/>
      <c r="K326" s="4"/>
      <c r="L326" s="4"/>
      <c r="M326" s="4"/>
      <c r="N326" s="4"/>
      <c r="O326" s="4"/>
      <c r="P326" s="4"/>
      <c r="Q326" s="4"/>
      <c r="R326" s="4"/>
      <c r="S326" s="4"/>
    </row>
    <row r="327" spans="1:38">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528" t="s">
        <v>1152</v>
      </c>
      <c r="G336" s="1528"/>
      <c r="H336" s="1528"/>
      <c r="I336" s="1528"/>
      <c r="J336" s="1528"/>
      <c r="K336" s="1528"/>
      <c r="L336" s="1528"/>
      <c r="M336" s="1528"/>
      <c r="N336" s="1528"/>
      <c r="O336" s="1528"/>
      <c r="P336" s="1528"/>
      <c r="Q336" s="1528"/>
      <c r="R336" s="1528"/>
      <c r="S336" s="1528"/>
      <c r="T336" s="1528"/>
      <c r="U336" s="1528"/>
      <c r="V336" s="1528"/>
      <c r="W336" s="1528"/>
      <c r="X336" s="1528"/>
      <c r="Y336" s="1528"/>
      <c r="Z336" s="1528"/>
      <c r="AA336" s="1528"/>
      <c r="AB336" s="1528"/>
      <c r="AC336" s="1528"/>
      <c r="AD336" s="1528"/>
      <c r="AE336" s="1528"/>
      <c r="AF336" s="1528"/>
      <c r="AG336" s="1528"/>
      <c r="AH336" s="1528"/>
      <c r="AI336" s="1528"/>
      <c r="AJ336" s="1528"/>
      <c r="AK336" s="1528"/>
    </row>
    <row r="337" spans="2:37">
      <c r="B337" s="2"/>
      <c r="E337" s="4"/>
      <c r="F337" s="1528"/>
      <c r="G337" s="1528"/>
      <c r="H337" s="1528"/>
      <c r="I337" s="1528"/>
      <c r="J337" s="1528"/>
      <c r="K337" s="1528"/>
      <c r="L337" s="1528"/>
      <c r="M337" s="1528"/>
      <c r="N337" s="1528"/>
      <c r="O337" s="1528"/>
      <c r="P337" s="1528"/>
      <c r="Q337" s="1528"/>
      <c r="R337" s="1528"/>
      <c r="S337" s="1528"/>
      <c r="T337" s="1528"/>
      <c r="U337" s="1528"/>
      <c r="V337" s="1528"/>
      <c r="W337" s="1528"/>
      <c r="X337" s="1528"/>
      <c r="Y337" s="1528"/>
      <c r="Z337" s="1528"/>
      <c r="AA337" s="1528"/>
      <c r="AB337" s="1528"/>
      <c r="AC337" s="1528"/>
      <c r="AD337" s="1528"/>
      <c r="AE337" s="1528"/>
      <c r="AF337" s="1528"/>
      <c r="AG337" s="1528"/>
      <c r="AH337" s="1528"/>
      <c r="AI337" s="1528"/>
      <c r="AJ337" s="1528"/>
      <c r="AK337" s="1528"/>
    </row>
    <row r="338" spans="2:37">
      <c r="B338" s="2"/>
      <c r="E338" s="4"/>
      <c r="F338" s="1528"/>
      <c r="G338" s="1528"/>
      <c r="H338" s="1528"/>
      <c r="I338" s="1528"/>
      <c r="J338" s="1528"/>
      <c r="K338" s="1528"/>
      <c r="L338" s="1528"/>
      <c r="M338" s="1528"/>
      <c r="N338" s="1528"/>
      <c r="O338" s="1528"/>
      <c r="P338" s="1528"/>
      <c r="Q338" s="1528"/>
      <c r="R338" s="1528"/>
      <c r="S338" s="1528"/>
      <c r="T338" s="1528"/>
      <c r="U338" s="1528"/>
      <c r="V338" s="1528"/>
      <c r="W338" s="1528"/>
      <c r="X338" s="1528"/>
      <c r="Y338" s="1528"/>
      <c r="Z338" s="1528"/>
      <c r="AA338" s="1528"/>
      <c r="AB338" s="1528"/>
      <c r="AC338" s="1528"/>
      <c r="AD338" s="1528"/>
      <c r="AE338" s="1528"/>
      <c r="AF338" s="1528"/>
      <c r="AG338" s="1528"/>
      <c r="AH338" s="1528"/>
      <c r="AI338" s="1528"/>
      <c r="AJ338" s="1528"/>
      <c r="AK338" s="1528"/>
    </row>
    <row r="339" spans="2:37">
      <c r="B339" s="2"/>
      <c r="F339" s="4"/>
      <c r="H339" s="4"/>
      <c r="I339" s="4"/>
      <c r="J339" s="4"/>
      <c r="K339" s="4"/>
      <c r="L339" s="4"/>
      <c r="M339" s="4"/>
      <c r="N339" s="4"/>
      <c r="O339" s="4"/>
      <c r="P339" s="4"/>
      <c r="Q339" s="4"/>
      <c r="R339" s="4"/>
      <c r="S339" s="4"/>
    </row>
    <row r="340" spans="2:37">
      <c r="B340" s="2"/>
      <c r="C340" s="2" t="s">
        <v>430</v>
      </c>
      <c r="G340" s="2" t="s">
        <v>1225</v>
      </c>
      <c r="I340" s="2"/>
      <c r="J340" s="4"/>
      <c r="K340" s="4"/>
      <c r="L340" s="4"/>
      <c r="M340" s="4"/>
      <c r="N340" s="4"/>
      <c r="O340" s="4"/>
      <c r="P340" s="4"/>
      <c r="Q340" s="4"/>
      <c r="R340" s="4"/>
      <c r="S340" s="4"/>
    </row>
    <row r="341" spans="2:37" ht="13.35" customHeight="1">
      <c r="B341" s="2"/>
      <c r="E341" s="1531" t="s">
        <v>1232</v>
      </c>
      <c r="F341" s="1531"/>
      <c r="G341" s="1531"/>
      <c r="H341" s="1531"/>
      <c r="I341" s="1531"/>
      <c r="J341" s="1531"/>
      <c r="K341" s="1531"/>
      <c r="L341" s="1531"/>
      <c r="M341" s="1531"/>
      <c r="N341" s="1531"/>
      <c r="O341" s="1531"/>
      <c r="P341" s="1531"/>
      <c r="Q341" s="1531"/>
      <c r="R341" s="1531"/>
      <c r="S341" s="1531"/>
      <c r="T341" s="1531"/>
      <c r="U341" s="1531"/>
      <c r="V341" s="1531"/>
      <c r="W341" s="1531"/>
      <c r="X341" s="1531"/>
      <c r="Y341" s="1531"/>
      <c r="Z341" s="1531"/>
      <c r="AA341" s="1531"/>
      <c r="AB341" s="1531"/>
      <c r="AC341" s="1531"/>
      <c r="AD341" s="1531"/>
      <c r="AE341" s="1531"/>
      <c r="AF341" s="1531"/>
      <c r="AG341" s="1531"/>
      <c r="AH341" s="1531"/>
      <c r="AI341" s="1531"/>
      <c r="AJ341" s="1531"/>
      <c r="AK341" s="1531"/>
    </row>
    <row r="342" spans="2:37">
      <c r="B342" s="2"/>
      <c r="E342" s="1531"/>
      <c r="F342" s="1531"/>
      <c r="G342" s="1531"/>
      <c r="H342" s="1531"/>
      <c r="I342" s="1531"/>
      <c r="J342" s="1531"/>
      <c r="K342" s="1531"/>
      <c r="L342" s="1531"/>
      <c r="M342" s="1531"/>
      <c r="N342" s="1531"/>
      <c r="O342" s="1531"/>
      <c r="P342" s="1531"/>
      <c r="Q342" s="1531"/>
      <c r="R342" s="1531"/>
      <c r="S342" s="1531"/>
      <c r="T342" s="1531"/>
      <c r="U342" s="1531"/>
      <c r="V342" s="1531"/>
      <c r="W342" s="1531"/>
      <c r="X342" s="1531"/>
      <c r="Y342" s="1531"/>
      <c r="Z342" s="1531"/>
      <c r="AA342" s="1531"/>
      <c r="AB342" s="1531"/>
      <c r="AC342" s="1531"/>
      <c r="AD342" s="1531"/>
      <c r="AE342" s="1531"/>
      <c r="AF342" s="1531"/>
      <c r="AG342" s="1531"/>
      <c r="AH342" s="1531"/>
      <c r="AI342" s="1531"/>
      <c r="AJ342" s="1531"/>
      <c r="AK342" s="1531"/>
    </row>
    <row r="343" spans="2:37">
      <c r="B343" s="2"/>
      <c r="E343" s="1531"/>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row>
    <row r="344" spans="2:37">
      <c r="B344" s="2"/>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row>
    <row r="345" spans="2:37">
      <c r="B345" s="2"/>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row>
    <row r="346" spans="2:37">
      <c r="B346" s="2"/>
      <c r="E346" s="3" t="s">
        <v>112</v>
      </c>
      <c r="F346" s="1528" t="s">
        <v>1234</v>
      </c>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row>
    <row r="347" spans="2:37">
      <c r="B347" s="2"/>
      <c r="E347" s="3"/>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row>
    <row r="348" spans="2:37">
      <c r="B348" s="2"/>
      <c r="E348" s="3"/>
      <c r="F348" s="1528"/>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row>
    <row r="349" spans="2:37">
      <c r="B349" s="2"/>
      <c r="E349" s="3"/>
      <c r="F349" s="1528"/>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row>
    <row r="350" spans="2:37">
      <c r="B350" s="2"/>
      <c r="E350" s="3" t="s">
        <v>113</v>
      </c>
      <c r="F350" s="1528" t="s">
        <v>1233</v>
      </c>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row>
    <row r="351" spans="2:37">
      <c r="B351" s="2"/>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row>
    <row r="352" spans="2:37">
      <c r="B352" s="2"/>
      <c r="F352" s="1528"/>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0"/>
      <c r="E355" s="2"/>
      <c r="M355" s="4"/>
      <c r="N355" s="4"/>
      <c r="O355" s="4"/>
      <c r="P355" s="4"/>
      <c r="Q355" s="4"/>
      <c r="R355" s="4"/>
      <c r="S355" s="4"/>
      <c r="T355" s="4"/>
    </row>
    <row r="356" spans="1:38" ht="13.35" customHeight="1">
      <c r="B356" s="2"/>
      <c r="C356" s="11" t="s">
        <v>1215</v>
      </c>
      <c r="D356" s="5"/>
      <c r="E356" s="5"/>
      <c r="F356" s="5"/>
      <c r="G356" s="5"/>
      <c r="H356" s="5"/>
      <c r="I356" s="450"/>
      <c r="J356" s="450"/>
      <c r="K356" s="450"/>
      <c r="L356" s="450"/>
      <c r="M356" s="450"/>
      <c r="N356" s="450"/>
      <c r="O356" s="450"/>
      <c r="P356" s="450"/>
      <c r="Q356" s="450"/>
      <c r="R356" s="450"/>
      <c r="S356" s="450"/>
      <c r="T356" s="450"/>
      <c r="U356" s="450"/>
      <c r="V356" s="450"/>
      <c r="W356" s="450"/>
      <c r="X356" s="450"/>
      <c r="Y356" s="450"/>
      <c r="Z356" s="450"/>
      <c r="AA356" s="450"/>
      <c r="AB356" s="450"/>
      <c r="AC356" s="450"/>
      <c r="AD356" s="450"/>
      <c r="AE356" s="450"/>
      <c r="AF356" s="450"/>
      <c r="AG356" s="450"/>
      <c r="AH356" s="450"/>
      <c r="AI356" s="450"/>
      <c r="AJ356" s="450"/>
      <c r="AK356" s="450"/>
    </row>
    <row r="357" spans="1:38" ht="13.35" customHeight="1">
      <c r="B357" s="2"/>
      <c r="C357" s="2"/>
      <c r="E357" s="451"/>
      <c r="F357" s="451"/>
      <c r="G357" s="451"/>
      <c r="H357" s="451"/>
      <c r="I357" s="451"/>
      <c r="J357" s="451"/>
      <c r="K357" s="451"/>
      <c r="L357" s="451"/>
      <c r="M357" s="451"/>
      <c r="N357" s="451"/>
      <c r="O357" s="451"/>
      <c r="P357" s="451"/>
      <c r="Q357" s="451"/>
      <c r="R357" s="451"/>
      <c r="S357" s="451"/>
      <c r="T357" s="451"/>
      <c r="U357" s="451"/>
      <c r="V357" s="451"/>
      <c r="W357" s="451"/>
      <c r="X357" s="451"/>
      <c r="Y357" s="451"/>
      <c r="Z357" s="451"/>
      <c r="AA357" s="451"/>
      <c r="AB357" s="451"/>
      <c r="AC357" s="451"/>
      <c r="AD357" s="451"/>
      <c r="AE357" s="451"/>
      <c r="AF357" s="451"/>
      <c r="AG357" s="451"/>
      <c r="AH357" s="451"/>
      <c r="AI357" s="451"/>
      <c r="AJ357" s="451"/>
      <c r="AK357" s="451"/>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869</v>
      </c>
      <c r="G361" s="4"/>
      <c r="K361" s="4"/>
      <c r="L361" s="4"/>
      <c r="M361" s="4"/>
      <c r="N361" s="4"/>
      <c r="O361" s="4"/>
      <c r="P361" s="4"/>
      <c r="Q361" s="4"/>
      <c r="R361" s="4"/>
      <c r="S361" s="4"/>
    </row>
    <row r="362" spans="1:38">
      <c r="B362" s="2"/>
      <c r="E362" t="s">
        <v>113</v>
      </c>
      <c r="F362" s="4" t="s">
        <v>868</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532" t="s">
        <v>1223</v>
      </c>
      <c r="F365" s="1532"/>
      <c r="G365" s="1532"/>
      <c r="H365" s="1532"/>
      <c r="I365" s="1532"/>
      <c r="J365" s="1532"/>
      <c r="K365" s="1532"/>
      <c r="L365" s="1532"/>
      <c r="M365" s="1532"/>
      <c r="N365" s="1532"/>
      <c r="O365" s="1532"/>
      <c r="P365" s="1532"/>
      <c r="Q365" s="1532"/>
      <c r="R365" s="1532"/>
      <c r="S365" s="1532"/>
      <c r="T365" s="1532"/>
      <c r="U365" s="1532"/>
      <c r="V365" s="1532"/>
      <c r="W365" s="1532"/>
      <c r="X365" s="1532"/>
      <c r="Y365" s="1532"/>
      <c r="Z365" s="1532"/>
      <c r="AA365" s="1532"/>
      <c r="AB365" s="1532"/>
      <c r="AC365" s="1532"/>
      <c r="AD365" s="1532"/>
      <c r="AE365" s="1532"/>
      <c r="AF365" s="1532"/>
      <c r="AG365" s="1532"/>
      <c r="AH365" s="1532"/>
      <c r="AI365" s="1532"/>
      <c r="AJ365" s="1532"/>
      <c r="AK365" s="1532"/>
      <c r="AL365" s="1532"/>
    </row>
    <row r="366" spans="1:38">
      <c r="B366" s="2"/>
      <c r="E366" s="1532"/>
      <c r="F366" s="1532"/>
      <c r="G366" s="1532"/>
      <c r="H366" s="1532"/>
      <c r="I366" s="1532"/>
      <c r="J366" s="1532"/>
      <c r="K366" s="1532"/>
      <c r="L366" s="1532"/>
      <c r="M366" s="1532"/>
      <c r="N366" s="1532"/>
      <c r="O366" s="1532"/>
      <c r="P366" s="1532"/>
      <c r="Q366" s="1532"/>
      <c r="R366" s="1532"/>
      <c r="S366" s="1532"/>
      <c r="T366" s="1532"/>
      <c r="U366" s="1532"/>
      <c r="V366" s="1532"/>
      <c r="W366" s="1532"/>
      <c r="X366" s="1532"/>
      <c r="Y366" s="1532"/>
      <c r="Z366" s="1532"/>
      <c r="AA366" s="1532"/>
      <c r="AB366" s="1532"/>
      <c r="AC366" s="1532"/>
      <c r="AD366" s="1532"/>
      <c r="AE366" s="1532"/>
      <c r="AF366" s="1532"/>
      <c r="AG366" s="1532"/>
      <c r="AH366" s="1532"/>
      <c r="AI366" s="1532"/>
      <c r="AJ366" s="1532"/>
      <c r="AK366" s="1532"/>
      <c r="AL366" s="1532"/>
    </row>
    <row r="367" spans="1:38" s="1534" customFormat="1">
      <c r="A367"/>
      <c r="B367" s="2"/>
      <c r="C367"/>
      <c r="D367"/>
      <c r="E367" s="1533" t="s">
        <v>1255</v>
      </c>
    </row>
    <row r="368" spans="1:38" s="1534" customFormat="1">
      <c r="A368"/>
      <c r="B368" s="2"/>
      <c r="C368" s="2"/>
      <c r="D368"/>
    </row>
    <row r="369" spans="1:38">
      <c r="B369" s="2"/>
      <c r="E369" s="4"/>
      <c r="F369" s="453"/>
      <c r="G369" s="453"/>
      <c r="H369" s="453"/>
      <c r="I369" s="453"/>
      <c r="J369" s="453"/>
      <c r="K369" s="453"/>
      <c r="L369" s="453"/>
      <c r="M369" s="453"/>
      <c r="N369" s="453"/>
      <c r="O369" s="453"/>
      <c r="P369" s="453"/>
      <c r="Q369" s="453"/>
      <c r="R369" s="453"/>
      <c r="S369" s="453"/>
      <c r="T369" s="453"/>
      <c r="U369" s="453"/>
      <c r="V369" s="453"/>
      <c r="W369" s="453"/>
      <c r="X369" s="453"/>
      <c r="Y369" s="453"/>
      <c r="Z369" s="453"/>
      <c r="AA369" s="453"/>
      <c r="AB369" s="453"/>
      <c r="AC369" s="453"/>
      <c r="AD369" s="453"/>
      <c r="AE369" s="453"/>
      <c r="AF369" s="453"/>
      <c r="AG369" s="453"/>
      <c r="AH369" s="453"/>
      <c r="AI369" s="453"/>
      <c r="AJ369" s="453"/>
      <c r="AK369" s="453"/>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1150</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1256</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1153</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528" t="s">
        <v>1266</v>
      </c>
      <c r="G386" s="1528"/>
      <c r="H386" s="1528"/>
      <c r="I386" s="1528"/>
      <c r="J386" s="1528"/>
      <c r="K386" s="1528"/>
      <c r="L386" s="1528"/>
      <c r="M386" s="1528"/>
      <c r="N386" s="1528"/>
      <c r="O386" s="1528"/>
      <c r="P386" s="1528"/>
      <c r="Q386" s="1528"/>
      <c r="R386" s="1528"/>
      <c r="S386" s="1528"/>
      <c r="T386" s="1528"/>
      <c r="U386" s="1528"/>
      <c r="V386" s="1528"/>
      <c r="W386" s="1528"/>
      <c r="X386" s="1528"/>
      <c r="Y386" s="1528"/>
      <c r="Z386" s="1528"/>
      <c r="AA386" s="1528"/>
      <c r="AB386" s="1528"/>
      <c r="AC386" s="1528"/>
      <c r="AD386" s="1528"/>
      <c r="AE386" s="1528"/>
      <c r="AF386" s="1528"/>
      <c r="AG386" s="1528"/>
      <c r="AH386" s="1528"/>
      <c r="AI386" s="1528"/>
      <c r="AJ386" s="1528"/>
      <c r="AK386" s="1528"/>
    </row>
    <row r="387" spans="1:38">
      <c r="B387" s="2"/>
      <c r="E387" s="3"/>
      <c r="F387" s="1528"/>
      <c r="G387" s="1528"/>
      <c r="H387" s="1528"/>
      <c r="I387" s="1528"/>
      <c r="J387" s="1528"/>
      <c r="K387" s="1528"/>
      <c r="L387" s="1528"/>
      <c r="M387" s="1528"/>
      <c r="N387" s="1528"/>
      <c r="O387" s="1528"/>
      <c r="P387" s="1528"/>
      <c r="Q387" s="1528"/>
      <c r="R387" s="1528"/>
      <c r="S387" s="1528"/>
      <c r="T387" s="1528"/>
      <c r="U387" s="1528"/>
      <c r="V387" s="1528"/>
      <c r="W387" s="1528"/>
      <c r="X387" s="1528"/>
      <c r="Y387" s="1528"/>
      <c r="Z387" s="1528"/>
      <c r="AA387" s="1528"/>
      <c r="AB387" s="1528"/>
      <c r="AC387" s="1528"/>
      <c r="AD387" s="1528"/>
      <c r="AE387" s="1528"/>
      <c r="AF387" s="1528"/>
      <c r="AG387" s="1528"/>
      <c r="AH387" s="1528"/>
      <c r="AI387" s="1528"/>
      <c r="AJ387" s="1528"/>
      <c r="AK387" s="1528"/>
    </row>
    <row r="388" spans="1:38">
      <c r="B388" s="2"/>
      <c r="E388" s="3"/>
      <c r="F388" s="1528"/>
      <c r="G388" s="1528"/>
      <c r="H388" s="1528"/>
      <c r="I388" s="1528"/>
      <c r="J388" s="1528"/>
      <c r="K388" s="1528"/>
      <c r="L388" s="1528"/>
      <c r="M388" s="1528"/>
      <c r="N388" s="1528"/>
      <c r="O388" s="1528"/>
      <c r="P388" s="1528"/>
      <c r="Q388" s="1528"/>
      <c r="R388" s="1528"/>
      <c r="S388" s="1528"/>
      <c r="T388" s="1528"/>
      <c r="U388" s="1528"/>
      <c r="V388" s="1528"/>
      <c r="W388" s="1528"/>
      <c r="X388" s="1528"/>
      <c r="Y388" s="1528"/>
      <c r="Z388" s="1528"/>
      <c r="AA388" s="1528"/>
      <c r="AB388" s="1528"/>
      <c r="AC388" s="1528"/>
      <c r="AD388" s="1528"/>
      <c r="AE388" s="1528"/>
      <c r="AF388" s="1528"/>
      <c r="AG388" s="1528"/>
      <c r="AH388" s="1528"/>
      <c r="AI388" s="1528"/>
      <c r="AJ388" s="1528"/>
      <c r="AK388" s="1528"/>
    </row>
    <row r="389" spans="1:38">
      <c r="B389" s="2"/>
      <c r="E389" s="4"/>
      <c r="F389" s="439"/>
      <c r="G389" s="439"/>
      <c r="H389" s="439"/>
      <c r="I389" s="439"/>
      <c r="J389" s="439"/>
      <c r="K389" s="439"/>
      <c r="L389" s="439"/>
      <c r="M389" s="439"/>
      <c r="N389" s="439"/>
      <c r="O389" s="439"/>
      <c r="P389" s="439"/>
      <c r="Q389" s="439"/>
      <c r="R389" s="439"/>
      <c r="S389" s="439"/>
      <c r="T389" s="439"/>
      <c r="U389" s="439"/>
      <c r="V389" s="439"/>
      <c r="W389" s="439"/>
      <c r="X389" s="439"/>
      <c r="Y389" s="439"/>
      <c r="Z389" s="439"/>
      <c r="AA389" s="439"/>
      <c r="AB389" s="439"/>
      <c r="AC389" s="439"/>
      <c r="AD389" s="439"/>
      <c r="AE389" s="439"/>
      <c r="AF389" s="439"/>
      <c r="AG389" s="439"/>
      <c r="AH389" s="439"/>
      <c r="AI389" s="439"/>
      <c r="AJ389" s="439"/>
      <c r="AK389" s="439"/>
      <c r="AL389" s="451"/>
    </row>
    <row r="390" spans="1:38">
      <c r="B390" s="2"/>
      <c r="C390" s="2"/>
      <c r="D390" s="2" t="s">
        <v>428</v>
      </c>
      <c r="E390" s="2" t="s">
        <v>1272</v>
      </c>
      <c r="F390" s="3"/>
      <c r="G390" s="2"/>
      <c r="I390" s="120"/>
      <c r="J390" s="3"/>
      <c r="K390" s="3"/>
      <c r="L390" s="3"/>
      <c r="M390" s="3"/>
      <c r="N390" s="3"/>
      <c r="O390" s="3"/>
      <c r="P390" s="3"/>
      <c r="Q390" s="3"/>
      <c r="R390" s="3"/>
      <c r="S390" s="3"/>
    </row>
    <row r="391" spans="1:38" ht="13.35" customHeight="1">
      <c r="B391" s="2"/>
      <c r="D391" s="2"/>
      <c r="E391" s="3" t="s">
        <v>1271</v>
      </c>
      <c r="F391" s="453"/>
      <c r="G391" s="453"/>
      <c r="H391" s="453"/>
      <c r="I391" s="453"/>
      <c r="J391" s="453"/>
      <c r="K391" s="453"/>
      <c r="L391" s="453"/>
      <c r="M391" s="453"/>
      <c r="N391" s="453"/>
      <c r="O391" s="453"/>
      <c r="P391" s="453"/>
      <c r="Q391" s="453"/>
      <c r="R391" s="453"/>
      <c r="S391" s="453"/>
      <c r="T391" s="453"/>
      <c r="U391" s="453"/>
      <c r="V391" s="453"/>
      <c r="W391" s="453"/>
      <c r="X391" s="453"/>
      <c r="Y391" s="453"/>
      <c r="Z391" s="453"/>
      <c r="AA391" s="453"/>
      <c r="AB391" s="453"/>
      <c r="AC391" s="453"/>
      <c r="AD391" s="453"/>
      <c r="AE391" s="453"/>
      <c r="AF391" s="453"/>
      <c r="AG391" s="453"/>
      <c r="AH391" s="453"/>
      <c r="AI391" s="453"/>
      <c r="AJ391" s="453"/>
      <c r="AK391" s="453"/>
    </row>
    <row r="392" spans="1:38">
      <c r="B392" s="2"/>
      <c r="E392" t="s">
        <v>1153</v>
      </c>
      <c r="F392" s="450"/>
      <c r="G392" s="450"/>
      <c r="H392" s="450"/>
      <c r="I392" s="450"/>
      <c r="J392" s="450"/>
      <c r="K392" s="450"/>
      <c r="L392" s="450"/>
      <c r="M392" s="450"/>
      <c r="N392" s="450"/>
      <c r="O392" s="450"/>
      <c r="P392" s="450"/>
      <c r="Q392" s="450"/>
      <c r="R392" s="450"/>
      <c r="S392" s="450"/>
      <c r="T392" s="450"/>
      <c r="U392" s="450"/>
      <c r="V392" s="450"/>
      <c r="W392" s="450"/>
      <c r="X392" s="450"/>
      <c r="Y392" s="450"/>
      <c r="Z392" s="450"/>
      <c r="AA392" s="450"/>
      <c r="AB392" s="450"/>
      <c r="AC392" s="450"/>
      <c r="AD392" s="450"/>
      <c r="AE392" s="450"/>
      <c r="AF392" s="450"/>
      <c r="AG392" s="450"/>
      <c r="AH392" s="450"/>
      <c r="AI392" s="450"/>
      <c r="AJ392" s="450"/>
      <c r="AK392" s="450"/>
      <c r="AL392" s="450"/>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abSelected="1" topLeftCell="A93" workbookViewId="0">
      <selection activeCell="S34" sqref="S34"/>
    </sheetView>
  </sheetViews>
  <sheetFormatPr defaultColWidth="9.140625" defaultRowHeight="14.25"/>
  <cols>
    <col min="1" max="1" width="2.42578125" style="1036" customWidth="1"/>
    <col min="2" max="9" width="14.5703125" style="1036" customWidth="1"/>
    <col min="10" max="10" width="2.42578125" style="1036" customWidth="1"/>
    <col min="11" max="11" width="11.85546875" style="1037" customWidth="1"/>
    <col min="12" max="12" width="10.5703125" style="1036" customWidth="1"/>
    <col min="13" max="13" width="10.42578125" style="1036" customWidth="1"/>
    <col min="14" max="14" width="10.85546875" style="1036" customWidth="1"/>
    <col min="15" max="18" width="9.140625" style="1036"/>
    <col min="19" max="19" width="9.42578125" style="1036" bestFit="1" customWidth="1"/>
    <col min="20" max="16384" width="9.140625" style="1036"/>
  </cols>
  <sheetData>
    <row r="1" spans="1:13" ht="30" customHeight="1">
      <c r="A1" s="2674" t="s">
        <v>1571</v>
      </c>
      <c r="B1" s="2674"/>
      <c r="C1" s="2674"/>
      <c r="D1" s="2674"/>
      <c r="E1" s="2674"/>
      <c r="F1" s="2674"/>
      <c r="G1" s="2674"/>
      <c r="H1" s="2674"/>
      <c r="I1" s="2674"/>
      <c r="J1" s="2674"/>
    </row>
    <row r="2" spans="1:13" ht="15" customHeight="1" thickBot="1">
      <c r="A2" s="1038"/>
      <c r="B2" s="1038"/>
      <c r="I2" s="1039"/>
      <c r="K2" s="1040"/>
    </row>
    <row r="3" spans="1:13" s="1043" customFormat="1" ht="20.100000000000001" customHeight="1">
      <c r="A3" s="1091"/>
      <c r="B3" s="1092"/>
      <c r="C3" s="1093"/>
      <c r="D3" s="1098"/>
      <c r="E3" s="1093"/>
      <c r="F3" s="1094" t="s">
        <v>1959</v>
      </c>
      <c r="G3" s="1093"/>
      <c r="H3" s="1095">
        <f>E18</f>
        <v>31083984</v>
      </c>
      <c r="I3" s="1096"/>
    </row>
    <row r="4" spans="1:13" s="1043" customFormat="1" ht="20.100000000000001" customHeight="1">
      <c r="B4" s="1085"/>
      <c r="D4" s="1099"/>
      <c r="F4" s="1084" t="s">
        <v>1961</v>
      </c>
      <c r="G4" s="1083" t="s">
        <v>1960</v>
      </c>
      <c r="H4" s="1196">
        <f>I18</f>
        <v>32197729.466678571</v>
      </c>
      <c r="I4" s="1086"/>
      <c r="K4" s="1047"/>
    </row>
    <row r="5" spans="1:13" s="1043" customFormat="1" ht="20.100000000000001" customHeight="1" thickBot="1">
      <c r="B5" s="1087"/>
      <c r="C5" s="1088"/>
      <c r="D5" s="1100"/>
      <c r="E5" s="1089"/>
      <c r="F5" s="1100" t="s">
        <v>1911</v>
      </c>
      <c r="G5" s="1101"/>
      <c r="H5" s="1097">
        <f>IFERROR(H3/H4,0)</f>
        <v>0.96540919235217548</v>
      </c>
      <c r="I5" s="1090"/>
      <c r="K5" s="1047"/>
    </row>
    <row r="6" spans="1:13" s="1043" customFormat="1" ht="15" customHeight="1">
      <c r="B6" s="1044"/>
      <c r="C6" s="1045"/>
      <c r="F6" s="1046"/>
      <c r="K6" s="1047"/>
    </row>
    <row r="7" spans="1:13" s="1043" customFormat="1" ht="15" customHeight="1">
      <c r="E7" s="1048"/>
      <c r="F7" s="1046"/>
      <c r="K7" s="1049"/>
    </row>
    <row r="8" spans="1:13" s="1043" customFormat="1" ht="15" customHeight="1">
      <c r="A8" s="1050"/>
      <c r="B8" s="2677" t="s">
        <v>1909</v>
      </c>
      <c r="C8" s="2678"/>
      <c r="D8" s="2678"/>
      <c r="E8" s="2679"/>
      <c r="G8" s="2680" t="s">
        <v>1910</v>
      </c>
      <c r="H8" s="2681"/>
      <c r="I8" s="2682"/>
      <c r="K8" s="1049"/>
    </row>
    <row r="9" spans="1:13" ht="15" customHeight="1">
      <c r="A9" s="1038"/>
      <c r="B9" s="2675" t="s">
        <v>1943</v>
      </c>
      <c r="C9" s="2675"/>
      <c r="D9" s="2675"/>
      <c r="E9" s="1051">
        <f>G33</f>
        <v>7075000</v>
      </c>
      <c r="G9" s="2671" t="s">
        <v>1941</v>
      </c>
      <c r="H9" s="2671"/>
      <c r="I9" s="1052">
        <f>MAX(SUMIF(Application!M562:M573,"Loan, Tax-Exempt",Application!AM562:AM573),27.5%*SUM('Sources and Uses Budget'!C8,'Sources and Uses Budget'!S105,'Sources and Uses Budget'!T105))</f>
        <v>15120061.550000001</v>
      </c>
      <c r="K9" s="1053"/>
      <c r="M9" s="1054"/>
    </row>
    <row r="10" spans="1:13" ht="15" customHeight="1" thickBot="1">
      <c r="A10" s="1038"/>
      <c r="B10" s="2675" t="s">
        <v>1944</v>
      </c>
      <c r="C10" s="2675"/>
      <c r="D10" s="2675"/>
      <c r="E10" s="1052">
        <f>G47</f>
        <v>13439484</v>
      </c>
      <c r="G10" s="2673" t="s">
        <v>1912</v>
      </c>
      <c r="H10" s="2673"/>
      <c r="I10" s="1131">
        <f>IF(OR(Application!Z205="State Farmworker Credit",Application!Z205="$500M (Farmworker Housing)"),0,'Basis &amp; Credits'!AB78)</f>
        <v>16248638</v>
      </c>
      <c r="M10" s="1054"/>
    </row>
    <row r="11" spans="1:13" ht="15" customHeight="1">
      <c r="A11" s="1038"/>
      <c r="B11" s="2684" t="s">
        <v>2206</v>
      </c>
      <c r="C11" s="2685"/>
      <c r="D11" s="2686"/>
      <c r="E11" s="1052">
        <f>SUM(E13,E12)</f>
        <v>240000</v>
      </c>
      <c r="G11" s="2683" t="s">
        <v>1952</v>
      </c>
      <c r="H11" s="2683"/>
      <c r="I11" s="1130">
        <f>I9+I10</f>
        <v>31368699.550000001</v>
      </c>
      <c r="M11" s="1054"/>
    </row>
    <row r="12" spans="1:13" ht="15" customHeight="1">
      <c r="A12" s="1055"/>
      <c r="B12" s="2676" t="s">
        <v>2560</v>
      </c>
      <c r="C12" s="2676"/>
      <c r="D12" s="2676"/>
      <c r="E12" s="1153">
        <f>G56</f>
        <v>240000</v>
      </c>
      <c r="M12" s="1054"/>
    </row>
    <row r="13" spans="1:13" ht="15" customHeight="1">
      <c r="A13" s="1041"/>
      <c r="B13" s="2676" t="s">
        <v>2561</v>
      </c>
      <c r="C13" s="2676"/>
      <c r="D13" s="2676"/>
      <c r="E13" s="1153">
        <f>IF(G67,MAX(G65,G79),G65)</f>
        <v>0</v>
      </c>
      <c r="G13" s="2680" t="s">
        <v>1975</v>
      </c>
      <c r="H13" s="2681"/>
      <c r="I13" s="2682"/>
    </row>
    <row r="14" spans="1:13" ht="15" customHeight="1">
      <c r="A14" s="1041"/>
      <c r="B14" s="2684" t="s">
        <v>2207</v>
      </c>
      <c r="C14" s="2685"/>
      <c r="D14" s="2686"/>
      <c r="E14" s="1155">
        <f>MAX(E15,E16)+E17</f>
        <v>10329500</v>
      </c>
      <c r="G14" s="2671" t="s">
        <v>2577</v>
      </c>
      <c r="H14" s="2671"/>
      <c r="I14" s="1056">
        <f>IF(AND(G134="Yes",G136&lt;&gt;""),IF(OR(G141="Yes",G145="Yes"),18%,15%),0)</f>
        <v>0</v>
      </c>
      <c r="M14" s="1054"/>
    </row>
    <row r="15" spans="1:13" ht="15" customHeight="1">
      <c r="A15" s="1041"/>
      <c r="B15" s="2687" t="s">
        <v>2574</v>
      </c>
      <c r="C15" s="2688"/>
      <c r="D15" s="2689"/>
      <c r="E15" s="1153">
        <f>G94</f>
        <v>0</v>
      </c>
      <c r="G15" s="1128" t="s">
        <v>1953</v>
      </c>
      <c r="H15" s="1128"/>
      <c r="I15" s="1056">
        <f>IF(Application!AJ1041&gt;0,10%,IF(Application!AJ1045&gt;0,5%,0))</f>
        <v>0</v>
      </c>
      <c r="M15" s="1054"/>
    </row>
    <row r="16" spans="1:13" ht="15" customHeight="1">
      <c r="A16" s="1041"/>
      <c r="B16" s="2687" t="s">
        <v>2575</v>
      </c>
      <c r="C16" s="2688"/>
      <c r="D16" s="2689"/>
      <c r="E16" s="1153">
        <f>G104</f>
        <v>0</v>
      </c>
      <c r="G16" s="2671" t="s">
        <v>1954</v>
      </c>
      <c r="H16" s="2671"/>
      <c r="I16" s="1056">
        <f>G155</f>
        <v>-2.642857142857143E-2</v>
      </c>
    </row>
    <row r="17" spans="1:21" ht="15" customHeight="1" thickBot="1">
      <c r="A17" s="1041"/>
      <c r="B17" s="2687" t="s">
        <v>2576</v>
      </c>
      <c r="C17" s="2688"/>
      <c r="D17" s="2689"/>
      <c r="E17" s="1153">
        <f>G129</f>
        <v>10329500</v>
      </c>
      <c r="G17" s="2671" t="s">
        <v>2215</v>
      </c>
      <c r="H17" s="2671"/>
      <c r="I17" s="1056">
        <f>IF(AND(G161="Yes",G159),IF(G165&gt;15%,15%,G165),0)</f>
        <v>0</v>
      </c>
    </row>
    <row r="18" spans="1:21" ht="15" customHeight="1">
      <c r="A18" s="1038"/>
      <c r="B18" s="2672" t="s">
        <v>1908</v>
      </c>
      <c r="C18" s="2672"/>
      <c r="D18" s="2672"/>
      <c r="E18" s="1102">
        <f>SUM(E9:E11,E14)</f>
        <v>31083984</v>
      </c>
      <c r="G18" s="1129" t="s">
        <v>1942</v>
      </c>
      <c r="H18" s="1129"/>
      <c r="I18" s="1103">
        <f>I11-((I11*I14)+(I11*I15)+(I11*I16)+(I11*I17))</f>
        <v>32197729.466678571</v>
      </c>
      <c r="M18" s="1057">
        <f>SUM(Cdlac[Quantity])</f>
        <v>118</v>
      </c>
      <c r="O18" s="1076" t="s">
        <v>581</v>
      </c>
      <c r="P18" s="1036">
        <f>MATCH(Application!T189,Application!CB160:CB217,0)</f>
        <v>34</v>
      </c>
      <c r="T18" s="1057">
        <f>SUM(Cdlac[Population])</f>
        <v>0</v>
      </c>
    </row>
    <row r="19" spans="1:21" ht="15" customHeight="1">
      <c r="A19" s="1038"/>
      <c r="B19" s="1038"/>
      <c r="C19" s="1038"/>
      <c r="D19" s="1038"/>
      <c r="E19" s="1038"/>
      <c r="L19" s="1036" t="s">
        <v>1904</v>
      </c>
      <c r="M19" s="1036" t="s">
        <v>1903</v>
      </c>
      <c r="N19" s="1036" t="s">
        <v>1915</v>
      </c>
      <c r="O19" s="1036" t="s">
        <v>1916</v>
      </c>
      <c r="P19" s="1036" t="s">
        <v>1905</v>
      </c>
      <c r="Q19" s="1036" t="s">
        <v>2204</v>
      </c>
      <c r="R19" s="1036" t="s">
        <v>1906</v>
      </c>
      <c r="S19" s="1036" t="s">
        <v>1917</v>
      </c>
      <c r="T19" s="1036" t="s">
        <v>1923</v>
      </c>
      <c r="U19" s="1036" t="s">
        <v>384</v>
      </c>
    </row>
    <row r="20" spans="1:21" ht="15" customHeight="1">
      <c r="B20" s="1058" t="str">
        <f>B9</f>
        <v>A. Unit Production Benefit</v>
      </c>
      <c r="C20" s="1059"/>
      <c r="D20" s="1059"/>
      <c r="E20" s="1059"/>
      <c r="F20" s="1059"/>
      <c r="G20" s="1059"/>
      <c r="H20" s="1059"/>
      <c r="I20" s="1060"/>
      <c r="L20" s="1036">
        <f>IFERROR(MIN(4,MATCH(Application!B726,UnitSizes,0)-1),"")</f>
        <v>1</v>
      </c>
      <c r="M20" s="1057">
        <f>Application!G726</f>
        <v>6</v>
      </c>
      <c r="N20" s="1063">
        <f>Application!AC726</f>
        <v>0.3</v>
      </c>
      <c r="O20" s="1063">
        <f>IF(Cdlac[[#This Row],[Quantity]]&gt;0,IF(Cdlac[[#This Row],[Federal]],30%,IF(AND(OR(NOT($G$38),$G$38=""),$G$43),40%,Cdlac[[#This Row],[iAMI]])),"")</f>
        <v>0.3</v>
      </c>
      <c r="P20" s="1057" cm="1">
        <f t="array" ref="P20">IF(Cdlac[[#This Row],[Quantity]]&gt;0,INDEX(TcacRents,$P$18,Cdlac[[#This Row],[Bedrooms]]+1)*Cdlac[[#This Row],[AMI]],"")</f>
        <v>723.6</v>
      </c>
      <c r="Q20" s="1152"/>
      <c r="R20" s="1057" cm="1">
        <f t="array" ref="R20">IF(Cdlac[[#This Row],[Quantity]]&gt;0,INDEX(HudFmrs,$P$18,Cdlac[[#This Row],[Bedrooms]]+1),"")</f>
        <v>1777</v>
      </c>
      <c r="S20" s="1057">
        <f>IF(Cdlac[[#This Row],[Quantity]]&gt;0,MAX(0,Cdlac[[#This Row],[Fair Market Rent]]-IF(AND($G$37,$G$38,$G$38&lt;&gt;"",NOT(Cdlac[[#This Row],[Federal]]),Cdlac[[#This Row],[Preservation Rent]]&lt;&gt;""),Cdlac[[#This Row],[Preservation Rent]],Cdlac[[#This Row],[Restricted Rent]])),"")</f>
        <v>1053.4000000000001</v>
      </c>
      <c r="T20" s="1036">
        <f>IF(Cdlac[[#This Row],[Quantity]]&gt;0,AND(Application!AK726&lt;&gt;"N/A",Application!AK726&lt;&gt;"")*Cdlac[[#This Row],[Quantity]],"")</f>
        <v>0</v>
      </c>
      <c r="U20" s="1036" t="b">
        <f>AND('Subsidy Contract Calculation'!F4&gt;0,OR('Subsidy Contract Calculation'!C4="Federal",'Subsidy Contract Calculation'!C4="Local - Approved by ED"),Cdlac[[#This Row],[Quantity]]&gt;0)</f>
        <v>0</v>
      </c>
    </row>
    <row r="21" spans="1:21" ht="15" customHeight="1">
      <c r="A21" s="1038"/>
      <c r="B21" s="1038"/>
      <c r="I21" s="1061"/>
      <c r="L21" s="1036">
        <f>IFERROR(MIN(4,MATCH(Application!B727,UnitSizes,0)-1),"")</f>
        <v>1</v>
      </c>
      <c r="M21" s="1057">
        <f>Application!G727</f>
        <v>11</v>
      </c>
      <c r="N21" s="1063">
        <f>Application!AC727</f>
        <v>0.5</v>
      </c>
      <c r="O21" s="1063">
        <f>IF(Cdlac[[#This Row],[Quantity]]&gt;0,IF(Cdlac[[#This Row],[Federal]],30%,IF(AND(OR(NOT($G$38),$G$38=""),$G$43),40%,Cdlac[[#This Row],[iAMI]])),"")</f>
        <v>0.5</v>
      </c>
      <c r="P21" s="1057" cm="1">
        <f t="array" ref="P21">IF(Cdlac[[#This Row],[Quantity]]&gt;0,INDEX(TcacRents,$P$18,Cdlac[[#This Row],[Bedrooms]]+1)*Cdlac[[#This Row],[AMI]],"")</f>
        <v>1206</v>
      </c>
      <c r="Q21" s="1152"/>
      <c r="R21" s="1057" cm="1">
        <f t="array" ref="R21">IF(Cdlac[[#This Row],[Quantity]]&gt;0,INDEX(HudFmrs,$P$18,Cdlac[[#This Row],[Bedrooms]]+1),"")</f>
        <v>1777</v>
      </c>
      <c r="S21" s="1057">
        <f>IF(Cdlac[[#This Row],[Quantity]]&gt;0,MAX(0,Cdlac[[#This Row],[Fair Market Rent]]-IF(AND($G$37,$G$38,$G$38&lt;&gt;"",NOT(Cdlac[[#This Row],[Federal]]),Cdlac[[#This Row],[Preservation Rent]]&lt;&gt;""),Cdlac[[#This Row],[Preservation Rent]],Cdlac[[#This Row],[Restricted Rent]])),"")</f>
        <v>571</v>
      </c>
      <c r="T21" s="1036">
        <f>IF(Cdlac[[#This Row],[Quantity]]&gt;0,AND(Application!AK727&lt;&gt;"N/A",Application!AK727&lt;&gt;"")*Cdlac[[#This Row],[Quantity]],"")</f>
        <v>0</v>
      </c>
      <c r="U21" s="1036" t="b">
        <f>AND('Subsidy Contract Calculation'!F5&gt;0,OR('Subsidy Contract Calculation'!C5="Federal",'Subsidy Contract Calculation'!C5="Local - Approved by ED"),Cdlac[[#This Row],[Quantity]]&gt;0)</f>
        <v>0</v>
      </c>
    </row>
    <row r="22" spans="1:21" ht="15" customHeight="1">
      <c r="A22" s="1041"/>
      <c r="C22" s="2661" t="s">
        <v>1956</v>
      </c>
      <c r="D22" s="2661" t="s">
        <v>1957</v>
      </c>
      <c r="E22" s="2661" t="s">
        <v>1958</v>
      </c>
      <c r="F22" s="2661" t="s">
        <v>2525</v>
      </c>
      <c r="G22" s="2661" t="s">
        <v>1955</v>
      </c>
      <c r="H22" s="1062"/>
      <c r="I22" s="1061"/>
      <c r="L22" s="1036">
        <f>IFERROR(MIN(4,MATCH(Application!B728,UnitSizes,0)-1),"")</f>
        <v>1</v>
      </c>
      <c r="M22" s="1057">
        <f>Application!G728</f>
        <v>29</v>
      </c>
      <c r="N22" s="1063">
        <f>Application!AC728</f>
        <v>0.6</v>
      </c>
      <c r="O22" s="1063">
        <f>IF(Cdlac[[#This Row],[Quantity]]&gt;0,IF(Cdlac[[#This Row],[Federal]],30%,IF(AND(OR(NOT($G$38),$G$38=""),$G$43),40%,Cdlac[[#This Row],[iAMI]])),"")</f>
        <v>0.6</v>
      </c>
      <c r="P22" s="1057" cm="1">
        <f t="array" ref="P22">IF(Cdlac[[#This Row],[Quantity]]&gt;0,INDEX(TcacRents,$P$18,Cdlac[[#This Row],[Bedrooms]]+1)*Cdlac[[#This Row],[AMI]],"")</f>
        <v>1447.2</v>
      </c>
      <c r="Q22" s="1152"/>
      <c r="R22" s="1057" cm="1">
        <f t="array" ref="R22">IF(Cdlac[[#This Row],[Quantity]]&gt;0,INDEX(HudFmrs,$P$18,Cdlac[[#This Row],[Bedrooms]]+1),"")</f>
        <v>1777</v>
      </c>
      <c r="S22" s="1057">
        <f>IF(Cdlac[[#This Row],[Quantity]]&gt;0,MAX(0,Cdlac[[#This Row],[Fair Market Rent]]-IF(AND($G$37,$G$38,$G$38&lt;&gt;"",NOT(Cdlac[[#This Row],[Federal]]),Cdlac[[#This Row],[Preservation Rent]]&lt;&gt;""),Cdlac[[#This Row],[Preservation Rent]],Cdlac[[#This Row],[Restricted Rent]])),"")</f>
        <v>329.79999999999995</v>
      </c>
      <c r="T22" s="1036">
        <f>IF(Cdlac[[#This Row],[Quantity]]&gt;0,AND(Application!AK728&lt;&gt;"N/A",Application!AK728&lt;&gt;"")*Cdlac[[#This Row],[Quantity]],"")</f>
        <v>0</v>
      </c>
      <c r="U22" s="1036" t="b">
        <f>AND('Subsidy Contract Calculation'!F6&gt;0,OR('Subsidy Contract Calculation'!C6="Federal",'Subsidy Contract Calculation'!C6="Local - Approved by ED"),Cdlac[[#This Row],[Quantity]]&gt;0)</f>
        <v>0</v>
      </c>
    </row>
    <row r="23" spans="1:21" ht="15" customHeight="1">
      <c r="A23" s="1041"/>
      <c r="C23" s="2662"/>
      <c r="D23" s="2662"/>
      <c r="E23" s="2662"/>
      <c r="F23" s="2662"/>
      <c r="G23" s="2662"/>
      <c r="H23" s="1062"/>
      <c r="I23" s="1061"/>
      <c r="L23" s="1036">
        <f>IFERROR(MIN(4,MATCH(Application!B729,UnitSizes,0)-1),"")</f>
        <v>1</v>
      </c>
      <c r="M23" s="1057">
        <f>Application!G729</f>
        <v>10</v>
      </c>
      <c r="N23" s="1063">
        <f>Application!AC729</f>
        <v>0.7</v>
      </c>
      <c r="O23" s="1063">
        <f>IF(Cdlac[[#This Row],[Quantity]]&gt;0,IF(Cdlac[[#This Row],[Federal]],30%,IF(AND(OR(NOT($G$38),$G$38=""),$G$43),40%,Cdlac[[#This Row],[iAMI]])),"")</f>
        <v>0.7</v>
      </c>
      <c r="P23" s="1057" cm="1">
        <f t="array" ref="P23">IF(Cdlac[[#This Row],[Quantity]]&gt;0,INDEX(TcacRents,$P$18,Cdlac[[#This Row],[Bedrooms]]+1)*Cdlac[[#This Row],[AMI]],"")</f>
        <v>1688.3999999999999</v>
      </c>
      <c r="Q23" s="1152"/>
      <c r="R23" s="1057" cm="1">
        <f t="array" ref="R23">IF(Cdlac[[#This Row],[Quantity]]&gt;0,INDEX(HudFmrs,$P$18,Cdlac[[#This Row],[Bedrooms]]+1),"")</f>
        <v>1777</v>
      </c>
      <c r="S23" s="1057">
        <f>IF(Cdlac[[#This Row],[Quantity]]&gt;0,MAX(0,Cdlac[[#This Row],[Fair Market Rent]]-IF(AND($G$37,$G$38,$G$38&lt;&gt;"",NOT(Cdlac[[#This Row],[Federal]]),Cdlac[[#This Row],[Preservation Rent]]&lt;&gt;""),Cdlac[[#This Row],[Preservation Rent]],Cdlac[[#This Row],[Restricted Rent]])),"")</f>
        <v>88.600000000000136</v>
      </c>
      <c r="T23" s="1036">
        <f>IF(Cdlac[[#This Row],[Quantity]]&gt;0,AND(Application!AK729&lt;&gt;"N/A",Application!AK729&lt;&gt;"")*Cdlac[[#This Row],[Quantity]],"")</f>
        <v>0</v>
      </c>
      <c r="U23" s="1036" t="b">
        <f>AND('Subsidy Contract Calculation'!F7&gt;0,OR('Subsidy Contract Calculation'!C7="Federal",'Subsidy Contract Calculation'!C7="Local - Approved by ED"),Cdlac[[#This Row],[Quantity]]&gt;0)</f>
        <v>0</v>
      </c>
    </row>
    <row r="24" spans="1:21" ht="15" customHeight="1">
      <c r="C24" s="1064">
        <v>0</v>
      </c>
      <c r="D24" s="1065">
        <v>0.9</v>
      </c>
      <c r="E24" s="1064">
        <f>SUMIFS(Cdlac[Quantity],Cdlac[Bedrooms],C24)</f>
        <v>0</v>
      </c>
      <c r="F24" s="1064">
        <f>E24</f>
        <v>0</v>
      </c>
      <c r="G24" s="1064">
        <f>D24*F24</f>
        <v>0</v>
      </c>
      <c r="L24" s="1036">
        <f>IFERROR(MIN(4,MATCH(Application!B730,UnitSizes,0)-1),"")</f>
        <v>2</v>
      </c>
      <c r="M24" s="1057">
        <f>Application!G730</f>
        <v>3</v>
      </c>
      <c r="N24" s="1063">
        <f>Application!AC730</f>
        <v>0.3</v>
      </c>
      <c r="O24" s="1063">
        <f>IF(Cdlac[[#This Row],[Quantity]]&gt;0,IF(Cdlac[[#This Row],[Federal]],30%,IF(AND(OR(NOT($G$38),$G$38=""),$G$43),40%,Cdlac[[#This Row],[iAMI]])),"")</f>
        <v>0.3</v>
      </c>
      <c r="P24" s="1057" cm="1">
        <f t="array" ref="P24">IF(Cdlac[[#This Row],[Quantity]]&gt;0,INDEX(TcacRents,$P$18,Cdlac[[#This Row],[Bedrooms]]+1)*Cdlac[[#This Row],[AMI]],"")</f>
        <v>868.19999999999993</v>
      </c>
      <c r="Q24" s="1152"/>
      <c r="R24" s="1057" cm="1">
        <f t="array" ref="R24">IF(Cdlac[[#This Row],[Quantity]]&gt;0,INDEX(HudFmrs,$P$18,Cdlac[[#This Row],[Bedrooms]]+1),"")</f>
        <v>2206</v>
      </c>
      <c r="S24" s="1057">
        <f>IF(Cdlac[[#This Row],[Quantity]]&gt;0,MAX(0,Cdlac[[#This Row],[Fair Market Rent]]-IF(AND($G$37,$G$38,$G$38&lt;&gt;"",NOT(Cdlac[[#This Row],[Federal]]),Cdlac[[#This Row],[Preservation Rent]]&lt;&gt;""),Cdlac[[#This Row],[Preservation Rent]],Cdlac[[#This Row],[Restricted Rent]])),"")</f>
        <v>1337.8000000000002</v>
      </c>
      <c r="T24" s="1036">
        <f>IF(Cdlac[[#This Row],[Quantity]]&gt;0,AND(Application!AK730&lt;&gt;"N/A",Application!AK730&lt;&gt;"")*Cdlac[[#This Row],[Quantity]],"")</f>
        <v>0</v>
      </c>
      <c r="U24" s="1036" t="b">
        <f>AND('Subsidy Contract Calculation'!F8&gt;0,OR('Subsidy Contract Calculation'!C8="Federal",'Subsidy Contract Calculation'!C8="Local - Approved by ED"),Cdlac[[#This Row],[Quantity]]&gt;0)</f>
        <v>0</v>
      </c>
    </row>
    <row r="25" spans="1:21" ht="15" customHeight="1">
      <c r="C25" s="1064">
        <v>1</v>
      </c>
      <c r="D25" s="1065">
        <v>1</v>
      </c>
      <c r="E25" s="1064">
        <f>SUMIFS(Cdlac[Quantity],Cdlac[Bedrooms],C25)</f>
        <v>56</v>
      </c>
      <c r="F25" s="1064">
        <f>E25</f>
        <v>56</v>
      </c>
      <c r="G25" s="1064">
        <f>D25*F25</f>
        <v>56</v>
      </c>
      <c r="L25" s="1036">
        <f>IFERROR(MIN(4,MATCH(Application!B731,UnitSizes,0)-1),"")</f>
        <v>2</v>
      </c>
      <c r="M25" s="1057">
        <f>Application!G731</f>
        <v>6</v>
      </c>
      <c r="N25" s="1063">
        <f>Application!AC731</f>
        <v>0.5</v>
      </c>
      <c r="O25" s="1063">
        <f>IF(Cdlac[[#This Row],[Quantity]]&gt;0,IF(Cdlac[[#This Row],[Federal]],30%,IF(AND(OR(NOT($G$38),$G$38=""),$G$43),40%,Cdlac[[#This Row],[iAMI]])),"")</f>
        <v>0.5</v>
      </c>
      <c r="P25" s="1057" cm="1">
        <f t="array" ref="P25">IF(Cdlac[[#This Row],[Quantity]]&gt;0,INDEX(TcacRents,$P$18,Cdlac[[#This Row],[Bedrooms]]+1)*Cdlac[[#This Row],[AMI]],"")</f>
        <v>1447</v>
      </c>
      <c r="Q25" s="1152"/>
      <c r="R25" s="1057" cm="1">
        <f t="array" ref="R25">IF(Cdlac[[#This Row],[Quantity]]&gt;0,INDEX(HudFmrs,$P$18,Cdlac[[#This Row],[Bedrooms]]+1),"")</f>
        <v>2206</v>
      </c>
      <c r="S25" s="1057">
        <f>IF(Cdlac[[#This Row],[Quantity]]&gt;0,MAX(0,Cdlac[[#This Row],[Fair Market Rent]]-IF(AND($G$37,$G$38,$G$38&lt;&gt;"",NOT(Cdlac[[#This Row],[Federal]]),Cdlac[[#This Row],[Preservation Rent]]&lt;&gt;""),Cdlac[[#This Row],[Preservation Rent]],Cdlac[[#This Row],[Restricted Rent]])),"")</f>
        <v>759</v>
      </c>
      <c r="T25" s="1036">
        <f>IF(Cdlac[[#This Row],[Quantity]]&gt;0,AND(Application!AK731&lt;&gt;"N/A",Application!AK731&lt;&gt;"")*Cdlac[[#This Row],[Quantity]],"")</f>
        <v>0</v>
      </c>
      <c r="U25" s="1036" t="b">
        <f>AND('Subsidy Contract Calculation'!F9&gt;0,OR('Subsidy Contract Calculation'!C9="Federal",'Subsidy Contract Calculation'!C9="Local - Approved by ED"),Cdlac[[#This Row],[Quantity]]&gt;0)</f>
        <v>0</v>
      </c>
    </row>
    <row r="26" spans="1:21" ht="15" customHeight="1">
      <c r="A26" s="1066"/>
      <c r="C26" s="1067">
        <v>2</v>
      </c>
      <c r="D26" s="1065">
        <v>1.25</v>
      </c>
      <c r="E26" s="1064">
        <f>SUMIFS(Cdlac[Quantity],Cdlac[Bedrooms],C26)</f>
        <v>30</v>
      </c>
      <c r="F26" s="1067">
        <f>SUM(E26:E28)-SUM(F27:F28)</f>
        <v>30</v>
      </c>
      <c r="G26" s="1064">
        <f>D26*F26</f>
        <v>37.5</v>
      </c>
      <c r="H26" s="1066"/>
      <c r="I26" s="1066"/>
      <c r="L26" s="1036">
        <f>IFERROR(MIN(4,MATCH(Application!B732,UnitSizes,0)-1),"")</f>
        <v>2</v>
      </c>
      <c r="M26" s="1057">
        <f>Application!G732</f>
        <v>15</v>
      </c>
      <c r="N26" s="1063">
        <f>Application!AC732</f>
        <v>0.6</v>
      </c>
      <c r="O26" s="1063">
        <f>IF(Cdlac[[#This Row],[Quantity]]&gt;0,IF(Cdlac[[#This Row],[Federal]],30%,IF(AND(OR(NOT($G$38),$G$38=""),$G$43),40%,Cdlac[[#This Row],[iAMI]])),"")</f>
        <v>0.6</v>
      </c>
      <c r="P26" s="1057" cm="1">
        <f t="array" ref="P26">IF(Cdlac[[#This Row],[Quantity]]&gt;0,INDEX(TcacRents,$P$18,Cdlac[[#This Row],[Bedrooms]]+1)*Cdlac[[#This Row],[AMI]],"")</f>
        <v>1736.3999999999999</v>
      </c>
      <c r="Q26" s="1152"/>
      <c r="R26" s="1057" cm="1">
        <f t="array" ref="R26">IF(Cdlac[[#This Row],[Quantity]]&gt;0,INDEX(HudFmrs,$P$18,Cdlac[[#This Row],[Bedrooms]]+1),"")</f>
        <v>2206</v>
      </c>
      <c r="S26" s="1057">
        <f>IF(Cdlac[[#This Row],[Quantity]]&gt;0,MAX(0,Cdlac[[#This Row],[Fair Market Rent]]-IF(AND($G$37,$G$38,$G$38&lt;&gt;"",NOT(Cdlac[[#This Row],[Federal]]),Cdlac[[#This Row],[Preservation Rent]]&lt;&gt;""),Cdlac[[#This Row],[Preservation Rent]],Cdlac[[#This Row],[Restricted Rent]])),"")</f>
        <v>469.60000000000014</v>
      </c>
      <c r="T26" s="1036">
        <f>IF(Cdlac[[#This Row],[Quantity]]&gt;0,AND(Application!AK732&lt;&gt;"N/A",Application!AK732&lt;&gt;"")*Cdlac[[#This Row],[Quantity]],"")</f>
        <v>0</v>
      </c>
      <c r="U26" s="1036" t="b">
        <f>AND('Subsidy Contract Calculation'!F10&gt;0,OR('Subsidy Contract Calculation'!C10="Federal",'Subsidy Contract Calculation'!C10="Local - Approved by ED"),Cdlac[[#This Row],[Quantity]]&gt;0)</f>
        <v>0</v>
      </c>
    </row>
    <row r="27" spans="1:21" ht="15" customHeight="1">
      <c r="A27" s="1066"/>
      <c r="C27" s="1067">
        <v>3</v>
      </c>
      <c r="D27" s="1065">
        <f>1.5+0.25*0</f>
        <v>1.5</v>
      </c>
      <c r="E27" s="1064">
        <f>SUMIFS(Cdlac[Quantity],Cdlac[Bedrooms],C27)</f>
        <v>32</v>
      </c>
      <c r="F27" s="1067">
        <f>MIN(E27,ROUNDDOWN(E29*30%,0))</f>
        <v>32</v>
      </c>
      <c r="G27" s="1064">
        <f>D27*F27</f>
        <v>48</v>
      </c>
      <c r="H27" s="1066"/>
      <c r="I27" s="1066"/>
      <c r="L27" s="1036">
        <f>IFERROR(MIN(4,MATCH(Application!B733,UnitSizes,0)-1),"")</f>
        <v>2</v>
      </c>
      <c r="M27" s="1057">
        <f>Application!G733</f>
        <v>6</v>
      </c>
      <c r="N27" s="1063">
        <f>Application!AC733</f>
        <v>0.7</v>
      </c>
      <c r="O27" s="1063">
        <f>IF(Cdlac[[#This Row],[Quantity]]&gt;0,IF(Cdlac[[#This Row],[Federal]],30%,IF(AND(OR(NOT($G$38),$G$38=""),$G$43),40%,Cdlac[[#This Row],[iAMI]])),"")</f>
        <v>0.7</v>
      </c>
      <c r="P27" s="1057" cm="1">
        <f t="array" ref="P27">IF(Cdlac[[#This Row],[Quantity]]&gt;0,INDEX(TcacRents,$P$18,Cdlac[[#This Row],[Bedrooms]]+1)*Cdlac[[#This Row],[AMI]],"")</f>
        <v>2025.8</v>
      </c>
      <c r="Q27" s="1152"/>
      <c r="R27" s="1057" cm="1">
        <f t="array" ref="R27">IF(Cdlac[[#This Row],[Quantity]]&gt;0,INDEX(HudFmrs,$P$18,Cdlac[[#This Row],[Bedrooms]]+1),"")</f>
        <v>2206</v>
      </c>
      <c r="S27" s="1057">
        <f>IF(Cdlac[[#This Row],[Quantity]]&gt;0,MAX(0,Cdlac[[#This Row],[Fair Market Rent]]-IF(AND($G$37,$G$38,$G$38&lt;&gt;"",NOT(Cdlac[[#This Row],[Federal]]),Cdlac[[#This Row],[Preservation Rent]]&lt;&gt;""),Cdlac[[#This Row],[Preservation Rent]],Cdlac[[#This Row],[Restricted Rent]])),"")</f>
        <v>180.20000000000005</v>
      </c>
      <c r="T27" s="1036">
        <f>IF(Cdlac[[#This Row],[Quantity]]&gt;0,AND(Application!AK733&lt;&gt;"N/A",Application!AK733&lt;&gt;"")*Cdlac[[#This Row],[Quantity]],"")</f>
        <v>0</v>
      </c>
      <c r="U27" s="1036" t="b">
        <f>AND('Subsidy Contract Calculation'!F11&gt;0,OR('Subsidy Contract Calculation'!C11="Federal",'Subsidy Contract Calculation'!C11="Local - Approved by ED"),Cdlac[[#This Row],[Quantity]]&gt;0)</f>
        <v>0</v>
      </c>
    </row>
    <row r="28" spans="1:21" ht="15" customHeight="1" thickBot="1">
      <c r="A28" s="1066"/>
      <c r="C28" s="1078">
        <v>4</v>
      </c>
      <c r="D28" s="1079">
        <f>1.75+0.25*0</f>
        <v>1.75</v>
      </c>
      <c r="E28" s="1080">
        <f>SUMIFS(Cdlac[Quantity],Cdlac[Bedrooms],C28)</f>
        <v>0</v>
      </c>
      <c r="F28" s="1078">
        <f>MIN(E28,ROUNDDOWN(E29*10%,0))</f>
        <v>0</v>
      </c>
      <c r="G28" s="1080">
        <f>D28*F28</f>
        <v>0</v>
      </c>
      <c r="H28" s="1066"/>
      <c r="I28" s="1066"/>
      <c r="L28" s="1036">
        <f>IFERROR(MIN(4,MATCH(Application!B734,UnitSizes,0)-1),"")</f>
        <v>3</v>
      </c>
      <c r="M28" s="1057">
        <f>Application!G734</f>
        <v>3</v>
      </c>
      <c r="N28" s="1063">
        <f>Application!AC734</f>
        <v>0.3</v>
      </c>
      <c r="O28" s="1063">
        <f>IF(Cdlac[[#This Row],[Quantity]]&gt;0,IF(Cdlac[[#This Row],[Federal]],30%,IF(AND(OR(NOT($G$38),$G$38=""),$G$43),40%,Cdlac[[#This Row],[iAMI]])),"")</f>
        <v>0.3</v>
      </c>
      <c r="P28" s="1057" cm="1">
        <f t="array" ref="P28">IF(Cdlac[[#This Row],[Quantity]]&gt;0,INDEX(TcacRents,$P$18,Cdlac[[#This Row],[Bedrooms]]+1)*Cdlac[[#This Row],[AMI]],"")</f>
        <v>1002.5999999999999</v>
      </c>
      <c r="Q28" s="1152"/>
      <c r="R28" s="1057" cm="1">
        <f t="array" ref="R28">IF(Cdlac[[#This Row],[Quantity]]&gt;0,INDEX(HudFmrs,$P$18,Cdlac[[#This Row],[Bedrooms]]+1),"")</f>
        <v>2992</v>
      </c>
      <c r="S28" s="1057">
        <f>IF(Cdlac[[#This Row],[Quantity]]&gt;0,MAX(0,Cdlac[[#This Row],[Fair Market Rent]]-IF(AND($G$37,$G$38,$G$38&lt;&gt;"",NOT(Cdlac[[#This Row],[Federal]]),Cdlac[[#This Row],[Preservation Rent]]&lt;&gt;""),Cdlac[[#This Row],[Preservation Rent]],Cdlac[[#This Row],[Restricted Rent]])),"")</f>
        <v>1989.4</v>
      </c>
      <c r="T28" s="1036">
        <f>IF(Cdlac[[#This Row],[Quantity]]&gt;0,AND(Application!AK734&lt;&gt;"N/A",Application!AK734&lt;&gt;"")*Cdlac[[#This Row],[Quantity]],"")</f>
        <v>0</v>
      </c>
      <c r="U28" s="1036" t="b">
        <f>AND('Subsidy Contract Calculation'!F12&gt;0,OR('Subsidy Contract Calculation'!C12="Federal",'Subsidy Contract Calculation'!C12="Local - Approved by ED"),Cdlac[[#This Row],[Quantity]]&gt;0)</f>
        <v>0</v>
      </c>
    </row>
    <row r="29" spans="1:21" ht="15" customHeight="1">
      <c r="A29" s="1066"/>
      <c r="C29" s="2691" t="s">
        <v>1572</v>
      </c>
      <c r="D29" s="2692"/>
      <c r="E29" s="1081">
        <f>SUM(E24:E28)</f>
        <v>118</v>
      </c>
      <c r="F29" s="1081">
        <f>SUM(F24:F28)</f>
        <v>118</v>
      </c>
      <c r="G29" s="1082">
        <f>SUMPRODUCT(D24:D28,F24:F28)</f>
        <v>141.5</v>
      </c>
      <c r="H29" s="1066"/>
      <c r="I29" s="1066"/>
      <c r="L29" s="1036">
        <f>IFERROR(MIN(4,MATCH(Application!B735,UnitSizes,0)-1),"")</f>
        <v>3</v>
      </c>
      <c r="M29" s="1057">
        <f>Application!G735</f>
        <v>7</v>
      </c>
      <c r="N29" s="1063">
        <f>Application!AC735</f>
        <v>0.5</v>
      </c>
      <c r="O29" s="1063">
        <f>IF(Cdlac[[#This Row],[Quantity]]&gt;0,IF(Cdlac[[#This Row],[Federal]],30%,IF(AND(OR(NOT($G$38),$G$38=""),$G$43),40%,Cdlac[[#This Row],[iAMI]])),"")</f>
        <v>0.5</v>
      </c>
      <c r="P29" s="1057" cm="1">
        <f t="array" ref="P29">IF(Cdlac[[#This Row],[Quantity]]&gt;0,INDEX(TcacRents,$P$18,Cdlac[[#This Row],[Bedrooms]]+1)*Cdlac[[#This Row],[AMI]],"")</f>
        <v>1671</v>
      </c>
      <c r="Q29" s="1152"/>
      <c r="R29" s="1057" cm="1">
        <f t="array" ref="R29">IF(Cdlac[[#This Row],[Quantity]]&gt;0,INDEX(HudFmrs,$P$18,Cdlac[[#This Row],[Bedrooms]]+1),"")</f>
        <v>2992</v>
      </c>
      <c r="S29" s="1057">
        <f>IF(Cdlac[[#This Row],[Quantity]]&gt;0,MAX(0,Cdlac[[#This Row],[Fair Market Rent]]-IF(AND($G$37,$G$38,$G$38&lt;&gt;"",NOT(Cdlac[[#This Row],[Federal]]),Cdlac[[#This Row],[Preservation Rent]]&lt;&gt;""),Cdlac[[#This Row],[Preservation Rent]],Cdlac[[#This Row],[Restricted Rent]])),"")</f>
        <v>1321</v>
      </c>
      <c r="T29" s="1036">
        <f>IF(Cdlac[[#This Row],[Quantity]]&gt;0,AND(Application!AK735&lt;&gt;"N/A",Application!AK735&lt;&gt;"")*Cdlac[[#This Row],[Quantity]],"")</f>
        <v>0</v>
      </c>
      <c r="U29" s="1036" t="b">
        <f>AND('Subsidy Contract Calculation'!F13&gt;0,OR('Subsidy Contract Calculation'!C13="Federal",'Subsidy Contract Calculation'!C13="Local - Approved by ED"),Cdlac[[#This Row],[Quantity]]&gt;0)</f>
        <v>0</v>
      </c>
    </row>
    <row r="30" spans="1:21" ht="15" customHeight="1">
      <c r="A30" s="1066"/>
      <c r="C30" s="1066"/>
      <c r="D30" s="1066"/>
      <c r="E30" s="1066"/>
      <c r="F30" s="1066"/>
      <c r="G30" s="1066"/>
      <c r="H30" s="1066"/>
      <c r="I30" s="1066"/>
      <c r="L30" s="1036">
        <f>IFERROR(MIN(4,MATCH(Application!B736,UnitSizes,0)-1),"")</f>
        <v>3</v>
      </c>
      <c r="M30" s="1057">
        <f>Application!G736</f>
        <v>16</v>
      </c>
      <c r="N30" s="1063">
        <f>Application!AC736</f>
        <v>0.6</v>
      </c>
      <c r="O30" s="1063">
        <f>IF(Cdlac[[#This Row],[Quantity]]&gt;0,IF(Cdlac[[#This Row],[Federal]],30%,IF(AND(OR(NOT($G$38),$G$38=""),$G$43),40%,Cdlac[[#This Row],[iAMI]])),"")</f>
        <v>0.6</v>
      </c>
      <c r="P30" s="1057" cm="1">
        <f t="array" ref="P30">IF(Cdlac[[#This Row],[Quantity]]&gt;0,INDEX(TcacRents,$P$18,Cdlac[[#This Row],[Bedrooms]]+1)*Cdlac[[#This Row],[AMI]],"")</f>
        <v>2005.1999999999998</v>
      </c>
      <c r="Q30" s="1152"/>
      <c r="R30" s="1057" cm="1">
        <f t="array" ref="R30">IF(Cdlac[[#This Row],[Quantity]]&gt;0,INDEX(HudFmrs,$P$18,Cdlac[[#This Row],[Bedrooms]]+1),"")</f>
        <v>2992</v>
      </c>
      <c r="S30" s="1057">
        <f>IF(Cdlac[[#This Row],[Quantity]]&gt;0,MAX(0,Cdlac[[#This Row],[Fair Market Rent]]-IF(AND($G$37,$G$38,$G$38&lt;&gt;"",NOT(Cdlac[[#This Row],[Federal]]),Cdlac[[#This Row],[Preservation Rent]]&lt;&gt;""),Cdlac[[#This Row],[Preservation Rent]],Cdlac[[#This Row],[Restricted Rent]])),"")</f>
        <v>986.80000000000018</v>
      </c>
      <c r="T30" s="1036">
        <f>IF(Cdlac[[#This Row],[Quantity]]&gt;0,AND(Application!AK736&lt;&gt;"N/A",Application!AK736&lt;&gt;"")*Cdlac[[#This Row],[Quantity]],"")</f>
        <v>0</v>
      </c>
      <c r="U30" s="1036" t="b">
        <f>AND('Subsidy Contract Calculation'!F14&gt;0,OR('Subsidy Contract Calculation'!C14="Federal",'Subsidy Contract Calculation'!C14="Local - Approved by ED"),Cdlac[[#This Row],[Quantity]]&gt;0)</f>
        <v>0</v>
      </c>
    </row>
    <row r="31" spans="1:21" ht="15" customHeight="1">
      <c r="A31" s="1066"/>
      <c r="E31" s="1108" t="s">
        <v>1955</v>
      </c>
      <c r="G31" s="1105">
        <f>G29</f>
        <v>141.5</v>
      </c>
      <c r="H31" s="1066"/>
      <c r="I31" s="1066"/>
      <c r="L31" s="1036">
        <f>IFERROR(MIN(4,MATCH(Application!B737,UnitSizes,0)-1),"")</f>
        <v>3</v>
      </c>
      <c r="M31" s="1057">
        <f>Application!G737</f>
        <v>6</v>
      </c>
      <c r="N31" s="1063">
        <f>Application!AC737</f>
        <v>0.7</v>
      </c>
      <c r="O31" s="1063">
        <f>IF(Cdlac[[#This Row],[Quantity]]&gt;0,IF(Cdlac[[#This Row],[Federal]],30%,IF(AND(OR(NOT($G$38),$G$38=""),$G$43),40%,Cdlac[[#This Row],[iAMI]])),"")</f>
        <v>0.7</v>
      </c>
      <c r="P31" s="1057" cm="1">
        <f t="array" ref="P31">IF(Cdlac[[#This Row],[Quantity]]&gt;0,INDEX(TcacRents,$P$18,Cdlac[[#This Row],[Bedrooms]]+1)*Cdlac[[#This Row],[AMI]],"")</f>
        <v>2339.3999999999996</v>
      </c>
      <c r="Q31" s="1152"/>
      <c r="R31" s="1057" cm="1">
        <f t="array" ref="R31">IF(Cdlac[[#This Row],[Quantity]]&gt;0,INDEX(HudFmrs,$P$18,Cdlac[[#This Row],[Bedrooms]]+1),"")</f>
        <v>2992</v>
      </c>
      <c r="S31" s="1057">
        <f>IF(Cdlac[[#This Row],[Quantity]]&gt;0,MAX(0,Cdlac[[#This Row],[Fair Market Rent]]-IF(AND($G$37,$G$38,$G$38&lt;&gt;"",NOT(Cdlac[[#This Row],[Federal]]),Cdlac[[#This Row],[Preservation Rent]]&lt;&gt;""),Cdlac[[#This Row],[Preservation Rent]],Cdlac[[#This Row],[Restricted Rent]])),"")</f>
        <v>652.60000000000036</v>
      </c>
      <c r="T31" s="1036">
        <f>IF(Cdlac[[#This Row],[Quantity]]&gt;0,AND(Application!AK737&lt;&gt;"N/A",Application!AK737&lt;&gt;"")*Cdlac[[#This Row],[Quantity]],"")</f>
        <v>0</v>
      </c>
      <c r="U31" s="1036" t="b">
        <f>AND('Subsidy Contract Calculation'!F15&gt;0,OR('Subsidy Contract Calculation'!C15="Federal",'Subsidy Contract Calculation'!C15="Local - Approved by ED"),Cdlac[[#This Row],[Quantity]]&gt;0)</f>
        <v>0</v>
      </c>
    </row>
    <row r="32" spans="1:21" ht="15" customHeight="1">
      <c r="A32" s="1066"/>
      <c r="E32" s="1108" t="s">
        <v>1914</v>
      </c>
      <c r="F32" s="1104" t="s">
        <v>1962</v>
      </c>
      <c r="G32" s="1106">
        <v>50000</v>
      </c>
      <c r="H32" s="1066"/>
      <c r="I32" s="1066"/>
      <c r="L32" s="1036" t="str">
        <f>IFERROR(MIN(4,MATCH(Application!B738,UnitSizes,0)-1),"")</f>
        <v/>
      </c>
      <c r="M32" s="1057">
        <f>Application!G738</f>
        <v>0</v>
      </c>
      <c r="N32" s="1063">
        <f>Application!AC738</f>
        <v>0</v>
      </c>
      <c r="O32" s="1063" t="str">
        <f>IF(Cdlac[[#This Row],[Quantity]]&gt;0,IF(Cdlac[[#This Row],[Federal]],30%,IF(AND(OR(NOT($G$38),$G$38=""),$G$43),40%,Cdlac[[#This Row],[iAMI]])),"")</f>
        <v/>
      </c>
      <c r="P32" s="1057" t="str" cm="1">
        <f t="array" ref="P32">IF(Cdlac[[#This Row],[Quantity]]&gt;0,INDEX(TcacRents,$P$18,Cdlac[[#This Row],[Bedrooms]]+1)*Cdlac[[#This Row],[AMI]],"")</f>
        <v/>
      </c>
      <c r="Q32" s="1152"/>
      <c r="R32" s="1057" t="str" cm="1">
        <f t="array" ref="R32">IF(Cdlac[[#This Row],[Quantity]]&gt;0,INDEX(HudFmrs,$P$18,Cdlac[[#This Row],[Bedrooms]]+1),"")</f>
        <v/>
      </c>
      <c r="S32" s="1057" t="str">
        <f>IF(Cdlac[[#This Row],[Quantity]]&gt;0,MAX(0,Cdlac[[#This Row],[Fair Market Rent]]-IF(AND($G$37,$G$38,$G$38&lt;&gt;"",NOT(Cdlac[[#This Row],[Federal]]),Cdlac[[#This Row],[Preservation Rent]]&lt;&gt;""),Cdlac[[#This Row],[Preservation Rent]],Cdlac[[#This Row],[Restricted Rent]])),"")</f>
        <v/>
      </c>
      <c r="T32" s="1036" t="str">
        <f>IF(Cdlac[[#This Row],[Quantity]]&gt;0,AND(Application!AK738&lt;&gt;"N/A",Application!AK738&lt;&gt;"")*Cdlac[[#This Row],[Quantity]],"")</f>
        <v/>
      </c>
      <c r="U32" s="1036" t="b">
        <f>AND('Subsidy Contract Calculation'!F16&gt;0,OR('Subsidy Contract Calculation'!C16="Federal",'Subsidy Contract Calculation'!C16="Local - Approved by ED"),Cdlac[[#This Row],[Quantity]]&gt;0)</f>
        <v>0</v>
      </c>
    </row>
    <row r="33" spans="1:21" ht="15" customHeight="1">
      <c r="A33" s="1066"/>
      <c r="E33" s="1109" t="s">
        <v>1948</v>
      </c>
      <c r="F33" s="1038"/>
      <c r="G33" s="1110">
        <f>G32*G31</f>
        <v>7075000</v>
      </c>
      <c r="H33" s="1066"/>
      <c r="I33" s="1066"/>
      <c r="L33" s="1036" t="str">
        <f>IFERROR(MIN(4,MATCH(Application!B739,UnitSizes,0)-1),"")</f>
        <v/>
      </c>
      <c r="M33" s="1057">
        <f>Application!G739</f>
        <v>0</v>
      </c>
      <c r="N33" s="1063">
        <f>Application!AC739</f>
        <v>0</v>
      </c>
      <c r="O33" s="1063" t="str">
        <f>IF(Cdlac[[#This Row],[Quantity]]&gt;0,IF(Cdlac[[#This Row],[Federal]],30%,IF(AND(OR(NOT($G$38),$G$38=""),$G$43),40%,Cdlac[[#This Row],[iAMI]])),"")</f>
        <v/>
      </c>
      <c r="P33" s="1057" t="str" cm="1">
        <f t="array" ref="P33">IF(Cdlac[[#This Row],[Quantity]]&gt;0,INDEX(TcacRents,$P$18,Cdlac[[#This Row],[Bedrooms]]+1)*Cdlac[[#This Row],[AMI]],"")</f>
        <v/>
      </c>
      <c r="Q33" s="1152"/>
      <c r="R33" s="1057" t="str" cm="1">
        <f t="array" ref="R33">IF(Cdlac[[#This Row],[Quantity]]&gt;0,INDEX(HudFmrs,$P$18,Cdlac[[#This Row],[Bedrooms]]+1),"")</f>
        <v/>
      </c>
      <c r="S33" s="1057" t="str">
        <f>IF(Cdlac[[#This Row],[Quantity]]&gt;0,MAX(0,Cdlac[[#This Row],[Fair Market Rent]]-IF(AND($G$37,$G$38,$G$38&lt;&gt;"",NOT(Cdlac[[#This Row],[Federal]]),Cdlac[[#This Row],[Preservation Rent]]&lt;&gt;""),Cdlac[[#This Row],[Preservation Rent]],Cdlac[[#This Row],[Restricted Rent]])),"")</f>
        <v/>
      </c>
      <c r="T33" s="1036" t="str">
        <f>IF(Cdlac[[#This Row],[Quantity]]&gt;0,AND(Application!AK739&lt;&gt;"N/A",Application!AK739&lt;&gt;"")*Cdlac[[#This Row],[Quantity]],"")</f>
        <v/>
      </c>
      <c r="U33" s="1036" t="b">
        <f>AND('Subsidy Contract Calculation'!F17&gt;0,OR('Subsidy Contract Calculation'!C17="Federal",'Subsidy Contract Calculation'!C17="Local - Approved by ED"),Cdlac[[#This Row],[Quantity]]&gt;0)</f>
        <v>0</v>
      </c>
    </row>
    <row r="34" spans="1:21" ht="15" customHeight="1">
      <c r="A34" s="1066"/>
      <c r="B34" s="1066"/>
      <c r="C34" s="1066"/>
      <c r="D34" s="1066"/>
      <c r="E34" s="1066"/>
      <c r="F34" s="1066"/>
      <c r="G34" s="1066"/>
      <c r="H34" s="1066"/>
      <c r="I34" s="1066"/>
      <c r="L34" s="1036" t="str">
        <f>IFERROR(MIN(4,MATCH(Application!B740,UnitSizes,0)-1),"")</f>
        <v/>
      </c>
      <c r="M34" s="1057">
        <f>Application!G740</f>
        <v>0</v>
      </c>
      <c r="N34" s="1063">
        <f>Application!AC740</f>
        <v>0</v>
      </c>
      <c r="O34" s="1063" t="str">
        <f>IF(Cdlac[[#This Row],[Quantity]]&gt;0,IF(Cdlac[[#This Row],[Federal]],30%,IF(AND(OR(NOT($G$38),$G$38=""),$G$43),40%,Cdlac[[#This Row],[iAMI]])),"")</f>
        <v/>
      </c>
      <c r="P34" s="1057" t="str" cm="1">
        <f t="array" ref="P34">IF(Cdlac[[#This Row],[Quantity]]&gt;0,INDEX(TcacRents,$P$18,Cdlac[[#This Row],[Bedrooms]]+1)*Cdlac[[#This Row],[AMI]],"")</f>
        <v/>
      </c>
      <c r="Q34" s="1152"/>
      <c r="R34" s="1057" t="str" cm="1">
        <f t="array" ref="R34">IF(Cdlac[[#This Row],[Quantity]]&gt;0,INDEX(HudFmrs,$P$18,Cdlac[[#This Row],[Bedrooms]]+1),"")</f>
        <v/>
      </c>
      <c r="S34" s="1057" t="str">
        <f>IF(Cdlac[[#This Row],[Quantity]]&gt;0,MAX(0,Cdlac[[#This Row],[Fair Market Rent]]-IF(AND($G$37,$G$38,$G$38&lt;&gt;"",NOT(Cdlac[[#This Row],[Federal]]),Cdlac[[#This Row],[Preservation Rent]]&lt;&gt;""),Cdlac[[#This Row],[Preservation Rent]],Cdlac[[#This Row],[Restricted Rent]])),"")</f>
        <v/>
      </c>
      <c r="T34" s="1036" t="str">
        <f>IF(Cdlac[[#This Row],[Quantity]]&gt;0,AND(Application!AK740&lt;&gt;"N/A",Application!AK740&lt;&gt;"")*Cdlac[[#This Row],[Quantity]],"")</f>
        <v/>
      </c>
      <c r="U34" s="1036" t="b">
        <f>AND('Subsidy Contract Calculation'!F18&gt;0,OR('Subsidy Contract Calculation'!C18="Federal",'Subsidy Contract Calculation'!C18="Local - Approved by ED"),Cdlac[[#This Row],[Quantity]]&gt;0)</f>
        <v>0</v>
      </c>
    </row>
    <row r="35" spans="1:21" ht="15" customHeight="1">
      <c r="B35" s="1058" t="str">
        <f>B10</f>
        <v>B. Rent Savings Benefit</v>
      </c>
      <c r="C35" s="1059"/>
      <c r="D35" s="1059"/>
      <c r="E35" s="1059"/>
      <c r="F35" s="1059"/>
      <c r="G35" s="1059"/>
      <c r="H35" s="1059"/>
      <c r="I35" s="1060"/>
      <c r="L35" s="1036" t="str">
        <f>IFERROR(MIN(4,MATCH(Application!B741,UnitSizes,0)-1),"")</f>
        <v/>
      </c>
      <c r="M35" s="1057">
        <f>Application!G741</f>
        <v>0</v>
      </c>
      <c r="N35" s="1063">
        <f>Application!AC741</f>
        <v>0</v>
      </c>
      <c r="O35" s="1063" t="str">
        <f>IF(Cdlac[[#This Row],[Quantity]]&gt;0,IF(Cdlac[[#This Row],[Federal]],30%,IF(AND(OR(NOT($G$38),$G$38=""),$G$43),40%,Cdlac[[#This Row],[iAMI]])),"")</f>
        <v/>
      </c>
      <c r="P35" s="1057" t="str" cm="1">
        <f t="array" ref="P35">IF(Cdlac[[#This Row],[Quantity]]&gt;0,INDEX(TcacRents,$P$18,Cdlac[[#This Row],[Bedrooms]]+1)*Cdlac[[#This Row],[AMI]],"")</f>
        <v/>
      </c>
      <c r="Q35" s="1152"/>
      <c r="R35" s="1057" t="str" cm="1">
        <f t="array" ref="R35">IF(Cdlac[[#This Row],[Quantity]]&gt;0,INDEX(HudFmrs,$P$18,Cdlac[[#This Row],[Bedrooms]]+1),"")</f>
        <v/>
      </c>
      <c r="S35" s="1057" t="str">
        <f>IF(Cdlac[[#This Row],[Quantity]]&gt;0,MAX(0,Cdlac[[#This Row],[Fair Market Rent]]-IF(AND($G$37,$G$38,$G$38&lt;&gt;"",NOT(Cdlac[[#This Row],[Federal]]),Cdlac[[#This Row],[Preservation Rent]]&lt;&gt;""),Cdlac[[#This Row],[Preservation Rent]],Cdlac[[#This Row],[Restricted Rent]])),"")</f>
        <v/>
      </c>
      <c r="T35" s="1036" t="str">
        <f>IF(Cdlac[[#This Row],[Quantity]]&gt;0,AND(Application!AK741&lt;&gt;"N/A",Application!AK741&lt;&gt;"")*Cdlac[[#This Row],[Quantity]],"")</f>
        <v/>
      </c>
      <c r="U35" s="1036" t="b">
        <f>AND('Subsidy Contract Calculation'!F19&gt;0,OR('Subsidy Contract Calculation'!C19="Federal",'Subsidy Contract Calculation'!C19="Local - Approved by ED"),Cdlac[[#This Row],[Quantity]]&gt;0)</f>
        <v>0</v>
      </c>
    </row>
    <row r="36" spans="1:21" ht="15" customHeight="1">
      <c r="L36" s="1036" t="str">
        <f>IFERROR(MIN(4,MATCH(Application!B742,UnitSizes,0)-1),"")</f>
        <v/>
      </c>
      <c r="M36" s="1057">
        <f>Application!G742</f>
        <v>0</v>
      </c>
      <c r="N36" s="1063">
        <f>Application!AC742</f>
        <v>0</v>
      </c>
      <c r="O36" s="1063" t="str">
        <f>IF(Cdlac[[#This Row],[Quantity]]&gt;0,IF(Cdlac[[#This Row],[Federal]],30%,IF(AND(OR(NOT($G$38),$G$38=""),$G$43),40%,Cdlac[[#This Row],[iAMI]])),"")</f>
        <v/>
      </c>
      <c r="P36" s="1057" t="str" cm="1">
        <f t="array" ref="P36">IF(Cdlac[[#This Row],[Quantity]]&gt;0,INDEX(TcacRents,$P$18,Cdlac[[#This Row],[Bedrooms]]+1)*Cdlac[[#This Row],[AMI]],"")</f>
        <v/>
      </c>
      <c r="Q36" s="1152"/>
      <c r="R36" s="1057" t="str" cm="1">
        <f t="array" ref="R36">IF(Cdlac[[#This Row],[Quantity]]&gt;0,INDEX(HudFmrs,$P$18,Cdlac[[#This Row],[Bedrooms]]+1),"")</f>
        <v/>
      </c>
      <c r="S36" s="1057" t="str">
        <f>IF(Cdlac[[#This Row],[Quantity]]&gt;0,MAX(0,Cdlac[[#This Row],[Fair Market Rent]]-IF(AND($G$37,$G$38,$G$38&lt;&gt;"",NOT(Cdlac[[#This Row],[Federal]]),Cdlac[[#This Row],[Preservation Rent]]&lt;&gt;""),Cdlac[[#This Row],[Preservation Rent]],Cdlac[[#This Row],[Restricted Rent]])),"")</f>
        <v/>
      </c>
      <c r="T36" s="1036" t="str">
        <f>IF(Cdlac[[#This Row],[Quantity]]&gt;0,AND(Application!AK742&lt;&gt;"N/A",Application!AK742&lt;&gt;"")*Cdlac[[#This Row],[Quantity]],"")</f>
        <v/>
      </c>
      <c r="U36" s="1036" t="b">
        <f>AND('Subsidy Contract Calculation'!F20&gt;0,OR('Subsidy Contract Calculation'!C20="Federal",'Subsidy Contract Calculation'!C20="Local - Approved by ED"),Cdlac[[#This Row],[Quantity]]&gt;0)</f>
        <v>0</v>
      </c>
    </row>
    <row r="37" spans="1:21" ht="15" customHeight="1">
      <c r="E37" s="1076" t="s">
        <v>2559</v>
      </c>
      <c r="G37" s="1036" t="b">
        <f>'Points System'!AK61&gt;0</f>
        <v>0</v>
      </c>
      <c r="L37" s="1036" t="str">
        <f>IFERROR(MIN(4,MATCH(Application!B743,UnitSizes,0)-1),"")</f>
        <v/>
      </c>
      <c r="M37" s="1057">
        <f>Application!G743</f>
        <v>0</v>
      </c>
      <c r="N37" s="1063">
        <f>Application!AC743</f>
        <v>0</v>
      </c>
      <c r="O37" s="1063" t="str">
        <f>IF(Cdlac[[#This Row],[Quantity]]&gt;0,IF(Cdlac[[#This Row],[Federal]],30%,IF(AND(OR(NOT($G$38),$G$38=""),$G$43),40%,Cdlac[[#This Row],[iAMI]])),"")</f>
        <v/>
      </c>
      <c r="P37" s="1057" t="str" cm="1">
        <f t="array" ref="P37">IF(Cdlac[[#This Row],[Quantity]]&gt;0,INDEX(TcacRents,$P$18,Cdlac[[#This Row],[Bedrooms]]+1)*Cdlac[[#This Row],[AMI]],"")</f>
        <v/>
      </c>
      <c r="Q37" s="1152"/>
      <c r="R37" s="1057" t="str" cm="1">
        <f t="array" ref="R37">IF(Cdlac[[#This Row],[Quantity]]&gt;0,INDEX(HudFmrs,$P$18,Cdlac[[#This Row],[Bedrooms]]+1),"")</f>
        <v/>
      </c>
      <c r="S37" s="1057" t="str">
        <f>IF(Cdlac[[#This Row],[Quantity]]&gt;0,MAX(0,Cdlac[[#This Row],[Fair Market Rent]]-IF(AND($G$37,$G$38,$G$38&lt;&gt;"",NOT(Cdlac[[#This Row],[Federal]]),Cdlac[[#This Row],[Preservation Rent]]&lt;&gt;""),Cdlac[[#This Row],[Preservation Rent]],Cdlac[[#This Row],[Restricted Rent]])),"")</f>
        <v/>
      </c>
      <c r="T37" s="1036" t="str">
        <f>IF(Cdlac[[#This Row],[Quantity]]&gt;0,AND(Application!AK743&lt;&gt;"N/A",Application!AK743&lt;&gt;"")*Cdlac[[#This Row],[Quantity]],"")</f>
        <v/>
      </c>
      <c r="U37" s="1036" t="b">
        <f>AND('Subsidy Contract Calculation'!F21&gt;0,OR('Subsidy Contract Calculation'!C21="Federal",'Subsidy Contract Calculation'!C21="Local - Approved by ED"),Cdlac[[#This Row],[Quantity]]&gt;0)</f>
        <v>0</v>
      </c>
    </row>
    <row r="38" spans="1:21" ht="15" customHeight="1">
      <c r="E38" s="1076" t="s">
        <v>2203</v>
      </c>
      <c r="G38" s="1151"/>
      <c r="L38" s="1036" t="str">
        <f>IFERROR(MIN(4,MATCH(Application!B744,UnitSizes,0)-1),"")</f>
        <v/>
      </c>
      <c r="M38" s="1057">
        <f>Application!G744</f>
        <v>0</v>
      </c>
      <c r="N38" s="1063">
        <f>Application!AC744</f>
        <v>0</v>
      </c>
      <c r="O38" s="1063" t="str">
        <f>IF(Cdlac[[#This Row],[Quantity]]&gt;0,IF(Cdlac[[#This Row],[Federal]],30%,IF(AND(OR(NOT($G$38),$G$38=""),$G$43),40%,Cdlac[[#This Row],[iAMI]])),"")</f>
        <v/>
      </c>
      <c r="P38" s="1057" t="str" cm="1">
        <f t="array" ref="P38">IF(Cdlac[[#This Row],[Quantity]]&gt;0,INDEX(TcacRents,$P$18,Cdlac[[#This Row],[Bedrooms]]+1)*Cdlac[[#This Row],[AMI]],"")</f>
        <v/>
      </c>
      <c r="Q38" s="1152"/>
      <c r="R38" s="1057" t="str" cm="1">
        <f t="array" ref="R38">IF(Cdlac[[#This Row],[Quantity]]&gt;0,INDEX(HudFmrs,$P$18,Cdlac[[#This Row],[Bedrooms]]+1),"")</f>
        <v/>
      </c>
      <c r="S38" s="1057" t="str">
        <f>IF(Cdlac[[#This Row],[Quantity]]&gt;0,MAX(0,Cdlac[[#This Row],[Fair Market Rent]]-IF(AND($G$37,$G$38,$G$38&lt;&gt;"",NOT(Cdlac[[#This Row],[Federal]]),Cdlac[[#This Row],[Preservation Rent]]&lt;&gt;""),Cdlac[[#This Row],[Preservation Rent]],Cdlac[[#This Row],[Restricted Rent]])),"")</f>
        <v/>
      </c>
      <c r="T38" s="1036" t="str">
        <f>IF(Cdlac[[#This Row],[Quantity]]&gt;0,AND(Application!AK744&lt;&gt;"N/A",Application!AK744&lt;&gt;"")*Cdlac[[#This Row],[Quantity]],"")</f>
        <v/>
      </c>
      <c r="U38" s="1036" t="b">
        <f>AND('Subsidy Contract Calculation'!F22&gt;0,OR('Subsidy Contract Calculation'!C22="Federal",'Subsidy Contract Calculation'!C22="Local - Approved by ED"),Cdlac[[#This Row],[Quantity]]&gt;0)</f>
        <v>0</v>
      </c>
    </row>
    <row r="39" spans="1:21" ht="15" customHeight="1">
      <c r="C39" s="2694" t="str">
        <f>IF(AND(G37,G38,G38&lt;&gt;""),"Enter the average rent charged for each unit type over the last three years, as documented with rent rolls or property audits, in cells Q20:Q44","")</f>
        <v/>
      </c>
      <c r="D39" s="2694"/>
      <c r="E39" s="2694"/>
      <c r="F39" s="2694"/>
      <c r="G39" s="2694"/>
      <c r="H39" s="2694"/>
      <c r="L39" s="1036" t="str">
        <f>IFERROR(MIN(4,MATCH(Application!B745,UnitSizes,0)-1),"")</f>
        <v/>
      </c>
      <c r="M39" s="1057">
        <f>Application!G745</f>
        <v>0</v>
      </c>
      <c r="N39" s="1063">
        <f>Application!AC745</f>
        <v>0</v>
      </c>
      <c r="O39" s="1063" t="str">
        <f>IF(Cdlac[[#This Row],[Quantity]]&gt;0,IF(Cdlac[[#This Row],[Federal]],30%,IF(AND(OR(NOT($G$38),$G$38=""),$G$43),40%,Cdlac[[#This Row],[iAMI]])),"")</f>
        <v/>
      </c>
      <c r="P39" s="1057" t="str" cm="1">
        <f t="array" ref="P39">IF(Cdlac[[#This Row],[Quantity]]&gt;0,INDEX(TcacRents,$P$18,Cdlac[[#This Row],[Bedrooms]]+1)*Cdlac[[#This Row],[AMI]],"")</f>
        <v/>
      </c>
      <c r="Q39" s="1152"/>
      <c r="R39" s="1057" t="str" cm="1">
        <f t="array" ref="R39">IF(Cdlac[[#This Row],[Quantity]]&gt;0,INDEX(HudFmrs,$P$18,Cdlac[[#This Row],[Bedrooms]]+1),"")</f>
        <v/>
      </c>
      <c r="S39" s="1057" t="str">
        <f>IF(Cdlac[[#This Row],[Quantity]]&gt;0,MAX(0,Cdlac[[#This Row],[Fair Market Rent]]-IF(AND($G$37,$G$38,$G$38&lt;&gt;"",NOT(Cdlac[[#This Row],[Federal]]),Cdlac[[#This Row],[Preservation Rent]]&lt;&gt;""),Cdlac[[#This Row],[Preservation Rent]],Cdlac[[#This Row],[Restricted Rent]])),"")</f>
        <v/>
      </c>
      <c r="T39" s="1036" t="str">
        <f>IF(Cdlac[[#This Row],[Quantity]]&gt;0,AND(Application!AK745&lt;&gt;"N/A",Application!AK745&lt;&gt;"")*Cdlac[[#This Row],[Quantity]],"")</f>
        <v/>
      </c>
      <c r="U39" s="1036" t="b">
        <f>AND('Subsidy Contract Calculation'!F23&gt;0,OR('Subsidy Contract Calculation'!C23="Federal",'Subsidy Contract Calculation'!C23="Local - Approved by ED"),Cdlac[[#This Row],[Quantity]]&gt;0)</f>
        <v>0</v>
      </c>
    </row>
    <row r="40" spans="1:21" ht="15" customHeight="1">
      <c r="C40" s="2694"/>
      <c r="D40" s="2694"/>
      <c r="E40" s="2694"/>
      <c r="F40" s="2694"/>
      <c r="G40" s="2694"/>
      <c r="H40" s="2694"/>
      <c r="L40" s="1036" t="str">
        <f>IFERROR(MIN(4,MATCH(Application!B746,UnitSizes,0)-1),"")</f>
        <v/>
      </c>
      <c r="M40" s="1057">
        <f>Application!G746</f>
        <v>0</v>
      </c>
      <c r="N40" s="1063">
        <f>Application!AC746</f>
        <v>0</v>
      </c>
      <c r="O40" s="1063" t="str">
        <f>IF(Cdlac[[#This Row],[Quantity]]&gt;0,IF(Cdlac[[#This Row],[Federal]],30%,IF(AND(OR(NOT($G$38),$G$38=""),$G$43),40%,Cdlac[[#This Row],[iAMI]])),"")</f>
        <v/>
      </c>
      <c r="P40" s="1057" t="str" cm="1">
        <f t="array" ref="P40">IF(Cdlac[[#This Row],[Quantity]]&gt;0,INDEX(TcacRents,$P$18,Cdlac[[#This Row],[Bedrooms]]+1)*Cdlac[[#This Row],[AMI]],"")</f>
        <v/>
      </c>
      <c r="Q40" s="1152"/>
      <c r="R40" s="1057" t="str" cm="1">
        <f t="array" ref="R40">IF(Cdlac[[#This Row],[Quantity]]&gt;0,INDEX(HudFmrs,$P$18,Cdlac[[#This Row],[Bedrooms]]+1),"")</f>
        <v/>
      </c>
      <c r="S40" s="1057" t="str">
        <f>IF(Cdlac[[#This Row],[Quantity]]&gt;0,MAX(0,Cdlac[[#This Row],[Fair Market Rent]]-IF(AND($G$37,$G$38,$G$38&lt;&gt;"",NOT(Cdlac[[#This Row],[Federal]]),Cdlac[[#This Row],[Preservation Rent]]&lt;&gt;""),Cdlac[[#This Row],[Preservation Rent]],Cdlac[[#This Row],[Restricted Rent]])),"")</f>
        <v/>
      </c>
      <c r="T40" s="1036" t="str">
        <f>IF(Cdlac[[#This Row],[Quantity]]&gt;0,AND(Application!AK746&lt;&gt;"N/A",Application!AK746&lt;&gt;"")*Cdlac[[#This Row],[Quantity]],"")</f>
        <v/>
      </c>
      <c r="U40" s="1036" t="b">
        <f>AND('Subsidy Contract Calculation'!F24&gt;0,OR('Subsidy Contract Calculation'!C24="Federal",'Subsidy Contract Calculation'!C24="Local - Approved by ED"),Cdlac[[#This Row],[Quantity]]&gt;0)</f>
        <v>0</v>
      </c>
    </row>
    <row r="41" spans="1:21" ht="15" customHeight="1">
      <c r="C41" s="2694"/>
      <c r="D41" s="2694"/>
      <c r="E41" s="2694"/>
      <c r="F41" s="2694"/>
      <c r="G41" s="2694"/>
      <c r="H41" s="2694"/>
      <c r="L41" s="1036" t="str">
        <f>IFERROR(MIN(4,MATCH(Application!B747,UnitSizes,0)-1),"")</f>
        <v/>
      </c>
      <c r="M41" s="1057">
        <f>Application!G747</f>
        <v>0</v>
      </c>
      <c r="N41" s="1063">
        <f>Application!AC747</f>
        <v>0</v>
      </c>
      <c r="O41" s="1063" t="str">
        <f>IF(Cdlac[[#This Row],[Quantity]]&gt;0,IF(Cdlac[[#This Row],[Federal]],30%,IF(AND(OR(NOT($G$38),$G$38=""),$G$43),40%,Cdlac[[#This Row],[iAMI]])),"")</f>
        <v/>
      </c>
      <c r="P41" s="1057" t="str" cm="1">
        <f t="array" ref="P41">IF(Cdlac[[#This Row],[Quantity]]&gt;0,INDEX(TcacRents,$P$18,Cdlac[[#This Row],[Bedrooms]]+1)*Cdlac[[#This Row],[AMI]],"")</f>
        <v/>
      </c>
      <c r="Q41" s="1152"/>
      <c r="R41" s="1057" t="str" cm="1">
        <f t="array" ref="R41">IF(Cdlac[[#This Row],[Quantity]]&gt;0,INDEX(HudFmrs,$P$18,Cdlac[[#This Row],[Bedrooms]]+1),"")</f>
        <v/>
      </c>
      <c r="S41" s="1057" t="str">
        <f>IF(Cdlac[[#This Row],[Quantity]]&gt;0,MAX(0,Cdlac[[#This Row],[Fair Market Rent]]-IF(AND($G$37,$G$38,$G$38&lt;&gt;"",NOT(Cdlac[[#This Row],[Federal]]),Cdlac[[#This Row],[Preservation Rent]]&lt;&gt;""),Cdlac[[#This Row],[Preservation Rent]],Cdlac[[#This Row],[Restricted Rent]])),"")</f>
        <v/>
      </c>
      <c r="T41" s="1036" t="str">
        <f>IF(Cdlac[[#This Row],[Quantity]]&gt;0,AND(Application!AK747&lt;&gt;"N/A",Application!AK747&lt;&gt;"")*Cdlac[[#This Row],[Quantity]],"")</f>
        <v/>
      </c>
      <c r="U41" s="1036" t="b">
        <f>AND('Subsidy Contract Calculation'!F25&gt;0,OR('Subsidy Contract Calculation'!C25="Federal",'Subsidy Contract Calculation'!C25="Local - Approved by ED"),Cdlac[[#This Row],[Quantity]]&gt;0)</f>
        <v>0</v>
      </c>
    </row>
    <row r="42" spans="1:21" ht="15" customHeight="1">
      <c r="E42" s="1076" t="s">
        <v>1973</v>
      </c>
      <c r="G42" s="1111" cm="1">
        <f t="array" ref="G42">SUMPRODUCT(Cdlac[Quantity],Cdlac[iAMI],IF(Cdlac[Federal],0,1))/SUMIFS(Cdlac[Quantity],Cdlac[Federal],FALSE)</f>
        <v>0.56779661016949157</v>
      </c>
      <c r="L42" s="1036" t="str">
        <f>IFERROR(MIN(4,MATCH(Application!B748,UnitSizes,0)-1),"")</f>
        <v/>
      </c>
      <c r="M42" s="1057">
        <f>Application!G748</f>
        <v>0</v>
      </c>
      <c r="N42" s="1063">
        <f>Application!AC748</f>
        <v>0</v>
      </c>
      <c r="O42" s="1063" t="str">
        <f>IF(Cdlac[[#This Row],[Quantity]]&gt;0,IF(Cdlac[[#This Row],[Federal]],30%,IF(AND(OR(NOT($G$38),$G$38=""),$G$43),40%,Cdlac[[#This Row],[iAMI]])),"")</f>
        <v/>
      </c>
      <c r="P42" s="1057" t="str" cm="1">
        <f t="array" ref="P42">IF(Cdlac[[#This Row],[Quantity]]&gt;0,INDEX(TcacRents,$P$18,Cdlac[[#This Row],[Bedrooms]]+1)*Cdlac[[#This Row],[AMI]],"")</f>
        <v/>
      </c>
      <c r="Q42" s="1152"/>
      <c r="R42" s="1057" t="str" cm="1">
        <f t="array" ref="R42">IF(Cdlac[[#This Row],[Quantity]]&gt;0,INDEX(HudFmrs,$P$18,Cdlac[[#This Row],[Bedrooms]]+1),"")</f>
        <v/>
      </c>
      <c r="S42" s="1057" t="str">
        <f>IF(Cdlac[[#This Row],[Quantity]]&gt;0,MAX(0,Cdlac[[#This Row],[Fair Market Rent]]-IF(AND($G$37,$G$38,$G$38&lt;&gt;"",NOT(Cdlac[[#This Row],[Federal]]),Cdlac[[#This Row],[Preservation Rent]]&lt;&gt;""),Cdlac[[#This Row],[Preservation Rent]],Cdlac[[#This Row],[Restricted Rent]])),"")</f>
        <v/>
      </c>
      <c r="T42" s="1036" t="str">
        <f>IF(Cdlac[[#This Row],[Quantity]]&gt;0,AND(Application!AK748&lt;&gt;"N/A",Application!AK748&lt;&gt;"")*Cdlac[[#This Row],[Quantity]],"")</f>
        <v/>
      </c>
      <c r="U42" s="1036" t="b">
        <f>AND('Subsidy Contract Calculation'!F26&gt;0,OR('Subsidy Contract Calculation'!C26="Federal",'Subsidy Contract Calculation'!C26="Local - Approved by ED"),Cdlac[[#This Row],[Quantity]]&gt;0)</f>
        <v>0</v>
      </c>
    </row>
    <row r="43" spans="1:21" ht="15" customHeight="1">
      <c r="E43" s="1076" t="s">
        <v>1968</v>
      </c>
      <c r="G43" s="1073" t="b">
        <f>G42&lt;40%</f>
        <v>0</v>
      </c>
      <c r="L43" s="1036" t="str">
        <f>IFERROR(MIN(4,MATCH(Application!B749,UnitSizes,0)-1),"")</f>
        <v/>
      </c>
      <c r="M43" s="1057">
        <f>Application!G749</f>
        <v>0</v>
      </c>
      <c r="N43" s="1063">
        <f>Application!AC749</f>
        <v>0</v>
      </c>
      <c r="O43" s="1063" t="str">
        <f>IF(Cdlac[[#This Row],[Quantity]]&gt;0,IF(Cdlac[[#This Row],[Federal]],30%,IF(AND(OR(NOT($G$38),$G$38=""),$G$43),40%,Cdlac[[#This Row],[iAMI]])),"")</f>
        <v/>
      </c>
      <c r="P43" s="1057" t="str" cm="1">
        <f t="array" ref="P43">IF(Cdlac[[#This Row],[Quantity]]&gt;0,INDEX(TcacRents,$P$18,Cdlac[[#This Row],[Bedrooms]]+1)*Cdlac[[#This Row],[AMI]],"")</f>
        <v/>
      </c>
      <c r="Q43" s="1152"/>
      <c r="R43" s="1057" t="str" cm="1">
        <f t="array" ref="R43">IF(Cdlac[[#This Row],[Quantity]]&gt;0,INDEX(HudFmrs,$P$18,Cdlac[[#This Row],[Bedrooms]]+1),"")</f>
        <v/>
      </c>
      <c r="S43" s="1057" t="str">
        <f>IF(Cdlac[[#This Row],[Quantity]]&gt;0,MAX(0,Cdlac[[#This Row],[Fair Market Rent]]-IF(AND($G$37,$G$38,$G$38&lt;&gt;"",NOT(Cdlac[[#This Row],[Federal]]),Cdlac[[#This Row],[Preservation Rent]]&lt;&gt;""),Cdlac[[#This Row],[Preservation Rent]],Cdlac[[#This Row],[Restricted Rent]])),"")</f>
        <v/>
      </c>
      <c r="T43" s="1036" t="str">
        <f>IF(Cdlac[[#This Row],[Quantity]]&gt;0,AND(Application!AK749&lt;&gt;"N/A",Application!AK749&lt;&gt;"")*Cdlac[[#This Row],[Quantity]],"")</f>
        <v/>
      </c>
      <c r="U43" s="1036" t="b">
        <f>AND('Subsidy Contract Calculation'!F27&gt;0,OR('Subsidy Contract Calculation'!C27="Federal",'Subsidy Contract Calculation'!C27="Local - Approved by ED"),Cdlac[[#This Row],[Quantity]]&gt;0)</f>
        <v>0</v>
      </c>
    </row>
    <row r="44" spans="1:21" ht="15" customHeight="1">
      <c r="L44" s="1036" t="str">
        <f>IFERROR(MIN(4,MATCH(Application!B750,UnitSizes,0)-1),"")</f>
        <v/>
      </c>
      <c r="M44" s="1057">
        <f>Application!G750</f>
        <v>0</v>
      </c>
      <c r="N44" s="1063">
        <f>Application!AC750</f>
        <v>0</v>
      </c>
      <c r="O44" s="1063" t="str">
        <f>IF(Cdlac[[#This Row],[Quantity]]&gt;0,IF(Cdlac[[#This Row],[Federal]],30%,IF(AND(OR(NOT($G$38),$G$38=""),$G$43),40%,Cdlac[[#This Row],[iAMI]])),"")</f>
        <v/>
      </c>
      <c r="P44" s="1057" t="str" cm="1">
        <f t="array" ref="P44">IF(Cdlac[[#This Row],[Quantity]]&gt;0,INDEX(TcacRents,$P$18,Cdlac[[#This Row],[Bedrooms]]+1)*Cdlac[[#This Row],[AMI]],"")</f>
        <v/>
      </c>
      <c r="Q44" s="1152"/>
      <c r="R44" s="1057" t="str" cm="1">
        <f t="array" ref="R44">IF(Cdlac[[#This Row],[Quantity]]&gt;0,INDEX(HudFmrs,$P$18,Cdlac[[#This Row],[Bedrooms]]+1),"")</f>
        <v/>
      </c>
      <c r="S44" s="1057" t="str">
        <f>IF(Cdlac[[#This Row],[Quantity]]&gt;0,MAX(0,Cdlac[[#This Row],[Fair Market Rent]]-IF(AND($G$37,$G$38,$G$38&lt;&gt;"",NOT(Cdlac[[#This Row],[Federal]]),Cdlac[[#This Row],[Preservation Rent]]&lt;&gt;""),Cdlac[[#This Row],[Preservation Rent]],Cdlac[[#This Row],[Restricted Rent]])),"")</f>
        <v/>
      </c>
      <c r="T44" s="1036" t="str">
        <f>IF(Cdlac[[#This Row],[Quantity]]&gt;0,AND(Application!AK750&lt;&gt;"N/A",Application!AK750&lt;&gt;"")*Cdlac[[#This Row],[Quantity]],"")</f>
        <v/>
      </c>
      <c r="U44" s="1036" t="b">
        <f>AND('Subsidy Contract Calculation'!F28&gt;0,OR('Subsidy Contract Calculation'!C28="Federal",'Subsidy Contract Calculation'!C28="Local - Approved by ED"),Cdlac[[#This Row],[Quantity]]&gt;0)</f>
        <v>0</v>
      </c>
    </row>
    <row r="45" spans="1:21" ht="15" customHeight="1">
      <c r="E45" s="1076" t="s">
        <v>1918</v>
      </c>
      <c r="G45" s="1070">
        <f>IFERROR(SUMPRODUCT(Cdlac[Quantity],Cdlac[Delta]),0)</f>
        <v>74663.8</v>
      </c>
      <c r="L45" s="1036" t="str">
        <f>IFERROR(MIN(4,MATCH(Application!B751,UnitSizes,0)-1),"")</f>
        <v/>
      </c>
      <c r="M45" s="1057">
        <f>Application!G751</f>
        <v>0</v>
      </c>
      <c r="N45" s="1063">
        <f>Application!AC751</f>
        <v>0</v>
      </c>
      <c r="O45" s="1063" t="str">
        <f>IF(Cdlac[[#This Row],[Quantity]]&gt;0,IF(Cdlac[[#This Row],[Federal]],30%,IF(AND(OR(NOT($G$38),$G$38=""),$G$43),40%,Cdlac[[#This Row],[iAMI]])),"")</f>
        <v/>
      </c>
      <c r="P45" s="1057" t="str" cm="1">
        <f t="array" ref="P45">IF(Cdlac[[#This Row],[Quantity]]&gt;0,INDEX(TcacRents,$P$18,Cdlac[[#This Row],[Bedrooms]]+1)*Cdlac[[#This Row],[AMI]],"")</f>
        <v/>
      </c>
      <c r="Q45" s="1152"/>
      <c r="R45" s="1057" t="str" cm="1">
        <f t="array" ref="R45">IF(Cdlac[[#This Row],[Quantity]]&gt;0,INDEX(HudFmrs,$P$18,Cdlac[[#This Row],[Bedrooms]]+1),"")</f>
        <v/>
      </c>
      <c r="S45" s="1057" t="str">
        <f>IF(Cdlac[[#This Row],[Quantity]]&gt;0,MAX(0,Cdlac[[#This Row],[Fair Market Rent]]-IF(AND($G$37,$G$38,$G$38&lt;&gt;"",NOT(Cdlac[[#This Row],[Federal]]),Cdlac[[#This Row],[Preservation Rent]]&lt;&gt;""),Cdlac[[#This Row],[Preservation Rent]],Cdlac[[#This Row],[Restricted Rent]])),"")</f>
        <v/>
      </c>
      <c r="T45" s="1036" t="str">
        <f>IF(Cdlac[[#This Row],[Quantity]]&gt;0,AND(Application!AK751&lt;&gt;"N/A",Application!AK751&lt;&gt;"")*Cdlac[[#This Row],[Quantity]],"")</f>
        <v/>
      </c>
      <c r="U45" s="1036" t="b">
        <f>AND('Subsidy Contract Calculation'!F29&gt;0,OR('Subsidy Contract Calculation'!C29="Federal",'Subsidy Contract Calculation'!C29="Local - Approved by ED"),Cdlac[[#This Row],[Quantity]]&gt;0)</f>
        <v>0</v>
      </c>
    </row>
    <row r="46" spans="1:21" ht="15" customHeight="1">
      <c r="E46" s="1108" t="s">
        <v>1974</v>
      </c>
      <c r="F46" s="1104" t="s">
        <v>1962</v>
      </c>
      <c r="G46" s="1112">
        <f>12*15</f>
        <v>180</v>
      </c>
      <c r="L46" s="1036" t="str">
        <f>IFERROR(MIN(4,MATCH(Application!B752,UnitSizes,0)-1),"")</f>
        <v/>
      </c>
      <c r="M46" s="1057">
        <f>Application!G752</f>
        <v>0</v>
      </c>
      <c r="N46" s="1063">
        <f>Application!AC752</f>
        <v>0</v>
      </c>
      <c r="O46" s="1063" t="str">
        <f>IF(Cdlac[[#This Row],[Quantity]]&gt;0,IF(Cdlac[[#This Row],[Federal]],30%,IF(AND(OR(NOT($G$38),$G$38=""),$G$43),40%,Cdlac[[#This Row],[iAMI]])),"")</f>
        <v/>
      </c>
      <c r="P46" s="1057" t="str" cm="1">
        <f t="array" ref="P46">IF(Cdlac[[#This Row],[Quantity]]&gt;0,INDEX(TcacRents,$P$18,Cdlac[[#This Row],[Bedrooms]]+1)*Cdlac[[#This Row],[AMI]],"")</f>
        <v/>
      </c>
      <c r="Q46" s="1152"/>
      <c r="R46" s="1057" t="str" cm="1">
        <f t="array" ref="R46">IF(Cdlac[[#This Row],[Quantity]]&gt;0,INDEX(HudFmrs,$P$18,Cdlac[[#This Row],[Bedrooms]]+1),"")</f>
        <v/>
      </c>
      <c r="S46" s="1057" t="str">
        <f>IF(Cdlac[[#This Row],[Quantity]]&gt;0,MAX(0,Cdlac[[#This Row],[Fair Market Rent]]-IF(AND($G$37,$G$38,$G$38&lt;&gt;"",NOT(Cdlac[[#This Row],[Federal]]),Cdlac[[#This Row],[Preservation Rent]]&lt;&gt;""),Cdlac[[#This Row],[Preservation Rent]],Cdlac[[#This Row],[Restricted Rent]])),"")</f>
        <v/>
      </c>
      <c r="T46" s="1036" t="str">
        <f>IF(Cdlac[[#This Row],[Quantity]]&gt;0,AND(Application!AK752&lt;&gt;"N/A",Application!AK752&lt;&gt;"")*Cdlac[[#This Row],[Quantity]],"")</f>
        <v/>
      </c>
      <c r="U46" s="1036" t="b">
        <f>AND('Subsidy Contract Calculation'!F30&gt;0,OR('Subsidy Contract Calculation'!C30="Federal",'Subsidy Contract Calculation'!C30="Local - Approved by ED"),Cdlac[[#This Row],[Quantity]]&gt;0)</f>
        <v>0</v>
      </c>
    </row>
    <row r="47" spans="1:21" ht="15" customHeight="1">
      <c r="E47" s="1113" t="s">
        <v>1913</v>
      </c>
      <c r="F47" s="1038"/>
      <c r="G47" s="1114">
        <f>G45*G46</f>
        <v>13439484</v>
      </c>
      <c r="L47" s="1036" t="str">
        <f>IFERROR(MIN(4,MATCH(Application!B753,UnitSizes,0)-1),"")</f>
        <v/>
      </c>
      <c r="M47" s="1057">
        <f>Application!G753</f>
        <v>0</v>
      </c>
      <c r="N47" s="1063">
        <f>Application!AC753</f>
        <v>0</v>
      </c>
      <c r="O47" s="1063" t="str">
        <f>IF(Cdlac[[#This Row],[Quantity]]&gt;0,IF(Cdlac[[#This Row],[Federal]],30%,IF(AND(OR(NOT($G$38),$G$38=""),$G$43),40%,Cdlac[[#This Row],[iAMI]])),"")</f>
        <v/>
      </c>
      <c r="P47" s="1057" t="str" cm="1">
        <f t="array" ref="P47">IF(Cdlac[[#This Row],[Quantity]]&gt;0,INDEX(TcacRents,$P$18,Cdlac[[#This Row],[Bedrooms]]+1)*Cdlac[[#This Row],[AMI]],"")</f>
        <v/>
      </c>
      <c r="Q47" s="1152"/>
      <c r="R47" s="1057" t="str" cm="1">
        <f t="array" ref="R47">IF(Cdlac[[#This Row],[Quantity]]&gt;0,INDEX(HudFmrs,$P$18,Cdlac[[#This Row],[Bedrooms]]+1),"")</f>
        <v/>
      </c>
      <c r="S47" s="1057" t="str">
        <f>IF(Cdlac[[#This Row],[Quantity]]&gt;0,MAX(0,Cdlac[[#This Row],[Fair Market Rent]]-IF(AND($G$37,$G$38,$G$38&lt;&gt;"",NOT(Cdlac[[#This Row],[Federal]]),Cdlac[[#This Row],[Preservation Rent]]&lt;&gt;""),Cdlac[[#This Row],[Preservation Rent]],Cdlac[[#This Row],[Restricted Rent]])),"")</f>
        <v/>
      </c>
      <c r="T47" s="1036" t="str">
        <f>IF(Cdlac[[#This Row],[Quantity]]&gt;0,AND(Application!AK753&lt;&gt;"N/A",Application!AK753&lt;&gt;"")*Cdlac[[#This Row],[Quantity]],"")</f>
        <v/>
      </c>
      <c r="U47" s="1036" t="b">
        <f>AND('Subsidy Contract Calculation'!F31&gt;0,OR('Subsidy Contract Calculation'!C31="Federal",'Subsidy Contract Calculation'!C31="Local - Approved by ED"),Cdlac[[#This Row],[Quantity]]&gt;0)</f>
        <v>0</v>
      </c>
    </row>
    <row r="48" spans="1:21" ht="15" customHeight="1">
      <c r="L48" s="1036" t="str">
        <f>IFERROR(MIN(4,MATCH(Application!B754,UnitSizes,0)-1),"")</f>
        <v/>
      </c>
      <c r="M48" s="1057">
        <f>Application!G754</f>
        <v>0</v>
      </c>
      <c r="N48" s="1063">
        <f>Application!AC754</f>
        <v>0</v>
      </c>
      <c r="O48" s="1063" t="str">
        <f>IF(Cdlac[[#This Row],[Quantity]]&gt;0,IF(Cdlac[[#This Row],[Federal]],30%,IF(AND(OR(NOT($G$38),$G$38=""),$G$43),40%,Cdlac[[#This Row],[iAMI]])),"")</f>
        <v/>
      </c>
      <c r="P48" s="1057" t="str" cm="1">
        <f t="array" ref="P48">IF(Cdlac[[#This Row],[Quantity]]&gt;0,INDEX(TcacRents,$P$18,Cdlac[[#This Row],[Bedrooms]]+1)*Cdlac[[#This Row],[AMI]],"")</f>
        <v/>
      </c>
      <c r="Q48" s="1152"/>
      <c r="R48" s="1057" t="str" cm="1">
        <f t="array" ref="R48">IF(Cdlac[[#This Row],[Quantity]]&gt;0,INDEX(HudFmrs,$P$18,Cdlac[[#This Row],[Bedrooms]]+1),"")</f>
        <v/>
      </c>
      <c r="S48" s="1057" t="str">
        <f>IF(Cdlac[[#This Row],[Quantity]]&gt;0,MAX(0,Cdlac[[#This Row],[Fair Market Rent]]-IF(AND($G$37,$G$38,$G$38&lt;&gt;"",NOT(Cdlac[[#This Row],[Federal]]),Cdlac[[#This Row],[Preservation Rent]]&lt;&gt;""),Cdlac[[#This Row],[Preservation Rent]],Cdlac[[#This Row],[Restricted Rent]])),"")</f>
        <v/>
      </c>
      <c r="T48" s="1036" t="str">
        <f>IF(Cdlac[[#This Row],[Quantity]]&gt;0,AND(Application!AK754&lt;&gt;"N/A",Application!AK754&lt;&gt;"")*Cdlac[[#This Row],[Quantity]],"")</f>
        <v/>
      </c>
      <c r="U48" s="1036" t="b">
        <f>AND('Subsidy Contract Calculation'!F32&gt;0,OR('Subsidy Contract Calculation'!C32="Federal",'Subsidy Contract Calculation'!C32="Local - Approved by ED"),Cdlac[[#This Row],[Quantity]]&gt;0)</f>
        <v>0</v>
      </c>
    </row>
    <row r="49" spans="2:21" ht="15" customHeight="1">
      <c r="B49" s="1058" t="str">
        <f>B11&amp;": "&amp;B12</f>
        <v>C. Population Benefit: (i) Extremely Low Income Benefit</v>
      </c>
      <c r="C49" s="1059"/>
      <c r="D49" s="1059"/>
      <c r="E49" s="1059"/>
      <c r="F49" s="1059"/>
      <c r="G49" s="1059"/>
      <c r="H49" s="1059"/>
      <c r="I49" s="1060"/>
      <c r="L49" s="1036" t="str">
        <f>IFERROR(MIN(4,MATCH(Application!B755,UnitSizes,0)-1),"")</f>
        <v/>
      </c>
      <c r="M49" s="1057">
        <f>Application!G755</f>
        <v>0</v>
      </c>
      <c r="N49" s="1063">
        <f>Application!AC755</f>
        <v>0</v>
      </c>
      <c r="O49" s="1063" t="str">
        <f>IF(Cdlac[[#This Row],[Quantity]]&gt;0,IF(Cdlac[[#This Row],[Federal]],30%,IF(AND(OR(NOT($G$38),$G$38=""),$G$43),40%,Cdlac[[#This Row],[iAMI]])),"")</f>
        <v/>
      </c>
      <c r="P49" s="1057" t="str" cm="1">
        <f t="array" ref="P49">IF(Cdlac[[#This Row],[Quantity]]&gt;0,INDEX(TcacRents,$P$18,Cdlac[[#This Row],[Bedrooms]]+1)*Cdlac[[#This Row],[AMI]],"")</f>
        <v/>
      </c>
      <c r="Q49" s="1152"/>
      <c r="R49" s="1057" t="str" cm="1">
        <f t="array" ref="R49">IF(Cdlac[[#This Row],[Quantity]]&gt;0,INDEX(HudFmrs,$P$18,Cdlac[[#This Row],[Bedrooms]]+1),"")</f>
        <v/>
      </c>
      <c r="S49" s="1057" t="str">
        <f>IF(Cdlac[[#This Row],[Quantity]]&gt;0,MAX(0,Cdlac[[#This Row],[Fair Market Rent]]-IF(AND($G$37,$G$38,$G$38&lt;&gt;"",NOT(Cdlac[[#This Row],[Federal]]),Cdlac[[#This Row],[Preservation Rent]]&lt;&gt;""),Cdlac[[#This Row],[Preservation Rent]],Cdlac[[#This Row],[Restricted Rent]])),"")</f>
        <v/>
      </c>
      <c r="T49" s="1036" t="str">
        <f>IF(Cdlac[[#This Row],[Quantity]]&gt;0,AND(Application!AK755&lt;&gt;"N/A",Application!AK755&lt;&gt;"")*Cdlac[[#This Row],[Quantity]],"")</f>
        <v/>
      </c>
      <c r="U49" s="1036" t="b">
        <f>AND('Subsidy Contract Calculation'!F33&gt;0,OR('Subsidy Contract Calculation'!C33="Federal",'Subsidy Contract Calculation'!C33="Local - Approved by ED"),Cdlac[[#This Row],[Quantity]]&gt;0)</f>
        <v>0</v>
      </c>
    </row>
    <row r="50" spans="2:21" ht="15" customHeight="1">
      <c r="L50" s="1036" t="str">
        <f>IFERROR(MIN(4,MATCH(Application!B756,UnitSizes,0)-1),"")</f>
        <v/>
      </c>
      <c r="M50" s="1057">
        <f>Application!G756</f>
        <v>0</v>
      </c>
      <c r="N50" s="1063">
        <f>Application!AC756</f>
        <v>0</v>
      </c>
      <c r="O50" s="1063" t="str">
        <f>IF(Cdlac[[#This Row],[Quantity]]&gt;0,IF(Cdlac[[#This Row],[Federal]],30%,IF(AND(OR(NOT($G$38),$G$38=""),$G$43),40%,Cdlac[[#This Row],[iAMI]])),"")</f>
        <v/>
      </c>
      <c r="P50" s="1057" t="str" cm="1">
        <f t="array" ref="P50">IF(Cdlac[[#This Row],[Quantity]]&gt;0,INDEX(TcacRents,$P$18,Cdlac[[#This Row],[Bedrooms]]+1)*Cdlac[[#This Row],[AMI]],"")</f>
        <v/>
      </c>
      <c r="Q50" s="1152"/>
      <c r="R50" s="1057" t="str" cm="1">
        <f t="array" ref="R50">IF(Cdlac[[#This Row],[Quantity]]&gt;0,INDEX(HudFmrs,$P$18,Cdlac[[#This Row],[Bedrooms]]+1),"")</f>
        <v/>
      </c>
      <c r="S50" s="1057" t="str">
        <f>IF(Cdlac[[#This Row],[Quantity]]&gt;0,MAX(0,Cdlac[[#This Row],[Fair Market Rent]]-IF(AND($G$37,$G$38,$G$38&lt;&gt;"",NOT(Cdlac[[#This Row],[Federal]]),Cdlac[[#This Row],[Preservation Rent]]&lt;&gt;""),Cdlac[[#This Row],[Preservation Rent]],Cdlac[[#This Row],[Restricted Rent]])),"")</f>
        <v/>
      </c>
      <c r="T50" s="1036" t="str">
        <f>IF(Cdlac[[#This Row],[Quantity]]&gt;0,AND(Application!AK756&lt;&gt;"N/A",Application!AK756&lt;&gt;"")*Cdlac[[#This Row],[Quantity]],"")</f>
        <v/>
      </c>
      <c r="U50" s="1036" t="b">
        <f>AND('Subsidy Contract Calculation'!F34&gt;0,OR('Subsidy Contract Calculation'!C34="Federal",'Subsidy Contract Calculation'!C34="Local - Approved by ED"),Cdlac[[#This Row],[Quantity]]&gt;0)</f>
        <v>0</v>
      </c>
    </row>
    <row r="51" spans="2:21" ht="15" customHeight="1">
      <c r="E51" s="1108" t="s">
        <v>1965</v>
      </c>
      <c r="G51" s="1071">
        <f>SUMIFS(Cdlac[Quantity],Cdlac[iAMI],"&lt;=30%")</f>
        <v>12</v>
      </c>
      <c r="L51" s="1036" t="str">
        <f>IFERROR(MIN(4,MATCH(Application!B757,UnitSizes,0)-1),"")</f>
        <v/>
      </c>
      <c r="M51" s="1057">
        <f>Application!G757</f>
        <v>0</v>
      </c>
      <c r="N51" s="1063">
        <f>Application!AC757</f>
        <v>0</v>
      </c>
      <c r="O51" s="1063" t="str">
        <f>IF(Cdlac[[#This Row],[Quantity]]&gt;0,IF(Cdlac[[#This Row],[Federal]],30%,IF(AND(OR(NOT($G$38),$G$38=""),$G$43),40%,Cdlac[[#This Row],[iAMI]])),"")</f>
        <v/>
      </c>
      <c r="P51" s="1057" t="str" cm="1">
        <f t="array" ref="P51">IF(Cdlac[[#This Row],[Quantity]]&gt;0,INDEX(TcacRents,$P$18,Cdlac[[#This Row],[Bedrooms]]+1)*Cdlac[[#This Row],[AMI]],"")</f>
        <v/>
      </c>
      <c r="Q51" s="1152"/>
      <c r="R51" s="1057" t="str" cm="1">
        <f t="array" ref="R51">IF(Cdlac[[#This Row],[Quantity]]&gt;0,INDEX(HudFmrs,$P$18,Cdlac[[#This Row],[Bedrooms]]+1),"")</f>
        <v/>
      </c>
      <c r="S51" s="1057" t="str">
        <f>IF(Cdlac[[#This Row],[Quantity]]&gt;0,MAX(0,Cdlac[[#This Row],[Fair Market Rent]]-IF(AND($G$37,$G$38,$G$38&lt;&gt;"",NOT(Cdlac[[#This Row],[Federal]]),Cdlac[[#This Row],[Preservation Rent]]&lt;&gt;""),Cdlac[[#This Row],[Preservation Rent]],Cdlac[[#This Row],[Restricted Rent]])),"")</f>
        <v/>
      </c>
      <c r="T51" s="1036" t="str">
        <f>IF(Cdlac[[#This Row],[Quantity]]&gt;0,AND(Application!AK757&lt;&gt;"N/A",Application!AK757&lt;&gt;"")*Cdlac[[#This Row],[Quantity]],"")</f>
        <v/>
      </c>
      <c r="U51" s="1036" t="b">
        <f>AND('Subsidy Contract Calculation'!F35&gt;0,OR('Subsidy Contract Calculation'!C35="Federal",'Subsidy Contract Calculation'!C35="Local - Approved by ED"),Cdlac[[#This Row],[Quantity]]&gt;0)</f>
        <v>0</v>
      </c>
    </row>
    <row r="52" spans="2:21" ht="15" customHeight="1">
      <c r="E52" s="1108" t="s">
        <v>1964</v>
      </c>
      <c r="G52" s="1071">
        <f>ROUNDDOWN(E29*50%,0)</f>
        <v>59</v>
      </c>
      <c r="L52" s="1036" t="str">
        <f>IFERROR(MIN(4,MATCH(Application!B758,UnitSizes,0)-1),"")</f>
        <v/>
      </c>
      <c r="M52" s="1057">
        <f>Application!G758</f>
        <v>0</v>
      </c>
      <c r="N52" s="1063">
        <f>Application!AC758</f>
        <v>0</v>
      </c>
      <c r="O52" s="1063" t="str">
        <f>IF(Cdlac[[#This Row],[Quantity]]&gt;0,IF(Cdlac[[#This Row],[Federal]],30%,IF(AND(OR(NOT($G$38),$G$38=""),$G$43),40%,Cdlac[[#This Row],[iAMI]])),"")</f>
        <v/>
      </c>
      <c r="P52" s="1057" t="str" cm="1">
        <f t="array" ref="P52">IF(Cdlac[[#This Row],[Quantity]]&gt;0,INDEX(TcacRents,$P$18,Cdlac[[#This Row],[Bedrooms]]+1)*Cdlac[[#This Row],[AMI]],"")</f>
        <v/>
      </c>
      <c r="Q52" s="1152"/>
      <c r="R52" s="1057" t="str" cm="1">
        <f t="array" ref="R52">IF(Cdlac[[#This Row],[Quantity]]&gt;0,INDEX(HudFmrs,$P$18,Cdlac[[#This Row],[Bedrooms]]+1),"")</f>
        <v/>
      </c>
      <c r="S52" s="1057" t="str">
        <f>IF(Cdlac[[#This Row],[Quantity]]&gt;0,MAX(0,Cdlac[[#This Row],[Fair Market Rent]]-IF(AND($G$37,$G$38,$G$38&lt;&gt;"",NOT(Cdlac[[#This Row],[Federal]]),Cdlac[[#This Row],[Preservation Rent]]&lt;&gt;""),Cdlac[[#This Row],[Preservation Rent]],Cdlac[[#This Row],[Restricted Rent]])),"")</f>
        <v/>
      </c>
      <c r="T52" s="1036" t="str">
        <f>IF(Cdlac[[#This Row],[Quantity]]&gt;0,AND(Application!AK758&lt;&gt;"N/A",Application!AK758&lt;&gt;"")*Cdlac[[#This Row],[Quantity]],"")</f>
        <v/>
      </c>
      <c r="U52" s="1036" t="b">
        <f>AND('Subsidy Contract Calculation'!F36&gt;0,OR('Subsidy Contract Calculation'!C36="Federal",'Subsidy Contract Calculation'!C36="Local - Approved by ED"),Cdlac[[#This Row],[Quantity]]&gt;0)</f>
        <v>0</v>
      </c>
    </row>
    <row r="53" spans="2:21" ht="15" customHeight="1">
      <c r="E53" s="1108"/>
      <c r="G53" s="1071"/>
      <c r="L53" s="1036" t="str">
        <f>IFERROR(MIN(4,MATCH(Application!B759,UnitSizes,0)-1),"")</f>
        <v/>
      </c>
      <c r="M53" s="1057">
        <f>Application!G759</f>
        <v>0</v>
      </c>
      <c r="N53" s="1063">
        <f>Application!AC759</f>
        <v>0</v>
      </c>
      <c r="O53" s="1063" t="str">
        <f>IF(Cdlac[[#This Row],[Quantity]]&gt;0,IF(Cdlac[[#This Row],[Federal]],30%,IF(AND(OR(NOT($G$38),$G$38=""),$G$43),40%,Cdlac[[#This Row],[iAMI]])),"")</f>
        <v/>
      </c>
      <c r="P53" s="1057" t="str" cm="1">
        <f t="array" ref="P53">IF(Cdlac[[#This Row],[Quantity]]&gt;0,INDEX(TcacRents,$P$18,Cdlac[[#This Row],[Bedrooms]]+1)*Cdlac[[#This Row],[AMI]],"")</f>
        <v/>
      </c>
      <c r="Q53" s="1152"/>
      <c r="R53" s="1057" t="str" cm="1">
        <f t="array" ref="R53">IF(Cdlac[[#This Row],[Quantity]]&gt;0,INDEX(HudFmrs,$P$18,Cdlac[[#This Row],[Bedrooms]]+1),"")</f>
        <v/>
      </c>
      <c r="S53" s="1057" t="str">
        <f>IF(Cdlac[[#This Row],[Quantity]]&gt;0,MAX(0,Cdlac[[#This Row],[Fair Market Rent]]-IF(AND($G$37,$G$38,$G$38&lt;&gt;"",NOT(Cdlac[[#This Row],[Federal]]),Cdlac[[#This Row],[Preservation Rent]]&lt;&gt;""),Cdlac[[#This Row],[Preservation Rent]],Cdlac[[#This Row],[Restricted Rent]])),"")</f>
        <v/>
      </c>
      <c r="T53" s="1036" t="str">
        <f>IF(Cdlac[[#This Row],[Quantity]]&gt;0,AND(Application!AK759&lt;&gt;"N/A",Application!AK759&lt;&gt;"")*Cdlac[[#This Row],[Quantity]],"")</f>
        <v/>
      </c>
      <c r="U53" s="1036" t="b">
        <f>AND('Subsidy Contract Calculation'!F37&gt;0,OR('Subsidy Contract Calculation'!C37="Federal",'Subsidy Contract Calculation'!C37="Local - Approved by ED"),Cdlac[[#This Row],[Quantity]]&gt;0)</f>
        <v>0</v>
      </c>
    </row>
    <row r="54" spans="2:21" ht="15" customHeight="1">
      <c r="E54" s="1108" t="s">
        <v>1924</v>
      </c>
      <c r="G54" s="1105">
        <f>MIN(G51:G52)</f>
        <v>12</v>
      </c>
      <c r="L54" s="1036" t="str">
        <f>IFERROR(MIN(4,MATCH(Application!B760,UnitSizes,0)-1),"")</f>
        <v/>
      </c>
      <c r="M54" s="1057">
        <f>Application!G760</f>
        <v>0</v>
      </c>
      <c r="N54" s="1063">
        <f>Application!AC760</f>
        <v>0</v>
      </c>
      <c r="O54" s="1063" t="str">
        <f>IF(Cdlac[[#This Row],[Quantity]]&gt;0,IF(Cdlac[[#This Row],[Federal]],30%,IF(AND(OR(NOT($G$38),$G$38=""),$G$43),40%,Cdlac[[#This Row],[iAMI]])),"")</f>
        <v/>
      </c>
      <c r="P54" s="1057" t="str" cm="1">
        <f t="array" ref="P54">IF(Cdlac[[#This Row],[Quantity]]&gt;0,INDEX(TcacRents,$P$18,Cdlac[[#This Row],[Bedrooms]]+1)*Cdlac[[#This Row],[AMI]],"")</f>
        <v/>
      </c>
      <c r="Q54" s="1152"/>
      <c r="R54" s="1057" t="str" cm="1">
        <f t="array" ref="R54">IF(Cdlac[[#This Row],[Quantity]]&gt;0,INDEX(HudFmrs,$P$18,Cdlac[[#This Row],[Bedrooms]]+1),"")</f>
        <v/>
      </c>
      <c r="S54" s="1057" t="str">
        <f>IF(Cdlac[[#This Row],[Quantity]]&gt;0,MAX(0,Cdlac[[#This Row],[Fair Market Rent]]-IF(AND($G$37,$G$38,$G$38&lt;&gt;"",NOT(Cdlac[[#This Row],[Federal]]),Cdlac[[#This Row],[Preservation Rent]]&lt;&gt;""),Cdlac[[#This Row],[Preservation Rent]],Cdlac[[#This Row],[Restricted Rent]])),"")</f>
        <v/>
      </c>
      <c r="T54" s="1036" t="str">
        <f>IF(Cdlac[[#This Row],[Quantity]]&gt;0,AND(Application!AK760&lt;&gt;"N/A",Application!AK760&lt;&gt;"")*Cdlac[[#This Row],[Quantity]],"")</f>
        <v/>
      </c>
      <c r="U54" s="1036" t="b">
        <f>AND('Subsidy Contract Calculation'!F38&gt;0,OR('Subsidy Contract Calculation'!C38="Federal",'Subsidy Contract Calculation'!C38="Local - Approved by ED"),Cdlac[[#This Row],[Quantity]]&gt;0)</f>
        <v>0</v>
      </c>
    </row>
    <row r="55" spans="2:21" ht="15" customHeight="1">
      <c r="E55" s="1108" t="s">
        <v>1914</v>
      </c>
      <c r="F55" s="1104" t="s">
        <v>1962</v>
      </c>
      <c r="G55" s="1115">
        <v>20000</v>
      </c>
      <c r="M55" s="1057"/>
      <c r="N55" s="1063"/>
      <c r="O55" s="1063"/>
      <c r="P55" s="1057"/>
      <c r="Q55" s="1152"/>
      <c r="R55" s="1057"/>
      <c r="S55" s="1057"/>
    </row>
    <row r="56" spans="2:21" ht="15" customHeight="1">
      <c r="E56" s="1109" t="s">
        <v>1946</v>
      </c>
      <c r="F56" s="1038"/>
      <c r="G56" s="1114">
        <f>G54*G55</f>
        <v>240000</v>
      </c>
    </row>
    <row r="57" spans="2:21" ht="15" customHeight="1"/>
    <row r="58" spans="2:21" ht="15" customHeight="1">
      <c r="B58" s="1058" t="str">
        <f>B11&amp;": "&amp;B13</f>
        <v>C. Population Benefit: (ii) Special Populations Benefit</v>
      </c>
      <c r="C58" s="1059"/>
      <c r="D58" s="1059"/>
      <c r="E58" s="1059"/>
      <c r="F58" s="1059"/>
      <c r="G58" s="1059"/>
      <c r="H58" s="1059"/>
      <c r="I58" s="1060"/>
    </row>
    <row r="59" spans="2:21" ht="15" customHeight="1"/>
    <row r="60" spans="2:21" ht="15" customHeight="1">
      <c r="E60" s="1108" t="s">
        <v>1963</v>
      </c>
      <c r="G60" s="1197">
        <f>T18</f>
        <v>0</v>
      </c>
    </row>
    <row r="61" spans="2:21" ht="15" customHeight="1">
      <c r="E61" s="1108" t="s">
        <v>1964</v>
      </c>
      <c r="G61" s="1105">
        <f>ROUNDDOWN(E29*50%,0)</f>
        <v>59</v>
      </c>
    </row>
    <row r="62" spans="2:21" ht="15" customHeight="1">
      <c r="E62" s="1108"/>
      <c r="G62" s="1116"/>
    </row>
    <row r="63" spans="2:21" ht="15" customHeight="1">
      <c r="E63" s="1108" t="s">
        <v>1924</v>
      </c>
      <c r="G63" s="1105">
        <f>MIN(G60:G61)</f>
        <v>0</v>
      </c>
    </row>
    <row r="64" spans="2:21" ht="15" customHeight="1">
      <c r="E64" s="1108" t="s">
        <v>1914</v>
      </c>
      <c r="F64" s="1104" t="s">
        <v>1962</v>
      </c>
      <c r="G64" s="1115">
        <v>10000</v>
      </c>
    </row>
    <row r="65" spans="5:7" ht="15" customHeight="1">
      <c r="E65" s="1109" t="s">
        <v>1947</v>
      </c>
      <c r="F65" s="1038"/>
      <c r="G65" s="1114">
        <f>G63*G64</f>
        <v>0</v>
      </c>
    </row>
    <row r="66" spans="5:7" ht="15" customHeight="1">
      <c r="E66" s="1109"/>
      <c r="F66" s="1038"/>
      <c r="G66" s="1114"/>
    </row>
    <row r="67" spans="5:7" ht="15" customHeight="1">
      <c r="E67" s="1076" t="s">
        <v>2564</v>
      </c>
      <c r="G67" s="1036" t="b">
        <f>Application!V227="Yes"</f>
        <v>0</v>
      </c>
    </row>
    <row r="68" spans="5:7" ht="15" customHeight="1">
      <c r="E68" s="1076" t="s">
        <v>2565</v>
      </c>
      <c r="G68" s="1197">
        <f>SUMIF(Application!AK726:AK760,"Homeless",Application!G726:G760)</f>
        <v>0</v>
      </c>
    </row>
    <row r="69" spans="5:7" ht="15" customHeight="1">
      <c r="E69" s="1076"/>
    </row>
    <row r="70" spans="5:7" ht="15" customHeight="1">
      <c r="E70" s="1076" t="s">
        <v>2566</v>
      </c>
      <c r="G70" s="1198"/>
    </row>
    <row r="71" spans="5:7" ht="15" customHeight="1">
      <c r="E71" s="1076" t="s">
        <v>2567</v>
      </c>
      <c r="G71" s="1198"/>
    </row>
    <row r="72" spans="5:7" ht="15" customHeight="1">
      <c r="E72" s="1076" t="s">
        <v>2568</v>
      </c>
      <c r="G72" s="1197">
        <f>IF(G71=0,0,(G70/G71)*100000)</f>
        <v>0</v>
      </c>
    </row>
    <row r="73" spans="5:7" ht="15" customHeight="1">
      <c r="E73" s="1076" t="s">
        <v>2569</v>
      </c>
      <c r="G73" s="1198"/>
    </row>
    <row r="74" spans="5:7" ht="15" customHeight="1">
      <c r="E74" s="1076" t="s">
        <v>2570</v>
      </c>
      <c r="G74" s="1198"/>
    </row>
    <row r="75" spans="5:7" ht="15" customHeight="1">
      <c r="E75" s="1076" t="s">
        <v>2571</v>
      </c>
      <c r="G75" s="1197">
        <f>IF(G74=0,0,(G73/G74)*100000)</f>
        <v>0</v>
      </c>
    </row>
    <row r="76" spans="5:7" ht="15" customHeight="1">
      <c r="E76" s="1109"/>
      <c r="F76" s="1038"/>
      <c r="G76" s="1114"/>
    </row>
    <row r="77" spans="5:7" ht="15" customHeight="1">
      <c r="E77" s="1108" t="s">
        <v>1924</v>
      </c>
      <c r="G77" s="1105">
        <f>IF(OR(G75&gt;G72,G71&lt;100000),G75*G68,G72*G68)</f>
        <v>0</v>
      </c>
    </row>
    <row r="78" spans="5:7" ht="15" customHeight="1">
      <c r="E78" s="1108" t="s">
        <v>1914</v>
      </c>
      <c r="F78" s="1104" t="s">
        <v>1962</v>
      </c>
      <c r="G78" s="1115">
        <v>100</v>
      </c>
    </row>
    <row r="79" spans="5:7" ht="15" customHeight="1">
      <c r="E79" s="1109" t="s">
        <v>1947</v>
      </c>
      <c r="F79" s="1038"/>
      <c r="G79" s="1114">
        <f>G77*G78</f>
        <v>0</v>
      </c>
    </row>
    <row r="80" spans="5:7" ht="15" customHeight="1">
      <c r="E80" s="1109"/>
      <c r="F80" s="1038"/>
      <c r="G80" s="1114"/>
    </row>
    <row r="81" spans="2:14" ht="15" customHeight="1">
      <c r="B81" s="1058" t="str">
        <f>B14&amp;": "&amp;B15</f>
        <v>D. Location Benefit: (i) Resource Area Benefit</v>
      </c>
      <c r="C81" s="1059"/>
      <c r="D81" s="1059"/>
      <c r="E81" s="1059"/>
      <c r="F81" s="1059"/>
      <c r="G81" s="1059"/>
      <c r="H81" s="1059"/>
      <c r="I81" s="1060"/>
    </row>
    <row r="82" spans="2:14" ht="15" customHeight="1" thickBot="1"/>
    <row r="83" spans="2:14" ht="15" customHeight="1">
      <c r="C83" s="1069" t="s">
        <v>1950</v>
      </c>
      <c r="G83" s="1035" t="s">
        <v>544</v>
      </c>
      <c r="L83" s="2663" t="s">
        <v>1939</v>
      </c>
      <c r="M83" s="2664"/>
      <c r="N83" s="1122">
        <v>30000</v>
      </c>
    </row>
    <row r="84" spans="2:14" ht="15" customHeight="1">
      <c r="C84" s="1069" t="s">
        <v>1951</v>
      </c>
      <c r="G84" s="1073" t="str">
        <f>IF(Application!D211="Large Family","Yes","No")</f>
        <v>Yes</v>
      </c>
      <c r="L84" s="2667" t="s">
        <v>1907</v>
      </c>
      <c r="M84" s="2668"/>
      <c r="N84" s="1123">
        <v>20000</v>
      </c>
    </row>
    <row r="85" spans="2:14" ht="15" customHeight="1" thickBot="1">
      <c r="C85" s="1069" t="s">
        <v>1937</v>
      </c>
      <c r="G85" s="1035"/>
      <c r="L85" s="2669" t="s">
        <v>1940</v>
      </c>
      <c r="M85" s="2670"/>
      <c r="N85" s="1124">
        <v>10000</v>
      </c>
    </row>
    <row r="86" spans="2:14" ht="15" customHeight="1" thickBot="1">
      <c r="C86" s="1069" t="s">
        <v>1938</v>
      </c>
      <c r="G86" s="1036" t="str">
        <f>Application!T193</f>
        <v>Low Resource</v>
      </c>
    </row>
    <row r="87" spans="2:14" ht="15" customHeight="1">
      <c r="C87" s="2697" t="s">
        <v>2205</v>
      </c>
      <c r="D87" s="2697"/>
      <c r="E87" s="2697"/>
      <c r="F87" s="2697"/>
      <c r="G87" s="1035"/>
      <c r="L87" s="1118" t="str">
        <f>'Points System'!H651</f>
        <v>(i)</v>
      </c>
      <c r="M87" s="2665" t="s">
        <v>1394</v>
      </c>
      <c r="N87" s="2666"/>
    </row>
    <row r="88" spans="2:14" ht="15" customHeight="1">
      <c r="C88" s="2697"/>
      <c r="D88" s="2697"/>
      <c r="E88" s="2697"/>
      <c r="F88" s="2697"/>
      <c r="L88" s="1119" t="str">
        <f>'Points System'!H663</f>
        <v>(ii)</v>
      </c>
      <c r="M88" s="2657" t="s">
        <v>1926</v>
      </c>
      <c r="N88" s="2658"/>
    </row>
    <row r="89" spans="2:14" ht="15" customHeight="1">
      <c r="C89" s="1069"/>
      <c r="L89" s="1119" t="str">
        <f>'Points System'!H698</f>
        <v>(i)</v>
      </c>
      <c r="M89" s="2657" t="s">
        <v>1927</v>
      </c>
      <c r="N89" s="2658"/>
    </row>
    <row r="90" spans="2:14" ht="15" customHeight="1">
      <c r="E90" s="1076" t="s">
        <v>1969</v>
      </c>
      <c r="G90" s="1071" t="b">
        <f>OR(AND(COUNTIFS(G84:G85,"Yes")&gt;=1,G83="Yes"),G87="Yes")</f>
        <v>1</v>
      </c>
      <c r="L90" s="1119" t="str">
        <f>IF(OR('Points System'!H722="(ii)",'Points System'!H722="(i)"),"(i)","N/A")</f>
        <v>(i)</v>
      </c>
      <c r="M90" s="2657" t="s">
        <v>1928</v>
      </c>
      <c r="N90" s="2658"/>
    </row>
    <row r="91" spans="2:14" ht="15" customHeight="1">
      <c r="E91" s="1076"/>
      <c r="G91" s="1071"/>
      <c r="L91" s="1120" t="str">
        <f>'Points System'!H736</f>
        <v>N/A</v>
      </c>
      <c r="M91" s="2657" t="s">
        <v>1420</v>
      </c>
      <c r="N91" s="2658"/>
    </row>
    <row r="92" spans="2:14" ht="15" customHeight="1">
      <c r="E92" s="1076" t="s">
        <v>1914</v>
      </c>
      <c r="G92" s="1070">
        <f>IFERROR(IF($G$87="Yes",30000,INDEX(N83:N85,MATCH(LEFT(G86,17),L83:L85,0))),0)</f>
        <v>0</v>
      </c>
      <c r="L92" s="1119" t="str">
        <f>'Points System'!H748</f>
        <v>N/A</v>
      </c>
      <c r="M92" s="2657" t="s">
        <v>1929</v>
      </c>
      <c r="N92" s="2658"/>
    </row>
    <row r="93" spans="2:14" ht="15" customHeight="1">
      <c r="E93" s="1076" t="str">
        <f>E110</f>
        <v>Bedroom-Adjusted Low-Income Units</v>
      </c>
      <c r="F93" s="1104" t="s">
        <v>1962</v>
      </c>
      <c r="G93" s="1105">
        <f>G29</f>
        <v>141.5</v>
      </c>
      <c r="L93" s="1119" t="str">
        <f>'Points System'!H764</f>
        <v>(i)</v>
      </c>
      <c r="M93" s="2657" t="s">
        <v>1930</v>
      </c>
      <c r="N93" s="2658"/>
    </row>
    <row r="94" spans="2:14" ht="15" customHeight="1" thickBot="1">
      <c r="D94" s="1038"/>
      <c r="E94" s="1109" t="s">
        <v>2208</v>
      </c>
      <c r="F94" s="1038"/>
      <c r="G94" s="1114">
        <f>G93*G92*G90</f>
        <v>0</v>
      </c>
      <c r="L94" s="1121" t="str">
        <f>'Points System'!H776</f>
        <v>(i)</v>
      </c>
      <c r="M94" s="2659" t="s">
        <v>1423</v>
      </c>
      <c r="N94" s="2660"/>
    </row>
    <row r="95" spans="2:14" ht="15" customHeight="1"/>
    <row r="96" spans="2:14" ht="15" customHeight="1">
      <c r="B96" s="1058" t="str">
        <f>B14&amp;": "&amp;B16</f>
        <v>D. Location Benefit: (ii) Community Revitalization Benefit</v>
      </c>
      <c r="C96" s="1059"/>
      <c r="D96" s="1059"/>
      <c r="E96" s="1059"/>
      <c r="F96" s="1059"/>
      <c r="G96" s="1059"/>
      <c r="H96" s="1059"/>
      <c r="I96" s="1060"/>
    </row>
    <row r="97" spans="2:9" ht="15" customHeight="1"/>
    <row r="98" spans="2:9" ht="15" customHeight="1">
      <c r="F98" s="1107" t="s">
        <v>1945</v>
      </c>
      <c r="G98" s="1035" t="s">
        <v>668</v>
      </c>
    </row>
    <row r="99" spans="2:9" ht="15" customHeight="1">
      <c r="F99" s="1107"/>
    </row>
    <row r="100" spans="2:9" ht="15" customHeight="1">
      <c r="E100" s="1076" t="s">
        <v>1969</v>
      </c>
      <c r="G100" s="1071" t="b">
        <f>G98="Yes"</f>
        <v>0</v>
      </c>
    </row>
    <row r="101" spans="2:9" ht="15" customHeight="1"/>
    <row r="102" spans="2:9" ht="15" customHeight="1">
      <c r="E102" s="1076" t="str">
        <f>E110</f>
        <v>Bedroom-Adjusted Low-Income Units</v>
      </c>
      <c r="G102" s="1105">
        <f>G29</f>
        <v>141.5</v>
      </c>
    </row>
    <row r="103" spans="2:9" ht="15" customHeight="1">
      <c r="E103" s="1076" t="s">
        <v>1914</v>
      </c>
      <c r="F103" s="1104" t="s">
        <v>1962</v>
      </c>
      <c r="G103" s="1042">
        <v>20000</v>
      </c>
    </row>
    <row r="104" spans="2:9" ht="15" customHeight="1">
      <c r="E104" s="1109" t="s">
        <v>2209</v>
      </c>
      <c r="F104" s="1038"/>
      <c r="G104" s="1114">
        <f>G100*G103*G102</f>
        <v>0</v>
      </c>
    </row>
    <row r="105" spans="2:9" ht="15" customHeight="1"/>
    <row r="106" spans="2:9" ht="15" customHeight="1">
      <c r="B106" s="1058" t="str">
        <f>B14&amp;": "&amp;B17</f>
        <v>D. Location Benefit: (iii) Transit/Walkability Benefit</v>
      </c>
      <c r="C106" s="1059"/>
      <c r="D106" s="1059"/>
      <c r="E106" s="1059"/>
      <c r="F106" s="1059"/>
      <c r="G106" s="1059"/>
      <c r="H106" s="1059"/>
      <c r="I106" s="1060"/>
    </row>
    <row r="107" spans="2:9" ht="15" customHeight="1"/>
    <row r="108" spans="2:9" ht="15" customHeight="1">
      <c r="E108" s="1076" t="s">
        <v>1925</v>
      </c>
      <c r="G108" s="1105">
        <f>VLOOKUP('Points System'!$H$619,'Points System'!$AO$599:$AP$604,2,FALSE)</f>
        <v>7</v>
      </c>
    </row>
    <row r="109" spans="2:9" ht="15" customHeight="1">
      <c r="E109" s="1076" t="s">
        <v>1914</v>
      </c>
      <c r="F109" s="1104" t="s">
        <v>1962</v>
      </c>
      <c r="G109" s="1068">
        <v>4000</v>
      </c>
    </row>
    <row r="110" spans="2:9" ht="15" customHeight="1">
      <c r="E110" s="1076" t="s">
        <v>1966</v>
      </c>
      <c r="F110" s="1104" t="s">
        <v>1962</v>
      </c>
      <c r="G110" s="1117">
        <f>G29</f>
        <v>141.5</v>
      </c>
    </row>
    <row r="111" spans="2:9" ht="15" customHeight="1">
      <c r="E111" s="1109" t="s">
        <v>1931</v>
      </c>
      <c r="F111" s="1038"/>
      <c r="G111" s="1114">
        <f>G108*G109*G110</f>
        <v>3962000</v>
      </c>
    </row>
    <row r="112" spans="2:9" ht="15" customHeight="1">
      <c r="C112" s="1069"/>
      <c r="G112" s="1105"/>
    </row>
    <row r="113" spans="2:7" ht="15" customHeight="1">
      <c r="E113" s="1076" t="s">
        <v>1967</v>
      </c>
      <c r="G113" s="1105">
        <f>COUNTIFS(L87:L94,"(i)")</f>
        <v>5</v>
      </c>
    </row>
    <row r="114" spans="2:7" ht="15" customHeight="1">
      <c r="E114" s="1076" t="s">
        <v>1914</v>
      </c>
      <c r="F114" s="1104" t="s">
        <v>1962</v>
      </c>
      <c r="G114" s="1115">
        <v>4000</v>
      </c>
    </row>
    <row r="115" spans="2:7" ht="15" customHeight="1">
      <c r="E115" s="1109" t="s">
        <v>1932</v>
      </c>
      <c r="F115" s="1038"/>
      <c r="G115" s="1114">
        <f>G110*G113*G114</f>
        <v>2830000</v>
      </c>
    </row>
    <row r="116" spans="2:7" ht="15" customHeight="1"/>
    <row r="117" spans="2:7" ht="15" customHeight="1">
      <c r="C117" s="1072" t="s">
        <v>1934</v>
      </c>
    </row>
    <row r="118" spans="2:7" ht="15" customHeight="1">
      <c r="C118" s="1069" t="s">
        <v>1935</v>
      </c>
      <c r="G118" s="1035"/>
    </row>
    <row r="119" spans="2:7" ht="15" customHeight="1">
      <c r="C119" s="1069" t="s">
        <v>1936</v>
      </c>
      <c r="G119" s="1035"/>
    </row>
    <row r="120" spans="2:7" ht="15" customHeight="1">
      <c r="C120" s="1069" t="s">
        <v>2091</v>
      </c>
      <c r="G120" s="1035"/>
    </row>
    <row r="121" spans="2:7">
      <c r="C121" s="1069" t="s">
        <v>2092</v>
      </c>
      <c r="G121" s="1035" t="s">
        <v>544</v>
      </c>
    </row>
    <row r="123" spans="2:7">
      <c r="B123" s="1070"/>
      <c r="C123" s="1069"/>
      <c r="E123" s="1076" t="s">
        <v>1969</v>
      </c>
      <c r="G123" s="1071" t="b">
        <f>COUNTIFS(G118:G121,"Yes")&gt;=1</f>
        <v>1</v>
      </c>
    </row>
    <row r="124" spans="2:7">
      <c r="E124" s="1069"/>
    </row>
    <row r="125" spans="2:7" ht="15">
      <c r="E125" s="1076" t="s">
        <v>1966</v>
      </c>
      <c r="F125" s="1104" t="s">
        <v>1962</v>
      </c>
      <c r="G125" s="1105">
        <f>G29</f>
        <v>141.5</v>
      </c>
    </row>
    <row r="126" spans="2:7" ht="15">
      <c r="E126" s="1076" t="s">
        <v>1914</v>
      </c>
      <c r="F126" s="1104" t="s">
        <v>1962</v>
      </c>
      <c r="G126" s="1115">
        <v>25000</v>
      </c>
    </row>
    <row r="127" spans="2:7" ht="15">
      <c r="E127" s="1109" t="s">
        <v>1933</v>
      </c>
      <c r="F127" s="1038"/>
      <c r="G127" s="1114">
        <f>G123*G126*G110</f>
        <v>3537500</v>
      </c>
    </row>
    <row r="128" spans="2:7">
      <c r="C128" s="1069"/>
      <c r="E128" s="1069"/>
    </row>
    <row r="129" spans="2:9" ht="15">
      <c r="E129" s="1109" t="s">
        <v>2210</v>
      </c>
      <c r="G129" s="1114">
        <f>G127+G115+G111</f>
        <v>10329500</v>
      </c>
    </row>
    <row r="131" spans="2:9" ht="15">
      <c r="B131" s="1058" t="s">
        <v>139</v>
      </c>
      <c r="C131" s="1059"/>
      <c r="D131" s="1059"/>
      <c r="E131" s="1059"/>
      <c r="F131" s="1059"/>
      <c r="G131" s="1059"/>
      <c r="H131" s="1059"/>
      <c r="I131" s="1060"/>
    </row>
    <row r="133" spans="2:9">
      <c r="C133" s="2693" t="s">
        <v>2177</v>
      </c>
      <c r="D133" s="2693"/>
      <c r="E133" s="2693"/>
      <c r="F133" s="2693"/>
    </row>
    <row r="134" spans="2:9">
      <c r="C134" s="2693"/>
      <c r="D134" s="2693"/>
      <c r="E134" s="2693"/>
      <c r="F134" s="2693"/>
      <c r="G134" s="1035"/>
    </row>
    <row r="135" spans="2:9" ht="14.25" customHeight="1"/>
    <row r="136" spans="2:9">
      <c r="C136" s="1036" t="s">
        <v>2179</v>
      </c>
      <c r="G136" s="2695"/>
      <c r="H136" s="2695"/>
    </row>
    <row r="137" spans="2:9">
      <c r="G137" s="2695"/>
      <c r="H137" s="2695"/>
    </row>
    <row r="138" spans="2:9">
      <c r="G138" s="2696"/>
      <c r="H138" s="2696"/>
    </row>
    <row r="140" spans="2:9">
      <c r="C140" s="2693" t="s">
        <v>2579</v>
      </c>
      <c r="D140" s="2693"/>
      <c r="E140" s="2693"/>
      <c r="F140" s="2693"/>
    </row>
    <row r="141" spans="2:9">
      <c r="C141" s="2693"/>
      <c r="D141" s="2693"/>
      <c r="E141" s="2693"/>
      <c r="F141" s="2693"/>
      <c r="G141" s="1035"/>
    </row>
    <row r="142" spans="2:9">
      <c r="C142" s="2693"/>
      <c r="D142" s="2693"/>
      <c r="E142" s="2693"/>
      <c r="F142" s="2693"/>
    </row>
    <row r="144" spans="2:9">
      <c r="C144" s="2693" t="s">
        <v>2578</v>
      </c>
      <c r="D144" s="2693"/>
      <c r="E144" s="2693"/>
      <c r="F144" s="2693"/>
    </row>
    <row r="145" spans="2:9">
      <c r="C145" s="2693"/>
      <c r="D145" s="2693"/>
      <c r="E145" s="2693"/>
      <c r="F145" s="2693"/>
      <c r="G145" s="1035"/>
    </row>
    <row r="146" spans="2:9">
      <c r="C146" s="2693"/>
      <c r="D146" s="2693"/>
      <c r="E146" s="2693"/>
      <c r="F146" s="2693"/>
    </row>
    <row r="147" spans="2:9">
      <c r="C147" s="2693"/>
      <c r="D147" s="2693"/>
      <c r="E147" s="2693"/>
      <c r="F147" s="2693"/>
    </row>
    <row r="149" spans="2:9" ht="15">
      <c r="B149" s="1058" t="s">
        <v>1971</v>
      </c>
      <c r="C149" s="1059"/>
      <c r="D149" s="1059"/>
      <c r="E149" s="1059"/>
      <c r="F149" s="1059"/>
      <c r="G149" s="1059"/>
      <c r="H149" s="1059"/>
      <c r="I149" s="1060"/>
    </row>
    <row r="151" spans="2:9">
      <c r="E151" s="1076" t="s">
        <v>581</v>
      </c>
      <c r="G151" s="1036" t="str">
        <f>IF(Application!T189="","",Application!T189)</f>
        <v>Sacramento</v>
      </c>
    </row>
    <row r="152" spans="2:9">
      <c r="E152" s="1076"/>
      <c r="G152" s="1070"/>
    </row>
    <row r="153" spans="2:9">
      <c r="E153" s="1076" t="str">
        <f>"2-Bedroom "&amp;G151&amp;" County Basis Limit"</f>
        <v>2-Bedroom Sacramento County Basis Limit</v>
      </c>
      <c r="G153" s="1070">
        <f>Application!R997</f>
        <v>500800</v>
      </c>
    </row>
    <row r="154" spans="2:9">
      <c r="E154" s="1076" t="s">
        <v>1970</v>
      </c>
      <c r="G154" s="1070">
        <f>MEDIAN((Application!CU160:CU217))</f>
        <v>560000</v>
      </c>
    </row>
    <row r="155" spans="2:9" ht="15">
      <c r="D155" s="1038"/>
      <c r="E155" s="1109" t="s">
        <v>1972</v>
      </c>
      <c r="F155" s="1125"/>
      <c r="G155" s="1126">
        <f>((G153-G154)/G154)*0.25</f>
        <v>-2.642857142857143E-2</v>
      </c>
      <c r="H155" s="1034"/>
      <c r="I155" s="1034"/>
    </row>
    <row r="156" spans="2:9">
      <c r="D156" s="1037"/>
      <c r="E156" s="1037"/>
    </row>
    <row r="157" spans="2:9" ht="15">
      <c r="B157" s="1058" t="s">
        <v>2211</v>
      </c>
      <c r="C157" s="1059"/>
      <c r="D157" s="1059"/>
      <c r="E157" s="1059"/>
      <c r="F157" s="1059"/>
      <c r="G157" s="1059"/>
      <c r="H157" s="1059"/>
      <c r="I157" s="1060"/>
    </row>
    <row r="159" spans="2:9">
      <c r="E159" s="1076" t="s">
        <v>2559</v>
      </c>
      <c r="G159" s="1036" t="b">
        <f>G37</f>
        <v>0</v>
      </c>
    </row>
    <row r="160" spans="2:9">
      <c r="C160" s="2690" t="s">
        <v>2212</v>
      </c>
      <c r="D160" s="2690"/>
      <c r="E160" s="2690"/>
      <c r="F160" s="2690"/>
    </row>
    <row r="161" spans="2:7">
      <c r="B161" s="1037"/>
      <c r="C161" s="2690"/>
      <c r="D161" s="2690"/>
      <c r="E161" s="2690"/>
      <c r="F161" s="2690"/>
      <c r="G161" s="1035"/>
    </row>
    <row r="162" spans="2:7">
      <c r="B162" s="1037"/>
      <c r="C162" s="1037"/>
      <c r="D162" s="1037"/>
      <c r="E162" s="1037"/>
      <c r="F162" s="1037"/>
    </row>
    <row r="163" spans="2:7">
      <c r="E163" s="1076" t="s">
        <v>2214</v>
      </c>
      <c r="G163" s="1157"/>
    </row>
    <row r="165" spans="2:7">
      <c r="E165" s="1076" t="s">
        <v>2216</v>
      </c>
      <c r="G165" s="1156">
        <f>IF(I9=0,0,G163/I9)</f>
        <v>0</v>
      </c>
    </row>
    <row r="166" spans="2:7">
      <c r="E166" s="1076" t="s">
        <v>2213</v>
      </c>
      <c r="G166" s="1154">
        <f>I9*0.15</f>
        <v>2268009.2324999999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30"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5703125" style="302" customWidth="1"/>
    <col min="3" max="3" width="11" style="302" customWidth="1"/>
    <col min="4" max="4" width="15.5703125" style="302" customWidth="1"/>
    <col min="5" max="5" width="3.5703125" style="302" customWidth="1"/>
    <col min="6" max="7" width="15.5703125" style="302" customWidth="1"/>
    <col min="8" max="8" width="3.5703125" style="302" customWidth="1"/>
    <col min="9" max="10" width="15.5703125" style="302" customWidth="1"/>
    <col min="11" max="11" width="3.42578125" style="302" customWidth="1"/>
    <col min="12" max="17" width="15.5703125" style="302" customWidth="1"/>
    <col min="18" max="16384" width="9.140625" style="302"/>
  </cols>
  <sheetData>
    <row r="1" spans="1:12">
      <c r="A1" s="2698" t="s">
        <v>906</v>
      </c>
      <c r="B1" s="2698"/>
      <c r="C1" s="2698"/>
      <c r="D1" s="2698"/>
      <c r="E1" s="2698"/>
      <c r="F1" s="2698"/>
      <c r="G1" s="2698"/>
      <c r="H1" s="2698"/>
      <c r="I1" s="2698"/>
      <c r="J1" s="2698"/>
      <c r="K1" s="204"/>
      <c r="L1" s="204"/>
    </row>
    <row r="2" spans="1:12">
      <c r="A2" s="210"/>
      <c r="B2" s="210"/>
      <c r="C2" s="210"/>
      <c r="D2" s="210"/>
      <c r="E2" s="210"/>
      <c r="F2" s="210"/>
      <c r="G2" s="210"/>
      <c r="H2" s="210"/>
      <c r="I2" s="210"/>
      <c r="J2" s="210"/>
    </row>
    <row r="3" spans="1:12" ht="100.5">
      <c r="A3" s="424" t="s">
        <v>907</v>
      </c>
      <c r="B3" s="424" t="s">
        <v>2198</v>
      </c>
      <c r="C3" s="424" t="s">
        <v>2199</v>
      </c>
      <c r="D3" s="1135" t="s">
        <v>2200</v>
      </c>
      <c r="E3" s="204"/>
      <c r="F3" s="1135" t="s">
        <v>908</v>
      </c>
      <c r="G3" s="424" t="s">
        <v>909</v>
      </c>
      <c r="H3" s="425"/>
      <c r="I3" s="424" t="s">
        <v>910</v>
      </c>
      <c r="J3" s="424" t="s">
        <v>911</v>
      </c>
      <c r="K3" s="204"/>
      <c r="L3" s="303"/>
    </row>
    <row r="4" spans="1:12">
      <c r="A4" s="426" t="str">
        <f>Application!B726</f>
        <v>1 Bedroom</v>
      </c>
      <c r="B4" s="1074">
        <f>Application!G726</f>
        <v>6</v>
      </c>
      <c r="C4" s="1150"/>
      <c r="D4" s="426">
        <f>Application!O726</f>
        <v>691</v>
      </c>
      <c r="E4" s="427"/>
      <c r="F4" s="1075"/>
      <c r="G4" s="426">
        <f>F4*B4</f>
        <v>0</v>
      </c>
      <c r="H4" s="427"/>
      <c r="I4" s="426" t="str">
        <f t="shared" ref="I4:I27" si="0">IF(F4=0,"",(F4-D4))</f>
        <v/>
      </c>
      <c r="J4" s="426" t="str">
        <f t="shared" ref="J4:J27" si="1">IF(F4=0,"",(I4*B4))</f>
        <v/>
      </c>
      <c r="K4" s="204"/>
      <c r="L4" s="303"/>
    </row>
    <row r="5" spans="1:12">
      <c r="A5" s="426" t="str">
        <f>Application!B727</f>
        <v>1 Bedroom</v>
      </c>
      <c r="B5" s="1074">
        <f>Application!G727</f>
        <v>11</v>
      </c>
      <c r="C5" s="1150"/>
      <c r="D5" s="426">
        <f>Application!O727</f>
        <v>1174</v>
      </c>
      <c r="E5" s="427"/>
      <c r="F5" s="1075"/>
      <c r="G5" s="426">
        <f t="shared" ref="G5:G38" si="2">F5*B5</f>
        <v>0</v>
      </c>
      <c r="H5" s="427"/>
      <c r="I5" s="426" t="str">
        <f t="shared" si="0"/>
        <v/>
      </c>
      <c r="J5" s="426" t="str">
        <f t="shared" si="1"/>
        <v/>
      </c>
      <c r="K5" s="204"/>
      <c r="L5" s="303"/>
    </row>
    <row r="6" spans="1:12">
      <c r="A6" s="426" t="str">
        <f>Application!B728</f>
        <v>1 Bedroom</v>
      </c>
      <c r="B6" s="1074">
        <f>Application!G728</f>
        <v>29</v>
      </c>
      <c r="C6" s="1150"/>
      <c r="D6" s="426">
        <f>Application!O728</f>
        <v>1415</v>
      </c>
      <c r="E6" s="427"/>
      <c r="F6" s="1075"/>
      <c r="G6" s="426">
        <f t="shared" si="2"/>
        <v>0</v>
      </c>
      <c r="H6" s="427"/>
      <c r="I6" s="426" t="str">
        <f t="shared" si="0"/>
        <v/>
      </c>
      <c r="J6" s="426" t="str">
        <f t="shared" si="1"/>
        <v/>
      </c>
      <c r="K6" s="204"/>
      <c r="L6" s="303"/>
    </row>
    <row r="7" spans="1:12">
      <c r="A7" s="426" t="str">
        <f>Application!B729</f>
        <v>1 Bedroom</v>
      </c>
      <c r="B7" s="1074">
        <f>Application!G729</f>
        <v>10</v>
      </c>
      <c r="C7" s="1150"/>
      <c r="D7" s="426">
        <f>Application!O729</f>
        <v>1656</v>
      </c>
      <c r="E7" s="427"/>
      <c r="F7" s="1075"/>
      <c r="G7" s="426">
        <f t="shared" si="2"/>
        <v>0</v>
      </c>
      <c r="H7" s="427"/>
      <c r="I7" s="426" t="str">
        <f t="shared" si="0"/>
        <v/>
      </c>
      <c r="J7" s="426" t="str">
        <f t="shared" si="1"/>
        <v/>
      </c>
      <c r="K7" s="204"/>
      <c r="L7" s="303"/>
    </row>
    <row r="8" spans="1:12">
      <c r="A8" s="426" t="str">
        <f>Application!B730</f>
        <v>2 Bedrooms</v>
      </c>
      <c r="B8" s="1074">
        <f>Application!G730</f>
        <v>3</v>
      </c>
      <c r="C8" s="1150"/>
      <c r="D8" s="426">
        <f>Application!O730</f>
        <v>834</v>
      </c>
      <c r="E8" s="427"/>
      <c r="F8" s="1075"/>
      <c r="G8" s="426">
        <f t="shared" si="2"/>
        <v>0</v>
      </c>
      <c r="H8" s="427"/>
      <c r="I8" s="426" t="str">
        <f t="shared" si="0"/>
        <v/>
      </c>
      <c r="J8" s="426" t="str">
        <f t="shared" si="1"/>
        <v/>
      </c>
      <c r="K8" s="204"/>
      <c r="L8" s="303"/>
    </row>
    <row r="9" spans="1:12">
      <c r="A9" s="426" t="str">
        <f>Application!B731</f>
        <v>2 Bedrooms</v>
      </c>
      <c r="B9" s="1074">
        <f>Application!G731</f>
        <v>6</v>
      </c>
      <c r="C9" s="1150"/>
      <c r="D9" s="426">
        <f>Application!O731</f>
        <v>1413</v>
      </c>
      <c r="E9" s="427"/>
      <c r="F9" s="1075"/>
      <c r="G9" s="426">
        <f t="shared" si="2"/>
        <v>0</v>
      </c>
      <c r="H9" s="427"/>
      <c r="I9" s="426" t="str">
        <f t="shared" si="0"/>
        <v/>
      </c>
      <c r="J9" s="426" t="str">
        <f t="shared" si="1"/>
        <v/>
      </c>
      <c r="K9" s="204"/>
      <c r="L9" s="303"/>
    </row>
    <row r="10" spans="1:12">
      <c r="A10" s="426" t="str">
        <f>Application!B732</f>
        <v>2 Bedrooms</v>
      </c>
      <c r="B10" s="1074">
        <f>Application!G732</f>
        <v>15</v>
      </c>
      <c r="C10" s="1150"/>
      <c r="D10" s="426">
        <f>Application!O732</f>
        <v>1703</v>
      </c>
      <c r="E10" s="427"/>
      <c r="F10" s="1075"/>
      <c r="G10" s="426">
        <f t="shared" si="2"/>
        <v>0</v>
      </c>
      <c r="H10" s="427"/>
      <c r="I10" s="426" t="str">
        <f t="shared" si="0"/>
        <v/>
      </c>
      <c r="J10" s="426" t="str">
        <f t="shared" si="1"/>
        <v/>
      </c>
      <c r="K10" s="204"/>
      <c r="L10" s="303"/>
    </row>
    <row r="11" spans="1:12">
      <c r="A11" s="426" t="str">
        <f>Application!B733</f>
        <v>2 Bedrooms</v>
      </c>
      <c r="B11" s="1074">
        <f>Application!G733</f>
        <v>6</v>
      </c>
      <c r="C11" s="1150"/>
      <c r="D11" s="426">
        <f>Application!O733</f>
        <v>1992</v>
      </c>
      <c r="E11" s="427"/>
      <c r="F11" s="1075"/>
      <c r="G11" s="426">
        <f t="shared" si="2"/>
        <v>0</v>
      </c>
      <c r="H11" s="427"/>
      <c r="I11" s="426" t="str">
        <f t="shared" si="0"/>
        <v/>
      </c>
      <c r="J11" s="426" t="str">
        <f t="shared" si="1"/>
        <v/>
      </c>
      <c r="K11" s="204"/>
      <c r="L11" s="303"/>
    </row>
    <row r="12" spans="1:12">
      <c r="A12" s="426" t="str">
        <f>Application!B734</f>
        <v>3 Bedrooms</v>
      </c>
      <c r="B12" s="1074">
        <f>Application!G734</f>
        <v>3</v>
      </c>
      <c r="C12" s="1150"/>
      <c r="D12" s="426">
        <f>Application!O734</f>
        <v>968</v>
      </c>
      <c r="E12" s="427"/>
      <c r="F12" s="1075"/>
      <c r="G12" s="426">
        <f t="shared" si="2"/>
        <v>0</v>
      </c>
      <c r="H12" s="427"/>
      <c r="I12" s="426" t="str">
        <f t="shared" si="0"/>
        <v/>
      </c>
      <c r="J12" s="426" t="str">
        <f t="shared" si="1"/>
        <v/>
      </c>
      <c r="K12" s="204"/>
      <c r="L12" s="303"/>
    </row>
    <row r="13" spans="1:12">
      <c r="A13" s="426" t="str">
        <f>Application!B735</f>
        <v>3 Bedrooms</v>
      </c>
      <c r="B13" s="1074">
        <f>Application!G735</f>
        <v>7</v>
      </c>
      <c r="C13" s="1150"/>
      <c r="D13" s="426">
        <f>Application!O735</f>
        <v>1635.51</v>
      </c>
      <c r="E13" s="427"/>
      <c r="F13" s="1075"/>
      <c r="G13" s="426">
        <f t="shared" si="2"/>
        <v>0</v>
      </c>
      <c r="H13" s="427"/>
      <c r="I13" s="426" t="str">
        <f t="shared" si="0"/>
        <v/>
      </c>
      <c r="J13" s="426" t="str">
        <f t="shared" si="1"/>
        <v/>
      </c>
      <c r="K13" s="204"/>
      <c r="L13" s="303"/>
    </row>
    <row r="14" spans="1:12">
      <c r="A14" s="426" t="str">
        <f>Application!B736</f>
        <v>3 Bedrooms</v>
      </c>
      <c r="B14" s="1074">
        <f>Application!G736</f>
        <v>16</v>
      </c>
      <c r="C14" s="1150"/>
      <c r="D14" s="426">
        <f>Application!O736</f>
        <v>1970.51</v>
      </c>
      <c r="E14" s="427"/>
      <c r="F14" s="1075"/>
      <c r="G14" s="426">
        <f t="shared" si="2"/>
        <v>0</v>
      </c>
      <c r="H14" s="427"/>
      <c r="I14" s="426" t="str">
        <f t="shared" si="0"/>
        <v/>
      </c>
      <c r="J14" s="426" t="str">
        <f t="shared" si="1"/>
        <v/>
      </c>
      <c r="K14" s="204"/>
      <c r="L14" s="303"/>
    </row>
    <row r="15" spans="1:12">
      <c r="A15" s="426" t="str">
        <f>Application!B737</f>
        <v>3 Bedrooms</v>
      </c>
      <c r="B15" s="1074">
        <f>Application!G737</f>
        <v>6</v>
      </c>
      <c r="C15" s="1150"/>
      <c r="D15" s="426">
        <f>Application!O737</f>
        <v>2304.5100000000002</v>
      </c>
      <c r="E15" s="427"/>
      <c r="F15" s="1075"/>
      <c r="G15" s="426">
        <f t="shared" si="2"/>
        <v>0</v>
      </c>
      <c r="H15" s="427"/>
      <c r="I15" s="426" t="str">
        <f t="shared" si="0"/>
        <v/>
      </c>
      <c r="J15" s="426" t="str">
        <f t="shared" si="1"/>
        <v/>
      </c>
      <c r="K15" s="204"/>
      <c r="L15" s="303"/>
    </row>
    <row r="16" spans="1:12">
      <c r="A16" s="426">
        <f>Application!B738</f>
        <v>0</v>
      </c>
      <c r="B16" s="1074">
        <f>Application!G738</f>
        <v>0</v>
      </c>
      <c r="C16" s="1150"/>
      <c r="D16" s="426">
        <f>Application!O738</f>
        <v>0</v>
      </c>
      <c r="E16" s="427"/>
      <c r="F16" s="1075"/>
      <c r="G16" s="426">
        <f t="shared" si="2"/>
        <v>0</v>
      </c>
      <c r="H16" s="427"/>
      <c r="I16" s="426" t="str">
        <f t="shared" si="0"/>
        <v/>
      </c>
      <c r="J16" s="426" t="str">
        <f t="shared" si="1"/>
        <v/>
      </c>
      <c r="K16" s="204"/>
      <c r="L16" s="303"/>
    </row>
    <row r="17" spans="1:12">
      <c r="A17" s="426">
        <f>Application!B739</f>
        <v>0</v>
      </c>
      <c r="B17" s="1074">
        <f>Application!G739</f>
        <v>0</v>
      </c>
      <c r="C17" s="1150"/>
      <c r="D17" s="426">
        <f>Application!O739</f>
        <v>0</v>
      </c>
      <c r="E17" s="427"/>
      <c r="F17" s="1075"/>
      <c r="G17" s="426">
        <f t="shared" si="2"/>
        <v>0</v>
      </c>
      <c r="H17" s="427"/>
      <c r="I17" s="426" t="str">
        <f t="shared" si="0"/>
        <v/>
      </c>
      <c r="J17" s="426" t="str">
        <f t="shared" si="1"/>
        <v/>
      </c>
      <c r="K17" s="204"/>
      <c r="L17" s="303"/>
    </row>
    <row r="18" spans="1:12">
      <c r="A18" s="426">
        <f>Application!B740</f>
        <v>0</v>
      </c>
      <c r="B18" s="1074">
        <f>Application!G740</f>
        <v>0</v>
      </c>
      <c r="C18" s="1150"/>
      <c r="D18" s="426">
        <f>Application!O740</f>
        <v>0</v>
      </c>
      <c r="E18" s="427"/>
      <c r="F18" s="1075"/>
      <c r="G18" s="426">
        <f t="shared" si="2"/>
        <v>0</v>
      </c>
      <c r="H18" s="427"/>
      <c r="I18" s="426" t="str">
        <f t="shared" si="0"/>
        <v/>
      </c>
      <c r="J18" s="426" t="str">
        <f t="shared" si="1"/>
        <v/>
      </c>
      <c r="K18" s="204"/>
      <c r="L18" s="303"/>
    </row>
    <row r="19" spans="1:12">
      <c r="A19" s="426">
        <f>Application!B741</f>
        <v>0</v>
      </c>
      <c r="B19" s="1074">
        <f>Application!G741</f>
        <v>0</v>
      </c>
      <c r="C19" s="1150"/>
      <c r="D19" s="426">
        <f>Application!O741</f>
        <v>0</v>
      </c>
      <c r="E19" s="427"/>
      <c r="F19" s="1075"/>
      <c r="G19" s="426">
        <f t="shared" si="2"/>
        <v>0</v>
      </c>
      <c r="H19" s="427"/>
      <c r="I19" s="426" t="str">
        <f t="shared" si="0"/>
        <v/>
      </c>
      <c r="J19" s="426" t="str">
        <f t="shared" si="1"/>
        <v/>
      </c>
      <c r="K19" s="204"/>
      <c r="L19" s="303"/>
    </row>
    <row r="20" spans="1:12">
      <c r="A20" s="426">
        <f>Application!B742</f>
        <v>0</v>
      </c>
      <c r="B20" s="1074">
        <f>Application!G742</f>
        <v>0</v>
      </c>
      <c r="C20" s="1150"/>
      <c r="D20" s="426">
        <f>Application!O742</f>
        <v>0</v>
      </c>
      <c r="E20" s="427"/>
      <c r="F20" s="1075"/>
      <c r="G20" s="426">
        <f t="shared" si="2"/>
        <v>0</v>
      </c>
      <c r="H20" s="427"/>
      <c r="I20" s="426" t="str">
        <f t="shared" si="0"/>
        <v/>
      </c>
      <c r="J20" s="426" t="str">
        <f t="shared" si="1"/>
        <v/>
      </c>
      <c r="K20" s="204"/>
      <c r="L20" s="303"/>
    </row>
    <row r="21" spans="1:12">
      <c r="A21" s="426">
        <f>Application!B743</f>
        <v>0</v>
      </c>
      <c r="B21" s="1074">
        <f>Application!G743</f>
        <v>0</v>
      </c>
      <c r="C21" s="1150"/>
      <c r="D21" s="426">
        <f>Application!O743</f>
        <v>0</v>
      </c>
      <c r="E21" s="427"/>
      <c r="F21" s="1075"/>
      <c r="G21" s="426">
        <f t="shared" si="2"/>
        <v>0</v>
      </c>
      <c r="H21" s="427"/>
      <c r="I21" s="426" t="str">
        <f t="shared" si="0"/>
        <v/>
      </c>
      <c r="J21" s="426" t="str">
        <f t="shared" si="1"/>
        <v/>
      </c>
      <c r="K21" s="204"/>
      <c r="L21" s="303"/>
    </row>
    <row r="22" spans="1:12">
      <c r="A22" s="426">
        <f>Application!B744</f>
        <v>0</v>
      </c>
      <c r="B22" s="1074">
        <f>Application!G744</f>
        <v>0</v>
      </c>
      <c r="C22" s="1150"/>
      <c r="D22" s="426">
        <f>Application!O744</f>
        <v>0</v>
      </c>
      <c r="E22" s="427"/>
      <c r="F22" s="1075"/>
      <c r="G22" s="426">
        <f t="shared" si="2"/>
        <v>0</v>
      </c>
      <c r="H22" s="427"/>
      <c r="I22" s="426" t="str">
        <f t="shared" si="0"/>
        <v/>
      </c>
      <c r="J22" s="426" t="str">
        <f t="shared" si="1"/>
        <v/>
      </c>
      <c r="K22" s="204"/>
      <c r="L22" s="303"/>
    </row>
    <row r="23" spans="1:12">
      <c r="A23" s="426">
        <f>Application!B745</f>
        <v>0</v>
      </c>
      <c r="B23" s="1074">
        <f>Application!G745</f>
        <v>0</v>
      </c>
      <c r="C23" s="1150"/>
      <c r="D23" s="426">
        <f>Application!O745</f>
        <v>0</v>
      </c>
      <c r="E23" s="427"/>
      <c r="F23" s="1075"/>
      <c r="G23" s="426">
        <f t="shared" si="2"/>
        <v>0</v>
      </c>
      <c r="H23" s="427"/>
      <c r="I23" s="426" t="str">
        <f t="shared" si="0"/>
        <v/>
      </c>
      <c r="J23" s="426" t="str">
        <f t="shared" si="1"/>
        <v/>
      </c>
      <c r="K23" s="204"/>
      <c r="L23" s="303"/>
    </row>
    <row r="24" spans="1:12">
      <c r="A24" s="426">
        <f>Application!B746</f>
        <v>0</v>
      </c>
      <c r="B24" s="1074">
        <f>Application!G746</f>
        <v>0</v>
      </c>
      <c r="C24" s="1150"/>
      <c r="D24" s="426">
        <f>Application!O746</f>
        <v>0</v>
      </c>
      <c r="E24" s="427"/>
      <c r="F24" s="1075"/>
      <c r="G24" s="426">
        <f t="shared" si="2"/>
        <v>0</v>
      </c>
      <c r="H24" s="427"/>
      <c r="I24" s="426" t="str">
        <f t="shared" si="0"/>
        <v/>
      </c>
      <c r="J24" s="426" t="str">
        <f t="shared" si="1"/>
        <v/>
      </c>
      <c r="K24" s="204"/>
      <c r="L24" s="303"/>
    </row>
    <row r="25" spans="1:12">
      <c r="A25" s="426">
        <f>Application!B747</f>
        <v>0</v>
      </c>
      <c r="B25" s="1074">
        <f>Application!G747</f>
        <v>0</v>
      </c>
      <c r="C25" s="1150"/>
      <c r="D25" s="426">
        <f>Application!O747</f>
        <v>0</v>
      </c>
      <c r="E25" s="427"/>
      <c r="F25" s="1075"/>
      <c r="G25" s="426">
        <f t="shared" si="2"/>
        <v>0</v>
      </c>
      <c r="H25" s="427"/>
      <c r="I25" s="426" t="str">
        <f t="shared" si="0"/>
        <v/>
      </c>
      <c r="J25" s="426" t="str">
        <f t="shared" si="1"/>
        <v/>
      </c>
      <c r="K25" s="204"/>
      <c r="L25" s="303"/>
    </row>
    <row r="26" spans="1:12">
      <c r="A26" s="426">
        <f>Application!B748</f>
        <v>0</v>
      </c>
      <c r="B26" s="1074">
        <f>Application!G748</f>
        <v>0</v>
      </c>
      <c r="C26" s="1150"/>
      <c r="D26" s="426">
        <f>Application!O748</f>
        <v>0</v>
      </c>
      <c r="E26" s="427"/>
      <c r="F26" s="1075"/>
      <c r="G26" s="426">
        <f t="shared" si="2"/>
        <v>0</v>
      </c>
      <c r="H26" s="427"/>
      <c r="I26" s="426" t="str">
        <f t="shared" si="0"/>
        <v/>
      </c>
      <c r="J26" s="426" t="str">
        <f t="shared" si="1"/>
        <v/>
      </c>
      <c r="K26" s="204"/>
      <c r="L26" s="303"/>
    </row>
    <row r="27" spans="1:12">
      <c r="A27" s="426">
        <f>Application!B749</f>
        <v>0</v>
      </c>
      <c r="B27" s="1074">
        <f>Application!G749</f>
        <v>0</v>
      </c>
      <c r="C27" s="1150"/>
      <c r="D27" s="426">
        <f>Application!O749</f>
        <v>0</v>
      </c>
      <c r="E27" s="427"/>
      <c r="F27" s="1075"/>
      <c r="G27" s="426">
        <f t="shared" si="2"/>
        <v>0</v>
      </c>
      <c r="H27" s="427"/>
      <c r="I27" s="426" t="str">
        <f t="shared" si="0"/>
        <v/>
      </c>
      <c r="J27" s="426" t="str">
        <f t="shared" si="1"/>
        <v/>
      </c>
      <c r="K27" s="204"/>
      <c r="L27" s="303"/>
    </row>
    <row r="28" spans="1:12">
      <c r="A28" s="426">
        <f>Application!B750</f>
        <v>0</v>
      </c>
      <c r="B28" s="1074">
        <f>Application!G750</f>
        <v>0</v>
      </c>
      <c r="C28" s="1150"/>
      <c r="D28" s="426">
        <f>Application!O750</f>
        <v>0</v>
      </c>
      <c r="E28" s="427"/>
      <c r="F28" s="1075"/>
      <c r="G28" s="426">
        <f t="shared" si="2"/>
        <v>0</v>
      </c>
      <c r="H28" s="427"/>
      <c r="I28" s="426" t="str">
        <f t="shared" ref="I28:I37" si="3">IF(F28=0,"",(F28-D28))</f>
        <v/>
      </c>
      <c r="J28" s="426" t="str">
        <f t="shared" ref="J28:J37" si="4">IF(F28=0,"",(I28*B28))</f>
        <v/>
      </c>
      <c r="K28" s="204"/>
      <c r="L28" s="303"/>
    </row>
    <row r="29" spans="1:12">
      <c r="A29" s="426">
        <f>Application!B751</f>
        <v>0</v>
      </c>
      <c r="B29" s="1074">
        <f>Application!G751</f>
        <v>0</v>
      </c>
      <c r="C29" s="1150"/>
      <c r="D29" s="426">
        <f>Application!O751</f>
        <v>0</v>
      </c>
      <c r="E29" s="427"/>
      <c r="F29" s="1075"/>
      <c r="G29" s="426">
        <f t="shared" si="2"/>
        <v>0</v>
      </c>
      <c r="H29" s="427"/>
      <c r="I29" s="426" t="str">
        <f t="shared" si="3"/>
        <v/>
      </c>
      <c r="J29" s="426" t="str">
        <f t="shared" si="4"/>
        <v/>
      </c>
      <c r="K29" s="204"/>
      <c r="L29" s="303"/>
    </row>
    <row r="30" spans="1:12">
      <c r="A30" s="426">
        <f>Application!B752</f>
        <v>0</v>
      </c>
      <c r="B30" s="1074">
        <f>Application!G752</f>
        <v>0</v>
      </c>
      <c r="C30" s="1150"/>
      <c r="D30" s="426">
        <f>Application!O752</f>
        <v>0</v>
      </c>
      <c r="E30" s="427"/>
      <c r="F30" s="1075"/>
      <c r="G30" s="426">
        <f t="shared" si="2"/>
        <v>0</v>
      </c>
      <c r="H30" s="427"/>
      <c r="I30" s="426" t="str">
        <f t="shared" si="3"/>
        <v/>
      </c>
      <c r="J30" s="426" t="str">
        <f t="shared" si="4"/>
        <v/>
      </c>
      <c r="K30" s="204"/>
      <c r="L30" s="303"/>
    </row>
    <row r="31" spans="1:12">
      <c r="A31" s="426">
        <f>Application!B753</f>
        <v>0</v>
      </c>
      <c r="B31" s="1074">
        <f>Application!G753</f>
        <v>0</v>
      </c>
      <c r="C31" s="1150"/>
      <c r="D31" s="426">
        <f>Application!O753</f>
        <v>0</v>
      </c>
      <c r="E31" s="427"/>
      <c r="F31" s="1075"/>
      <c r="G31" s="426">
        <f t="shared" si="2"/>
        <v>0</v>
      </c>
      <c r="H31" s="427"/>
      <c r="I31" s="426" t="str">
        <f t="shared" si="3"/>
        <v/>
      </c>
      <c r="J31" s="426" t="str">
        <f t="shared" si="4"/>
        <v/>
      </c>
      <c r="K31" s="204"/>
      <c r="L31" s="303"/>
    </row>
    <row r="32" spans="1:12">
      <c r="A32" s="426">
        <f>Application!B754</f>
        <v>0</v>
      </c>
      <c r="B32" s="1074">
        <f>Application!G754</f>
        <v>0</v>
      </c>
      <c r="C32" s="1150"/>
      <c r="D32" s="426">
        <f>Application!O754</f>
        <v>0</v>
      </c>
      <c r="E32" s="427"/>
      <c r="F32" s="1075"/>
      <c r="G32" s="426">
        <f t="shared" si="2"/>
        <v>0</v>
      </c>
      <c r="H32" s="427"/>
      <c r="I32" s="426" t="str">
        <f t="shared" si="3"/>
        <v/>
      </c>
      <c r="J32" s="426" t="str">
        <f t="shared" si="4"/>
        <v/>
      </c>
      <c r="K32" s="204"/>
      <c r="L32" s="303"/>
    </row>
    <row r="33" spans="1:12">
      <c r="A33" s="426">
        <f>Application!B755</f>
        <v>0</v>
      </c>
      <c r="B33" s="1074">
        <f>Application!G755</f>
        <v>0</v>
      </c>
      <c r="C33" s="1150"/>
      <c r="D33" s="426">
        <f>Application!O755</f>
        <v>0</v>
      </c>
      <c r="E33" s="427"/>
      <c r="F33" s="1075"/>
      <c r="G33" s="426">
        <f t="shared" si="2"/>
        <v>0</v>
      </c>
      <c r="H33" s="427"/>
      <c r="I33" s="426" t="str">
        <f t="shared" si="3"/>
        <v/>
      </c>
      <c r="J33" s="426" t="str">
        <f t="shared" si="4"/>
        <v/>
      </c>
      <c r="K33" s="204"/>
      <c r="L33" s="303"/>
    </row>
    <row r="34" spans="1:12">
      <c r="A34" s="426">
        <f>Application!B756</f>
        <v>0</v>
      </c>
      <c r="B34" s="1074">
        <f>Application!G756</f>
        <v>0</v>
      </c>
      <c r="C34" s="1150"/>
      <c r="D34" s="426">
        <f>Application!O756</f>
        <v>0</v>
      </c>
      <c r="E34" s="427"/>
      <c r="F34" s="1075"/>
      <c r="G34" s="426">
        <f t="shared" si="2"/>
        <v>0</v>
      </c>
      <c r="H34" s="427"/>
      <c r="I34" s="426" t="str">
        <f t="shared" si="3"/>
        <v/>
      </c>
      <c r="J34" s="426" t="str">
        <f t="shared" si="4"/>
        <v/>
      </c>
      <c r="K34" s="204"/>
      <c r="L34" s="303"/>
    </row>
    <row r="35" spans="1:12">
      <c r="A35" s="426">
        <f>Application!B757</f>
        <v>0</v>
      </c>
      <c r="B35" s="1074">
        <f>Application!G757</f>
        <v>0</v>
      </c>
      <c r="C35" s="1150"/>
      <c r="D35" s="426">
        <f>Application!O757</f>
        <v>0</v>
      </c>
      <c r="E35" s="427"/>
      <c r="F35" s="1075"/>
      <c r="G35" s="426">
        <f t="shared" si="2"/>
        <v>0</v>
      </c>
      <c r="H35" s="427"/>
      <c r="I35" s="426" t="str">
        <f t="shared" si="3"/>
        <v/>
      </c>
      <c r="J35" s="426" t="str">
        <f t="shared" si="4"/>
        <v/>
      </c>
      <c r="K35" s="204"/>
      <c r="L35" s="303"/>
    </row>
    <row r="36" spans="1:12">
      <c r="A36" s="426">
        <f>Application!B758</f>
        <v>0</v>
      </c>
      <c r="B36" s="1074">
        <f>Application!G758</f>
        <v>0</v>
      </c>
      <c r="C36" s="1150"/>
      <c r="D36" s="426">
        <f>Application!O758</f>
        <v>0</v>
      </c>
      <c r="E36" s="427"/>
      <c r="F36" s="1075"/>
      <c r="G36" s="426">
        <f t="shared" si="2"/>
        <v>0</v>
      </c>
      <c r="H36" s="427"/>
      <c r="I36" s="426" t="str">
        <f t="shared" si="3"/>
        <v/>
      </c>
      <c r="J36" s="426" t="str">
        <f t="shared" si="4"/>
        <v/>
      </c>
      <c r="K36" s="204"/>
      <c r="L36" s="303"/>
    </row>
    <row r="37" spans="1:12">
      <c r="A37" s="426">
        <f>Application!B759</f>
        <v>0</v>
      </c>
      <c r="B37" s="1074">
        <f>Application!G759</f>
        <v>0</v>
      </c>
      <c r="C37" s="1150"/>
      <c r="D37" s="426">
        <f>Application!O759</f>
        <v>0</v>
      </c>
      <c r="E37" s="427"/>
      <c r="F37" s="1075"/>
      <c r="G37" s="426">
        <f t="shared" si="2"/>
        <v>0</v>
      </c>
      <c r="H37" s="427"/>
      <c r="I37" s="426" t="str">
        <f t="shared" si="3"/>
        <v/>
      </c>
      <c r="J37" s="426" t="str">
        <f t="shared" si="4"/>
        <v/>
      </c>
      <c r="K37" s="204"/>
      <c r="L37" s="303"/>
    </row>
    <row r="38" spans="1:12">
      <c r="A38" s="426">
        <f>Application!B760</f>
        <v>0</v>
      </c>
      <c r="B38" s="1074">
        <f>Application!G760</f>
        <v>0</v>
      </c>
      <c r="C38" s="1150"/>
      <c r="D38" s="426">
        <f>Application!O760</f>
        <v>0</v>
      </c>
      <c r="E38" s="427"/>
      <c r="F38" s="1075"/>
      <c r="G38" s="426">
        <f t="shared" si="2"/>
        <v>0</v>
      </c>
      <c r="H38" s="427"/>
      <c r="I38" s="426" t="str">
        <f>IF(F38=0,"",(F38-D38))</f>
        <v/>
      </c>
      <c r="J38" s="426" t="str">
        <f>IF(F38=0,"",(I38*B38))</f>
        <v/>
      </c>
      <c r="K38" s="204"/>
      <c r="L38" s="303"/>
    </row>
    <row r="39" spans="1:12">
      <c r="A39" s="204"/>
      <c r="B39" s="204"/>
      <c r="C39" s="204"/>
      <c r="D39" s="427"/>
      <c r="E39" s="427"/>
      <c r="F39" s="427"/>
      <c r="G39" s="427"/>
      <c r="H39" s="427"/>
      <c r="I39" s="427"/>
      <c r="J39" s="204"/>
      <c r="K39" s="204"/>
      <c r="L39" s="303"/>
    </row>
    <row r="40" spans="1:12" ht="15">
      <c r="A40" s="428" t="s">
        <v>912</v>
      </c>
      <c r="B40" s="429"/>
      <c r="C40" s="429"/>
      <c r="D40" s="430">
        <f>Application!O761</f>
        <v>182839.79</v>
      </c>
      <c r="E40" s="427"/>
      <c r="F40" s="427"/>
      <c r="G40" s="430">
        <f>SUM(G4:G38)*12</f>
        <v>0</v>
      </c>
      <c r="H40" s="431"/>
      <c r="I40" s="429"/>
      <c r="J40" s="430">
        <f>SUM(J4:J38)*12</f>
        <v>0</v>
      </c>
      <c r="K40" s="204"/>
      <c r="L40" s="304"/>
    </row>
    <row r="41" spans="1:12" ht="15">
      <c r="A41" s="428"/>
      <c r="B41" s="429"/>
      <c r="C41" s="429"/>
      <c r="D41" s="431"/>
      <c r="E41" s="427"/>
      <c r="F41" s="427"/>
      <c r="G41" s="431"/>
      <c r="H41" s="431"/>
      <c r="I41" s="429"/>
      <c r="J41" s="431"/>
      <c r="K41" s="204"/>
      <c r="L41" s="304"/>
    </row>
    <row r="42" spans="1:12">
      <c r="A42" s="302" t="s">
        <v>2201</v>
      </c>
    </row>
    <row r="43" spans="1:12">
      <c r="A43" s="2699" t="s">
        <v>2417</v>
      </c>
      <c r="B43" s="2699"/>
      <c r="C43" s="2699"/>
      <c r="D43" s="2699"/>
      <c r="E43" s="2699"/>
      <c r="F43" s="2699"/>
      <c r="G43" s="2699"/>
      <c r="H43" s="2699"/>
      <c r="I43" s="2699"/>
      <c r="J43" s="2699"/>
    </row>
    <row r="44" spans="1:12">
      <c r="A44" s="2699"/>
      <c r="B44" s="2699"/>
      <c r="C44" s="2699"/>
      <c r="D44" s="2699"/>
      <c r="E44" s="2699"/>
      <c r="F44" s="2699"/>
      <c r="G44" s="2699"/>
      <c r="H44" s="2699"/>
      <c r="I44" s="2699"/>
      <c r="J44" s="2699"/>
    </row>
    <row r="45" spans="1:12">
      <c r="A45" s="2699" t="s">
        <v>2202</v>
      </c>
      <c r="B45" s="2699"/>
      <c r="C45" s="2699"/>
      <c r="D45" s="2699"/>
      <c r="E45" s="2699"/>
      <c r="F45" s="2699"/>
      <c r="G45" s="2699"/>
      <c r="H45" s="2699"/>
      <c r="I45" s="2699"/>
      <c r="J45" s="2699"/>
    </row>
    <row r="46" spans="1:12">
      <c r="A46" s="2699"/>
      <c r="B46" s="2699"/>
      <c r="C46" s="2699"/>
      <c r="D46" s="2699"/>
      <c r="E46" s="2699"/>
      <c r="F46" s="2699"/>
      <c r="G46" s="2699"/>
      <c r="H46" s="2699"/>
      <c r="I46" s="2699"/>
      <c r="J46" s="269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 workbookViewId="0">
      <selection activeCell="Y62" sqref="Y62"/>
    </sheetView>
  </sheetViews>
  <sheetFormatPr defaultColWidth="0" defaultRowHeight="12.75" zeroHeight="1"/>
  <cols>
    <col min="1" max="1" width="3.5703125" customWidth="1"/>
    <col min="2" max="2" width="30.5703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1" t="s">
        <v>2045</v>
      </c>
      <c r="B1" s="211"/>
    </row>
    <row r="2" spans="1:34"/>
    <row r="3" spans="1:34" ht="15.75">
      <c r="A3" s="212" t="s">
        <v>818</v>
      </c>
      <c r="B3" s="212"/>
      <c r="C3" s="234" t="s">
        <v>819</v>
      </c>
      <c r="D3" s="13"/>
      <c r="E3" s="235" t="s">
        <v>820</v>
      </c>
      <c r="F3" s="203"/>
      <c r="G3" s="235" t="s">
        <v>821</v>
      </c>
      <c r="H3" s="203"/>
      <c r="I3" s="235" t="s">
        <v>822</v>
      </c>
      <c r="J3" s="203"/>
      <c r="K3" s="235" t="s">
        <v>823</v>
      </c>
      <c r="L3" s="203"/>
      <c r="M3" s="235" t="s">
        <v>824</v>
      </c>
      <c r="N3" s="203"/>
      <c r="O3" s="235" t="s">
        <v>825</v>
      </c>
      <c r="P3" s="203"/>
      <c r="Q3" s="235" t="s">
        <v>826</v>
      </c>
      <c r="R3" s="203"/>
      <c r="S3" s="235" t="s">
        <v>827</v>
      </c>
      <c r="T3" s="203"/>
      <c r="U3" s="235" t="s">
        <v>828</v>
      </c>
      <c r="V3" s="203"/>
      <c r="W3" s="235" t="s">
        <v>829</v>
      </c>
      <c r="X3" s="203"/>
      <c r="Y3" s="235" t="s">
        <v>830</v>
      </c>
      <c r="Z3" s="203"/>
      <c r="AA3" s="235" t="s">
        <v>831</v>
      </c>
      <c r="AB3" s="203"/>
      <c r="AC3" s="235" t="s">
        <v>832</v>
      </c>
      <c r="AD3" s="203"/>
      <c r="AE3" s="235" t="s">
        <v>833</v>
      </c>
      <c r="AF3" s="203"/>
      <c r="AG3" s="235" t="s">
        <v>834</v>
      </c>
      <c r="AH3" s="13"/>
    </row>
    <row r="4" spans="1:34" s="219" customFormat="1" ht="14.25">
      <c r="A4" s="219" t="s">
        <v>836</v>
      </c>
      <c r="C4" s="236">
        <v>1.0249999999999999</v>
      </c>
      <c r="E4" s="219">
        <f>Application!Y809</f>
        <v>2194077.48</v>
      </c>
      <c r="G4" s="219">
        <f>E4*$C$4</f>
        <v>2248929.4169999999</v>
      </c>
      <c r="I4" s="219">
        <f>G4*$C$4</f>
        <v>2305152.6524249995</v>
      </c>
      <c r="K4" s="219">
        <f>I4*$C$4</f>
        <v>2362781.4687356241</v>
      </c>
      <c r="M4" s="219">
        <f>K4*$C$4</f>
        <v>2421851.0054540145</v>
      </c>
      <c r="O4" s="219">
        <f>M4*$C$4</f>
        <v>2482397.2805903647</v>
      </c>
      <c r="Q4" s="219">
        <f>O4*$C$4</f>
        <v>2544457.2126051234</v>
      </c>
      <c r="S4" s="219">
        <f>Q4*$C$4</f>
        <v>2608068.6429202515</v>
      </c>
      <c r="U4" s="219">
        <f>S4*$C$4</f>
        <v>2673270.3589932574</v>
      </c>
      <c r="W4" s="219">
        <f>U4*$C$4</f>
        <v>2740102.1179680885</v>
      </c>
      <c r="Y4" s="219">
        <f>W4*$C$4</f>
        <v>2808604.6709172903</v>
      </c>
      <c r="AA4" s="219">
        <f>Y4*$C$4</f>
        <v>2878819.7876902223</v>
      </c>
      <c r="AC4" s="219">
        <f>AA4*$C$4</f>
        <v>2950790.2823824775</v>
      </c>
      <c r="AE4" s="219">
        <f>AC4*$C$4</f>
        <v>3024560.0394420391</v>
      </c>
      <c r="AG4" s="219">
        <f>AE4*$C$4</f>
        <v>3100174.0404280899</v>
      </c>
    </row>
    <row r="5" spans="1:34" s="1267" customFormat="1" ht="14.25">
      <c r="B5" s="1267" t="s">
        <v>837</v>
      </c>
      <c r="C5" s="1268">
        <v>0.05</v>
      </c>
      <c r="E5" s="1269">
        <f>-E4*$C$5</f>
        <v>-109703.87400000001</v>
      </c>
      <c r="F5" s="1269"/>
      <c r="G5" s="1269">
        <f>-G4*$C$5</f>
        <v>-112446.47085</v>
      </c>
      <c r="H5" s="1269"/>
      <c r="I5" s="1269">
        <f>-I4*$C$5</f>
        <v>-115257.63262124998</v>
      </c>
      <c r="J5" s="1269"/>
      <c r="K5" s="1269">
        <f>-K4*$C$5</f>
        <v>-118139.07343678121</v>
      </c>
      <c r="L5" s="1269"/>
      <c r="M5" s="1269">
        <f>-M4*$C$5</f>
        <v>-121092.55027270073</v>
      </c>
      <c r="N5" s="1269"/>
      <c r="O5" s="1269">
        <f>-O4*$C$5</f>
        <v>-124119.86402951824</v>
      </c>
      <c r="P5" s="1269"/>
      <c r="Q5" s="1269">
        <f>-Q4*$C$5</f>
        <v>-127222.86063025618</v>
      </c>
      <c r="R5" s="1269"/>
      <c r="S5" s="1269">
        <f>-S4*$C$5</f>
        <v>-130403.43214601258</v>
      </c>
      <c r="T5" s="1269"/>
      <c r="U5" s="1269">
        <f>-U4*$C$5</f>
        <v>-133663.51794966287</v>
      </c>
      <c r="V5" s="1269"/>
      <c r="W5" s="1269">
        <f>-W4*$C$5</f>
        <v>-137005.10589840444</v>
      </c>
      <c r="X5" s="1269"/>
      <c r="Y5" s="1269">
        <f>-Y4*$C$5</f>
        <v>-140430.23354586452</v>
      </c>
      <c r="Z5" s="1269"/>
      <c r="AA5" s="1269">
        <f>-AA4*$C$5</f>
        <v>-143940.98938451111</v>
      </c>
      <c r="AB5" s="1269"/>
      <c r="AC5" s="1269">
        <f>-AC4*$C$5</f>
        <v>-147539.51411912389</v>
      </c>
      <c r="AD5" s="1269"/>
      <c r="AE5" s="1269">
        <f>-AE4*$C$5</f>
        <v>-151228.00197210195</v>
      </c>
      <c r="AF5" s="1269"/>
      <c r="AG5" s="1269">
        <f>-AG4*$C$5</f>
        <v>-155008.70202140449</v>
      </c>
    </row>
    <row r="6" spans="1:34" s="210" customFormat="1" ht="14.25">
      <c r="A6" s="210" t="s">
        <v>835</v>
      </c>
      <c r="C6" s="236">
        <v>1.0249999999999999</v>
      </c>
      <c r="E6" s="221">
        <f>Application!Z817</f>
        <v>0</v>
      </c>
      <c r="F6" s="221"/>
      <c r="G6" s="221">
        <f>E6*$C$6</f>
        <v>0</v>
      </c>
      <c r="H6" s="221"/>
      <c r="I6" s="221">
        <f>G6*$C$6</f>
        <v>0</v>
      </c>
      <c r="J6" s="221"/>
      <c r="K6" s="221">
        <f>I6*$C$6</f>
        <v>0</v>
      </c>
      <c r="L6" s="221"/>
      <c r="M6" s="221">
        <f>K6*$C$6</f>
        <v>0</v>
      </c>
      <c r="N6" s="221"/>
      <c r="O6" s="221">
        <f>M6*$C$6</f>
        <v>0</v>
      </c>
      <c r="P6" s="221"/>
      <c r="Q6" s="221">
        <f>O6*$C$6</f>
        <v>0</v>
      </c>
      <c r="R6" s="221"/>
      <c r="S6" s="221">
        <f>Q6*$C$6</f>
        <v>0</v>
      </c>
      <c r="T6" s="221"/>
      <c r="U6" s="221">
        <f>S6*$C$6</f>
        <v>0</v>
      </c>
      <c r="V6" s="221"/>
      <c r="W6" s="221">
        <f>U6*$C$6</f>
        <v>0</v>
      </c>
      <c r="X6" s="221"/>
      <c r="Y6" s="221">
        <f>W6*$C$6</f>
        <v>0</v>
      </c>
      <c r="Z6" s="221"/>
      <c r="AA6" s="221">
        <f>Y6*$C$6</f>
        <v>0</v>
      </c>
      <c r="AB6" s="221"/>
      <c r="AC6" s="221">
        <f>AA6*$C$6</f>
        <v>0</v>
      </c>
      <c r="AD6" s="221"/>
      <c r="AE6" s="221">
        <f>AC6*$C$6</f>
        <v>0</v>
      </c>
      <c r="AF6" s="221"/>
      <c r="AG6" s="221">
        <f>AE6*$C$6</f>
        <v>0</v>
      </c>
    </row>
    <row r="7" spans="1:34" s="1267" customFormat="1" ht="14.25">
      <c r="B7" s="1267" t="s">
        <v>837</v>
      </c>
      <c r="C7" s="1268">
        <f>IF(Application!$D$211="Special Needs",(((0.1*Application!$T$212)+(0.05*(1-Application!$T$212)))),0.05)</f>
        <v>0.05</v>
      </c>
      <c r="E7" s="1269">
        <f>-E6*$C$7</f>
        <v>0</v>
      </c>
      <c r="F7" s="1269"/>
      <c r="G7" s="1269">
        <f>-G6*$C$7</f>
        <v>0</v>
      </c>
      <c r="H7" s="1269"/>
      <c r="I7" s="1269">
        <f>-I6*$C$7</f>
        <v>0</v>
      </c>
      <c r="J7" s="1269"/>
      <c r="K7" s="1269">
        <f>-K6*$C$7</f>
        <v>0</v>
      </c>
      <c r="L7" s="1269"/>
      <c r="M7" s="1269">
        <f>-M6*$C$7</f>
        <v>0</v>
      </c>
      <c r="N7" s="1269"/>
      <c r="O7" s="1269">
        <f>-O6*$C$7</f>
        <v>0</v>
      </c>
      <c r="P7" s="1269"/>
      <c r="Q7" s="1269">
        <f>-Q6*$C$7</f>
        <v>0</v>
      </c>
      <c r="R7" s="1269"/>
      <c r="S7" s="1269">
        <f>-S6*$C$7</f>
        <v>0</v>
      </c>
      <c r="T7" s="1269"/>
      <c r="U7" s="1269">
        <f>-U6*$C$7</f>
        <v>0</v>
      </c>
      <c r="V7" s="1269"/>
      <c r="W7" s="1269">
        <f>-W6*$C$7</f>
        <v>0</v>
      </c>
      <c r="X7" s="1269"/>
      <c r="Y7" s="1269">
        <f>-Y6*$C$7</f>
        <v>0</v>
      </c>
      <c r="Z7" s="1269"/>
      <c r="AA7" s="1269">
        <f>-AA6*$C$7</f>
        <v>0</v>
      </c>
      <c r="AB7" s="1269"/>
      <c r="AC7" s="1269">
        <f>-AC6*$C$7</f>
        <v>0</v>
      </c>
      <c r="AD7" s="1269"/>
      <c r="AE7" s="1269">
        <f>-AE6*$C$7</f>
        <v>0</v>
      </c>
      <c r="AF7" s="1269"/>
      <c r="AG7" s="1269">
        <f>-AG6*$C$7</f>
        <v>0</v>
      </c>
    </row>
    <row r="8" spans="1:34" s="210" customFormat="1" ht="14.25">
      <c r="A8" s="210" t="s">
        <v>287</v>
      </c>
      <c r="C8" s="236">
        <v>1.0249999999999999</v>
      </c>
      <c r="E8" s="221">
        <f>Application!Z825</f>
        <v>44843</v>
      </c>
      <c r="F8" s="221"/>
      <c r="G8" s="221">
        <f>E8*$C$8</f>
        <v>45964.074999999997</v>
      </c>
      <c r="H8" s="221"/>
      <c r="I8" s="221">
        <f>G8*$C$8</f>
        <v>47113.17687499999</v>
      </c>
      <c r="J8" s="221"/>
      <c r="K8" s="221">
        <f>I8*$C$8</f>
        <v>48291.006296874984</v>
      </c>
      <c r="L8" s="221"/>
      <c r="M8" s="221">
        <f>K8*$C$8</f>
        <v>49498.281454296855</v>
      </c>
      <c r="N8" s="221"/>
      <c r="O8" s="221">
        <f>M8*$C$8</f>
        <v>50735.738490654272</v>
      </c>
      <c r="P8" s="221"/>
      <c r="Q8" s="221">
        <f>O8*$C$8</f>
        <v>52004.131952920623</v>
      </c>
      <c r="R8" s="221"/>
      <c r="S8" s="221">
        <f>Q8*$C$8</f>
        <v>53304.235251743637</v>
      </c>
      <c r="T8" s="221"/>
      <c r="U8" s="221">
        <f>S8*$C$8</f>
        <v>54636.841133037226</v>
      </c>
      <c r="V8" s="221"/>
      <c r="W8" s="221">
        <f>U8*$C$8</f>
        <v>56002.762161363149</v>
      </c>
      <c r="X8" s="221"/>
      <c r="Y8" s="221">
        <f>W8*$C$8</f>
        <v>57402.831215397222</v>
      </c>
      <c r="Z8" s="221"/>
      <c r="AA8" s="221">
        <f>Y8*$C$8</f>
        <v>58837.901995782144</v>
      </c>
      <c r="AB8" s="221"/>
      <c r="AC8" s="221">
        <f>AA8*$C$8</f>
        <v>60308.84954567669</v>
      </c>
      <c r="AD8" s="221"/>
      <c r="AE8" s="221">
        <f>AC8*$C$8</f>
        <v>61816.570784318603</v>
      </c>
      <c r="AF8" s="221"/>
      <c r="AG8" s="221">
        <f>AE8*$C$8</f>
        <v>63361.985053926561</v>
      </c>
    </row>
    <row r="9" spans="1:34" s="1267" customFormat="1" ht="14.25">
      <c r="B9" s="1267" t="s">
        <v>837</v>
      </c>
      <c r="C9" s="1270">
        <v>1.0249999999999999</v>
      </c>
      <c r="E9" s="1269">
        <v>-2237</v>
      </c>
      <c r="F9" s="1269"/>
      <c r="G9" s="1269">
        <f>E9*$C$9</f>
        <v>-2292.9249999999997</v>
      </c>
      <c r="H9" s="1269"/>
      <c r="I9" s="1269">
        <f>G9*$C$9</f>
        <v>-2350.2481249999996</v>
      </c>
      <c r="J9" s="1269"/>
      <c r="K9" s="1269">
        <f>I9*$C$9</f>
        <v>-2409.0043281249996</v>
      </c>
      <c r="L9" s="1269"/>
      <c r="M9" s="1269">
        <f>K9*$C$9</f>
        <v>-2469.2294363281244</v>
      </c>
      <c r="N9" s="1269"/>
      <c r="O9" s="1269">
        <f>M9*$C$9</f>
        <v>-2530.9601722363273</v>
      </c>
      <c r="P9" s="1269"/>
      <c r="Q9" s="1269">
        <f>O9*$C$9</f>
        <v>-2594.2341765422352</v>
      </c>
      <c r="R9" s="1269"/>
      <c r="S9" s="1269">
        <f>Q9*$C$9</f>
        <v>-2659.090030955791</v>
      </c>
      <c r="T9" s="1269"/>
      <c r="U9" s="1269">
        <f>S9*$C$9</f>
        <v>-2725.5672817296854</v>
      </c>
      <c r="V9" s="1269"/>
      <c r="W9" s="1269">
        <f>U9*$C$9</f>
        <v>-2793.7064637729272</v>
      </c>
      <c r="X9" s="1269"/>
      <c r="Y9" s="1269">
        <f>W9*$C$9</f>
        <v>-2863.5491253672503</v>
      </c>
      <c r="Z9" s="1269"/>
      <c r="AA9" s="1269">
        <f>Y9*$C$9</f>
        <v>-2935.1378535014314</v>
      </c>
      <c r="AB9" s="1269"/>
      <c r="AC9" s="1269">
        <f>AA9*$C$9</f>
        <v>-3008.5162998389669</v>
      </c>
      <c r="AD9" s="1269"/>
      <c r="AE9" s="1269">
        <f>AC9*$C$9</f>
        <v>-3083.7292073349408</v>
      </c>
      <c r="AF9" s="1269"/>
      <c r="AG9" s="1269">
        <f>AE9*$C$9</f>
        <v>-3160.822437518314</v>
      </c>
    </row>
    <row r="10" spans="1:34" s="1267" customFormat="1" ht="14.25">
      <c r="A10" s="1271" t="s">
        <v>2173</v>
      </c>
      <c r="B10" s="1271"/>
      <c r="C10" s="1270">
        <v>1.0249999999999999</v>
      </c>
      <c r="E10" s="1272">
        <v>0</v>
      </c>
      <c r="F10" s="1269"/>
      <c r="G10" s="1272">
        <f>E10*$C$10</f>
        <v>0</v>
      </c>
      <c r="H10" s="1269"/>
      <c r="I10" s="1272">
        <f>G10*$C$10</f>
        <v>0</v>
      </c>
      <c r="J10" s="1269"/>
      <c r="K10" s="1272">
        <f>I10*$C$10</f>
        <v>0</v>
      </c>
      <c r="L10" s="1269"/>
      <c r="M10" s="1272">
        <f>K10*$C$10</f>
        <v>0</v>
      </c>
      <c r="N10" s="1269"/>
      <c r="O10" s="1272">
        <f>M10*$C$10</f>
        <v>0</v>
      </c>
      <c r="P10" s="1269"/>
      <c r="Q10" s="1272">
        <f>O10*$C$10</f>
        <v>0</v>
      </c>
      <c r="R10" s="1269"/>
      <c r="S10" s="1272">
        <f>Q10*$C$10</f>
        <v>0</v>
      </c>
      <c r="T10" s="1269"/>
      <c r="U10" s="1272">
        <f>S10*$C$10</f>
        <v>0</v>
      </c>
      <c r="V10" s="1269"/>
      <c r="W10" s="1272">
        <f>U10*$C$10</f>
        <v>0</v>
      </c>
      <c r="X10" s="1269"/>
      <c r="Y10" s="1272">
        <f>W10*$C$10</f>
        <v>0</v>
      </c>
      <c r="Z10" s="1269"/>
      <c r="AA10" s="1272">
        <f>Y10*$C$10</f>
        <v>0</v>
      </c>
      <c r="AB10" s="1269"/>
      <c r="AC10" s="1272">
        <f>AA10*$C$10</f>
        <v>0</v>
      </c>
      <c r="AD10" s="1269"/>
      <c r="AE10" s="1272">
        <f>AC10*$C$10</f>
        <v>0</v>
      </c>
      <c r="AF10" s="1269"/>
      <c r="AG10" s="1272">
        <f>AE10*$C$10</f>
        <v>0</v>
      </c>
    </row>
    <row r="11" spans="1:34" s="222" customFormat="1" ht="15">
      <c r="A11" s="222" t="s">
        <v>856</v>
      </c>
      <c r="C11" s="216"/>
      <c r="E11" s="222">
        <f>SUM(E4:E10)</f>
        <v>2126979.6059999997</v>
      </c>
      <c r="G11" s="222">
        <f>SUM(G4:G10)</f>
        <v>2180154.0961500001</v>
      </c>
      <c r="I11" s="222">
        <f>SUM(I4:I10)</f>
        <v>2234657.9485537494</v>
      </c>
      <c r="K11" s="222">
        <f>SUM(K4:K10)</f>
        <v>2290524.3972675926</v>
      </c>
      <c r="M11" s="222">
        <f>SUM(M4:M10)</f>
        <v>2347787.5071992823</v>
      </c>
      <c r="O11" s="222">
        <f>SUM(O4:O10)</f>
        <v>2406482.1948792641</v>
      </c>
      <c r="Q11" s="222">
        <f>SUM(Q4:Q10)</f>
        <v>2466644.2497512456</v>
      </c>
      <c r="S11" s="222">
        <f>SUM(S4:S10)</f>
        <v>2528310.3559950269</v>
      </c>
      <c r="U11" s="222">
        <f>SUM(U4:U10)</f>
        <v>2591518.1148949019</v>
      </c>
      <c r="W11" s="222">
        <f>SUM(W4:W10)</f>
        <v>2656306.0677672746</v>
      </c>
      <c r="Y11" s="222">
        <f>SUM(Y4:Y10)</f>
        <v>2722713.7194614555</v>
      </c>
      <c r="AA11" s="222">
        <f>SUM(AA4:AA10)</f>
        <v>2790781.5624479922</v>
      </c>
      <c r="AC11" s="222">
        <f>SUM(AC4:AC10)</f>
        <v>2860551.1015091911</v>
      </c>
      <c r="AE11" s="222">
        <f>SUM(AE4:AE10)</f>
        <v>2932064.8790469207</v>
      </c>
      <c r="AG11" s="222">
        <f>SUM(AG4:AG10)</f>
        <v>3005366.5010230937</v>
      </c>
    </row>
    <row r="12" spans="1:34">
      <c r="C12" s="232"/>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2"/>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6">
        <v>1.0349999999999999</v>
      </c>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row>
    <row r="15" spans="1:34" s="219" customFormat="1" ht="14.25">
      <c r="A15" s="219" t="s">
        <v>840</v>
      </c>
      <c r="C15" s="176"/>
      <c r="E15" s="219">
        <f>Application!W855</f>
        <v>65807</v>
      </c>
      <c r="G15" s="219">
        <f>E15*$C$14</f>
        <v>68110.244999999995</v>
      </c>
      <c r="I15" s="219">
        <f>G15*$C$14</f>
        <v>70494.103574999986</v>
      </c>
      <c r="K15" s="219">
        <f>I15*$C$14</f>
        <v>72961.397200124979</v>
      </c>
      <c r="M15" s="219">
        <f>K15*$C$14</f>
        <v>75515.046102129345</v>
      </c>
      <c r="O15" s="219">
        <f>M15*$C$14</f>
        <v>78158.072715703864</v>
      </c>
      <c r="Q15" s="219">
        <f>O15*$C$14</f>
        <v>80893.605260753495</v>
      </c>
      <c r="S15" s="219">
        <f>Q15*$C$14</f>
        <v>83724.881444879866</v>
      </c>
      <c r="U15" s="219">
        <f>S15*$C$14</f>
        <v>86655.252295450657</v>
      </c>
      <c r="W15" s="219">
        <f>U15*$C$14</f>
        <v>89688.186125791428</v>
      </c>
      <c r="Y15" s="219">
        <f>W15*$C$14</f>
        <v>92827.272640194118</v>
      </c>
      <c r="AA15" s="219">
        <f>Y15*$C$14</f>
        <v>96076.227182600909</v>
      </c>
      <c r="AC15" s="219">
        <f>AA15*$C$14</f>
        <v>99438.895133991929</v>
      </c>
      <c r="AE15" s="219">
        <f>AC15*$C$14</f>
        <v>102919.25646368164</v>
      </c>
      <c r="AG15" s="219">
        <f>AE15*$C$14</f>
        <v>106521.43043991049</v>
      </c>
    </row>
    <row r="16" spans="1:34" s="210" customFormat="1" ht="14.25">
      <c r="A16" s="210" t="s">
        <v>343</v>
      </c>
      <c r="C16" s="232"/>
      <c r="E16" s="221">
        <f>Application!W857</f>
        <v>111342</v>
      </c>
      <c r="F16" s="221"/>
      <c r="G16" s="221">
        <f t="shared" ref="G16:AG21" si="0">E16*$C$14</f>
        <v>115238.96999999999</v>
      </c>
      <c r="H16" s="221"/>
      <c r="I16" s="221">
        <f t="shared" si="0"/>
        <v>119272.33394999997</v>
      </c>
      <c r="J16" s="221"/>
      <c r="K16" s="221">
        <f t="shared" si="0"/>
        <v>123446.86563824996</v>
      </c>
      <c r="L16" s="221"/>
      <c r="M16" s="221">
        <f t="shared" si="0"/>
        <v>127767.50593558871</v>
      </c>
      <c r="N16" s="221"/>
      <c r="O16" s="221">
        <f t="shared" si="0"/>
        <v>132239.36864333431</v>
      </c>
      <c r="P16" s="221"/>
      <c r="Q16" s="221">
        <f t="shared" si="0"/>
        <v>136867.746545851</v>
      </c>
      <c r="R16" s="221"/>
      <c r="S16" s="221">
        <f t="shared" si="0"/>
        <v>141658.11767495578</v>
      </c>
      <c r="T16" s="221"/>
      <c r="U16" s="221">
        <f t="shared" si="0"/>
        <v>146616.15179357922</v>
      </c>
      <c r="V16" s="221"/>
      <c r="W16" s="221">
        <f t="shared" si="0"/>
        <v>151747.71710635448</v>
      </c>
      <c r="X16" s="221"/>
      <c r="Y16" s="221">
        <f t="shared" si="0"/>
        <v>157058.88720507687</v>
      </c>
      <c r="Z16" s="221"/>
      <c r="AA16" s="221">
        <f t="shared" si="0"/>
        <v>162555.94825725455</v>
      </c>
      <c r="AB16" s="221"/>
      <c r="AC16" s="221">
        <f t="shared" si="0"/>
        <v>168245.40644625845</v>
      </c>
      <c r="AD16" s="221"/>
      <c r="AE16" s="221">
        <f t="shared" si="0"/>
        <v>174133.99567187749</v>
      </c>
      <c r="AF16" s="221"/>
      <c r="AG16" s="221">
        <f t="shared" si="0"/>
        <v>180228.68552039319</v>
      </c>
    </row>
    <row r="17" spans="1:33" s="210" customFormat="1" ht="14.25">
      <c r="A17" s="210" t="s">
        <v>560</v>
      </c>
      <c r="C17" s="232"/>
      <c r="E17" s="221">
        <f>Application!W863</f>
        <v>163026</v>
      </c>
      <c r="F17" s="221"/>
      <c r="G17" s="221">
        <f t="shared" si="0"/>
        <v>168731.90999999997</v>
      </c>
      <c r="H17" s="221"/>
      <c r="I17" s="221">
        <f t="shared" si="0"/>
        <v>174637.52684999997</v>
      </c>
      <c r="J17" s="221"/>
      <c r="K17" s="221">
        <f t="shared" si="0"/>
        <v>180749.84028974996</v>
      </c>
      <c r="L17" s="221"/>
      <c r="M17" s="221">
        <f t="shared" si="0"/>
        <v>187076.08469989119</v>
      </c>
      <c r="N17" s="221"/>
      <c r="O17" s="221">
        <f t="shared" si="0"/>
        <v>193623.74766438737</v>
      </c>
      <c r="P17" s="221"/>
      <c r="Q17" s="221">
        <f t="shared" si="0"/>
        <v>200400.57883264092</v>
      </c>
      <c r="R17" s="221"/>
      <c r="S17" s="221">
        <f t="shared" si="0"/>
        <v>207414.59909178334</v>
      </c>
      <c r="T17" s="221"/>
      <c r="U17" s="221">
        <f t="shared" si="0"/>
        <v>214674.11005999573</v>
      </c>
      <c r="V17" s="221"/>
      <c r="W17" s="221">
        <f t="shared" si="0"/>
        <v>222187.70391209557</v>
      </c>
      <c r="X17" s="221"/>
      <c r="Y17" s="221">
        <f t="shared" si="0"/>
        <v>229964.27354901889</v>
      </c>
      <c r="Z17" s="221"/>
      <c r="AA17" s="221">
        <f t="shared" si="0"/>
        <v>238013.02312323454</v>
      </c>
      <c r="AB17" s="221"/>
      <c r="AC17" s="221">
        <f t="shared" si="0"/>
        <v>246343.47893254773</v>
      </c>
      <c r="AD17" s="221"/>
      <c r="AE17" s="221">
        <f t="shared" si="0"/>
        <v>254965.50069518687</v>
      </c>
      <c r="AF17" s="221"/>
      <c r="AG17" s="221">
        <f t="shared" si="0"/>
        <v>263889.29321951838</v>
      </c>
    </row>
    <row r="18" spans="1:33" s="210" customFormat="1" ht="14.25">
      <c r="A18" s="210" t="s">
        <v>841</v>
      </c>
      <c r="C18" s="232"/>
      <c r="E18" s="221">
        <f>Application!W870</f>
        <v>217056</v>
      </c>
      <c r="F18" s="221"/>
      <c r="G18" s="221">
        <f t="shared" si="0"/>
        <v>224652.96</v>
      </c>
      <c r="H18" s="221"/>
      <c r="I18" s="221">
        <f t="shared" si="0"/>
        <v>232515.81359999996</v>
      </c>
      <c r="J18" s="221"/>
      <c r="K18" s="221">
        <f t="shared" si="0"/>
        <v>240653.86707599994</v>
      </c>
      <c r="L18" s="221"/>
      <c r="M18" s="221">
        <f t="shared" si="0"/>
        <v>249076.75242365993</v>
      </c>
      <c r="N18" s="221"/>
      <c r="O18" s="221">
        <f t="shared" si="0"/>
        <v>257794.43875848802</v>
      </c>
      <c r="P18" s="221"/>
      <c r="Q18" s="221">
        <f t="shared" si="0"/>
        <v>266817.24411503505</v>
      </c>
      <c r="R18" s="221"/>
      <c r="S18" s="221">
        <f t="shared" si="0"/>
        <v>276155.84765906126</v>
      </c>
      <c r="T18" s="221"/>
      <c r="U18" s="221">
        <f t="shared" si="0"/>
        <v>285821.30232712836</v>
      </c>
      <c r="V18" s="221"/>
      <c r="W18" s="221">
        <f t="shared" si="0"/>
        <v>295825.04790857784</v>
      </c>
      <c r="X18" s="221"/>
      <c r="Y18" s="221">
        <f t="shared" si="0"/>
        <v>306178.92458537803</v>
      </c>
      <c r="Z18" s="221"/>
      <c r="AA18" s="221">
        <f t="shared" si="0"/>
        <v>316895.18694586621</v>
      </c>
      <c r="AB18" s="221"/>
      <c r="AC18" s="221">
        <f t="shared" si="0"/>
        <v>327986.51848897152</v>
      </c>
      <c r="AD18" s="221"/>
      <c r="AE18" s="221">
        <f t="shared" si="0"/>
        <v>339466.04663608549</v>
      </c>
      <c r="AF18" s="221"/>
      <c r="AG18" s="221">
        <f t="shared" si="0"/>
        <v>351347.35826834844</v>
      </c>
    </row>
    <row r="19" spans="1:33" s="210" customFormat="1" ht="14.25">
      <c r="A19" s="210" t="s">
        <v>155</v>
      </c>
      <c r="C19" s="232"/>
      <c r="E19" s="221">
        <f>Application!W872</f>
        <v>77350</v>
      </c>
      <c r="F19" s="221"/>
      <c r="G19" s="221">
        <f t="shared" si="0"/>
        <v>80057.25</v>
      </c>
      <c r="H19" s="221"/>
      <c r="I19" s="221">
        <f t="shared" si="0"/>
        <v>82859.253749999989</v>
      </c>
      <c r="J19" s="221"/>
      <c r="K19" s="221">
        <f t="shared" si="0"/>
        <v>85759.32763124998</v>
      </c>
      <c r="L19" s="221"/>
      <c r="M19" s="221">
        <f t="shared" si="0"/>
        <v>88760.90409834373</v>
      </c>
      <c r="N19" s="221"/>
      <c r="O19" s="221">
        <f t="shared" si="0"/>
        <v>91867.535741785759</v>
      </c>
      <c r="P19" s="221"/>
      <c r="Q19" s="221">
        <f t="shared" si="0"/>
        <v>95082.899492748256</v>
      </c>
      <c r="R19" s="221"/>
      <c r="S19" s="221">
        <f t="shared" si="0"/>
        <v>98410.800974994432</v>
      </c>
      <c r="T19" s="221"/>
      <c r="U19" s="221">
        <f t="shared" si="0"/>
        <v>101855.17900911922</v>
      </c>
      <c r="V19" s="221"/>
      <c r="W19" s="221">
        <f t="shared" si="0"/>
        <v>105420.11027443838</v>
      </c>
      <c r="X19" s="221"/>
      <c r="Y19" s="221">
        <f t="shared" si="0"/>
        <v>109109.81413404371</v>
      </c>
      <c r="Z19" s="221"/>
      <c r="AA19" s="221">
        <f t="shared" si="0"/>
        <v>112928.65762873524</v>
      </c>
      <c r="AB19" s="221"/>
      <c r="AC19" s="221">
        <f t="shared" si="0"/>
        <v>116881.16064574097</v>
      </c>
      <c r="AD19" s="221"/>
      <c r="AE19" s="221">
        <f t="shared" si="0"/>
        <v>120972.00126834189</v>
      </c>
      <c r="AF19" s="221"/>
      <c r="AG19" s="221">
        <f t="shared" si="0"/>
        <v>125206.02131273385</v>
      </c>
    </row>
    <row r="20" spans="1:33" s="210" customFormat="1" ht="14.25">
      <c r="A20" s="210" t="s">
        <v>389</v>
      </c>
      <c r="C20" s="232"/>
      <c r="E20" s="221">
        <f>Application!W881</f>
        <v>125426</v>
      </c>
      <c r="F20" s="221"/>
      <c r="G20" s="221">
        <f t="shared" si="0"/>
        <v>129815.90999999999</v>
      </c>
      <c r="H20" s="221"/>
      <c r="I20" s="221">
        <f t="shared" si="0"/>
        <v>134359.46684999997</v>
      </c>
      <c r="J20" s="221"/>
      <c r="K20" s="221">
        <f t="shared" si="0"/>
        <v>139062.04818974997</v>
      </c>
      <c r="L20" s="221"/>
      <c r="M20" s="221">
        <f t="shared" si="0"/>
        <v>143929.2198763912</v>
      </c>
      <c r="N20" s="221"/>
      <c r="O20" s="221">
        <f t="shared" si="0"/>
        <v>148966.74257206489</v>
      </c>
      <c r="P20" s="221"/>
      <c r="Q20" s="221">
        <f t="shared" si="0"/>
        <v>154180.57856208715</v>
      </c>
      <c r="R20" s="221"/>
      <c r="S20" s="221">
        <f t="shared" si="0"/>
        <v>159576.89881176018</v>
      </c>
      <c r="T20" s="221"/>
      <c r="U20" s="221">
        <f t="shared" si="0"/>
        <v>165162.09027017179</v>
      </c>
      <c r="V20" s="221"/>
      <c r="W20" s="221">
        <f t="shared" si="0"/>
        <v>170942.76342962778</v>
      </c>
      <c r="X20" s="221"/>
      <c r="Y20" s="221">
        <f t="shared" si="0"/>
        <v>176925.76014966474</v>
      </c>
      <c r="Z20" s="221"/>
      <c r="AA20" s="221">
        <f t="shared" si="0"/>
        <v>183118.16175490301</v>
      </c>
      <c r="AB20" s="221"/>
      <c r="AC20" s="221">
        <f t="shared" si="0"/>
        <v>189527.29741632458</v>
      </c>
      <c r="AD20" s="221"/>
      <c r="AE20" s="221">
        <f t="shared" si="0"/>
        <v>196160.75282589594</v>
      </c>
      <c r="AF20" s="221"/>
      <c r="AG20" s="221">
        <f t="shared" si="0"/>
        <v>203026.37917480228</v>
      </c>
    </row>
    <row r="21" spans="1:33" s="210" customFormat="1" ht="14.25">
      <c r="A21" s="225" t="s">
        <v>959</v>
      </c>
      <c r="B21" s="225"/>
      <c r="C21" s="232"/>
      <c r="E21" s="231">
        <f>Application!W888</f>
        <v>3808</v>
      </c>
      <c r="F21" s="221"/>
      <c r="G21" s="231">
        <f t="shared" si="0"/>
        <v>3941.2799999999997</v>
      </c>
      <c r="H21" s="221"/>
      <c r="I21" s="231">
        <f t="shared" si="0"/>
        <v>4079.2247999999995</v>
      </c>
      <c r="J21" s="221"/>
      <c r="K21" s="231">
        <f t="shared" si="0"/>
        <v>4221.9976679999991</v>
      </c>
      <c r="L21" s="221"/>
      <c r="M21" s="231">
        <f t="shared" si="0"/>
        <v>4369.7675863799986</v>
      </c>
      <c r="N21" s="221"/>
      <c r="O21" s="231">
        <f t="shared" si="0"/>
        <v>4522.709451903298</v>
      </c>
      <c r="P21" s="221"/>
      <c r="Q21" s="231">
        <f t="shared" si="0"/>
        <v>4681.0042827199131</v>
      </c>
      <c r="R21" s="221"/>
      <c r="S21" s="231">
        <f t="shared" si="0"/>
        <v>4844.8394326151101</v>
      </c>
      <c r="T21" s="221"/>
      <c r="U21" s="231">
        <f t="shared" si="0"/>
        <v>5014.4088127566383</v>
      </c>
      <c r="V21" s="221"/>
      <c r="W21" s="231">
        <f t="shared" si="0"/>
        <v>5189.9131212031207</v>
      </c>
      <c r="X21" s="221"/>
      <c r="Y21" s="231">
        <f t="shared" si="0"/>
        <v>5371.5600804452297</v>
      </c>
      <c r="Z21" s="221"/>
      <c r="AA21" s="231">
        <f t="shared" si="0"/>
        <v>5559.5646832608127</v>
      </c>
      <c r="AB21" s="221"/>
      <c r="AC21" s="231">
        <f t="shared" si="0"/>
        <v>5754.1494471749411</v>
      </c>
      <c r="AD21" s="221"/>
      <c r="AE21" s="231">
        <f t="shared" si="0"/>
        <v>5955.5446778260639</v>
      </c>
      <c r="AF21" s="221"/>
      <c r="AG21" s="231">
        <f t="shared" si="0"/>
        <v>6163.9887415499752</v>
      </c>
    </row>
    <row r="22" spans="1:33" s="222" customFormat="1" ht="15">
      <c r="A22" s="222" t="s">
        <v>842</v>
      </c>
      <c r="C22" s="232"/>
      <c r="E22" s="222">
        <f>SUM(E15:E21)</f>
        <v>763815</v>
      </c>
      <c r="G22" s="222">
        <f>SUM(G15:G21)</f>
        <v>790548.52500000002</v>
      </c>
      <c r="I22" s="222">
        <f>SUM(I15:I21)</f>
        <v>818217.72337499983</v>
      </c>
      <c r="K22" s="222">
        <f>SUM(K15:K21)</f>
        <v>846855.34369312483</v>
      </c>
      <c r="M22" s="222">
        <f>SUM(M15:M21)</f>
        <v>876495.28072238411</v>
      </c>
      <c r="O22" s="222">
        <f>SUM(O15:O21)</f>
        <v>907172.61554766749</v>
      </c>
      <c r="Q22" s="222">
        <f>SUM(Q15:Q21)</f>
        <v>938923.65709183575</v>
      </c>
      <c r="S22" s="222">
        <f>SUM(S15:S21)</f>
        <v>971785.98509004992</v>
      </c>
      <c r="U22" s="222">
        <f>SUM(U15:U21)</f>
        <v>1005798.4945682016</v>
      </c>
      <c r="W22" s="222">
        <f>SUM(W15:W21)</f>
        <v>1041001.4418780885</v>
      </c>
      <c r="Y22" s="222">
        <f>SUM(Y15:Y21)</f>
        <v>1077436.4923438216</v>
      </c>
      <c r="AA22" s="222">
        <f>SUM(AA15:AA21)</f>
        <v>1115146.7695758552</v>
      </c>
      <c r="AC22" s="222">
        <f>SUM(AC15:AC21)</f>
        <v>1154176.9065110101</v>
      </c>
      <c r="AE22" s="222">
        <f>SUM(AE15:AE21)</f>
        <v>1194573.0982388954</v>
      </c>
      <c r="AG22" s="222">
        <f>SUM(AG15:AG21)</f>
        <v>1236383.1566772566</v>
      </c>
    </row>
    <row r="23" spans="1:33" s="210" customFormat="1" ht="14.25">
      <c r="C23" s="232"/>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row>
    <row r="24" spans="1:33" s="210" customFormat="1" ht="14.25">
      <c r="A24" s="210" t="s">
        <v>1668</v>
      </c>
      <c r="C24" s="232"/>
      <c r="E24" s="904"/>
      <c r="F24" s="221"/>
      <c r="G24" s="221">
        <f>E24*$C$24</f>
        <v>0</v>
      </c>
      <c r="H24" s="221"/>
      <c r="I24" s="221">
        <f>G24*$C$24</f>
        <v>0</v>
      </c>
      <c r="J24" s="221"/>
      <c r="K24" s="221">
        <f>I24*$C$24</f>
        <v>0</v>
      </c>
      <c r="L24" s="221"/>
      <c r="M24" s="221">
        <f>K24*$C$24</f>
        <v>0</v>
      </c>
      <c r="N24" s="221"/>
      <c r="O24" s="221">
        <f>M24*$C$24</f>
        <v>0</v>
      </c>
      <c r="P24" s="221"/>
      <c r="Q24" s="221">
        <f>O24*$C$24</f>
        <v>0</v>
      </c>
      <c r="R24" s="221"/>
      <c r="S24" s="221">
        <f>Q24*$C$24</f>
        <v>0</v>
      </c>
      <c r="T24" s="221"/>
      <c r="U24" s="221">
        <f>S24*$C$24</f>
        <v>0</v>
      </c>
      <c r="V24" s="221"/>
      <c r="W24" s="221">
        <f>U24*$C$24</f>
        <v>0</v>
      </c>
      <c r="X24" s="221"/>
      <c r="Y24" s="221">
        <f>W24*$C$24</f>
        <v>0</v>
      </c>
      <c r="Z24" s="221"/>
      <c r="AA24" s="221">
        <f>Y24*$C$24</f>
        <v>0</v>
      </c>
      <c r="AB24" s="221"/>
      <c r="AC24" s="221">
        <f>AA24*$C$24</f>
        <v>0</v>
      </c>
      <c r="AD24" s="221"/>
      <c r="AE24" s="221">
        <f>AC24*$C$24</f>
        <v>0</v>
      </c>
      <c r="AF24" s="221"/>
      <c r="AG24" s="221">
        <f>AE24*$C$24</f>
        <v>0</v>
      </c>
    </row>
    <row r="25" spans="1:33" s="210" customFormat="1" ht="14.25">
      <c r="C25" s="232"/>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row>
    <row r="26" spans="1:33" s="210" customFormat="1" ht="14.25">
      <c r="A26" s="210" t="s">
        <v>1156</v>
      </c>
      <c r="C26" s="236">
        <v>1.0349999999999999</v>
      </c>
      <c r="E26" s="221">
        <f>Application!AC896</f>
        <v>0</v>
      </c>
      <c r="F26" s="221"/>
      <c r="G26" s="221">
        <f>E26*$C$26</f>
        <v>0</v>
      </c>
      <c r="H26" s="221"/>
      <c r="I26" s="221">
        <f>G26*$C$26</f>
        <v>0</v>
      </c>
      <c r="J26" s="221"/>
      <c r="K26" s="221">
        <f>I26*$C$26</f>
        <v>0</v>
      </c>
      <c r="L26" s="221"/>
      <c r="M26" s="221">
        <f>K26*$C$26</f>
        <v>0</v>
      </c>
      <c r="N26" s="221"/>
      <c r="O26" s="221">
        <f>M26*$C$26</f>
        <v>0</v>
      </c>
      <c r="P26" s="221"/>
      <c r="Q26" s="221">
        <f>O26*$C$26</f>
        <v>0</v>
      </c>
      <c r="R26" s="221"/>
      <c r="S26" s="221">
        <f>Q26*$C$26</f>
        <v>0</v>
      </c>
      <c r="T26" s="221"/>
      <c r="U26" s="221">
        <f>S26*$C$26</f>
        <v>0</v>
      </c>
      <c r="V26" s="221"/>
      <c r="W26" s="221">
        <f>U26*$C$26</f>
        <v>0</v>
      </c>
      <c r="X26" s="221"/>
      <c r="Y26" s="221">
        <f>W26*$C$26</f>
        <v>0</v>
      </c>
      <c r="Z26" s="221"/>
      <c r="AA26" s="221">
        <f>Y26*$C$26</f>
        <v>0</v>
      </c>
      <c r="AB26" s="221"/>
      <c r="AC26" s="221">
        <f>AA26*$C$26</f>
        <v>0</v>
      </c>
      <c r="AD26" s="221"/>
      <c r="AE26" s="221">
        <f>AC26*$C$26</f>
        <v>0</v>
      </c>
      <c r="AF26" s="221"/>
      <c r="AG26" s="221">
        <f>AE26*$C$26</f>
        <v>0</v>
      </c>
    </row>
    <row r="27" spans="1:33" s="210" customFormat="1" ht="14.25">
      <c r="A27" s="210" t="s">
        <v>844</v>
      </c>
      <c r="C27" s="236">
        <v>1.03</v>
      </c>
      <c r="E27" s="221">
        <f>Application!AC897</f>
        <v>28000</v>
      </c>
      <c r="F27" s="221"/>
      <c r="G27" s="221">
        <f>E27*$C$27</f>
        <v>28840</v>
      </c>
      <c r="H27" s="221"/>
      <c r="I27" s="221">
        <f>G27*$C$27</f>
        <v>29705.200000000001</v>
      </c>
      <c r="J27" s="221"/>
      <c r="K27" s="221">
        <f>I27*$C$27</f>
        <v>30596.356</v>
      </c>
      <c r="L27" s="221"/>
      <c r="M27" s="221">
        <f>K27*$C$27</f>
        <v>31514.24668</v>
      </c>
      <c r="N27" s="221"/>
      <c r="O27" s="221">
        <f>M27*$C$27</f>
        <v>32459.6740804</v>
      </c>
      <c r="P27" s="221"/>
      <c r="Q27" s="221">
        <f>O27*$C$27</f>
        <v>33433.464302812004</v>
      </c>
      <c r="R27" s="221"/>
      <c r="S27" s="221">
        <f>Q27*$C$27</f>
        <v>34436.468231896368</v>
      </c>
      <c r="T27" s="221"/>
      <c r="U27" s="221">
        <f>S27*$C$27</f>
        <v>35469.562278853256</v>
      </c>
      <c r="V27" s="221"/>
      <c r="W27" s="221">
        <f>U27*$C$27</f>
        <v>36533.649147218857</v>
      </c>
      <c r="X27" s="221"/>
      <c r="Y27" s="221">
        <f>W27*$C$27</f>
        <v>37629.658621635426</v>
      </c>
      <c r="Z27" s="221"/>
      <c r="AA27" s="221">
        <f>Y27*$C$27</f>
        <v>38758.54838028449</v>
      </c>
      <c r="AB27" s="221"/>
      <c r="AC27" s="221">
        <f>AA27*$C$27</f>
        <v>39921.304831693029</v>
      </c>
      <c r="AD27" s="221"/>
      <c r="AE27" s="221">
        <f>AC27*$C$27</f>
        <v>41118.943976643823</v>
      </c>
      <c r="AF27" s="221"/>
      <c r="AG27" s="221">
        <f>AE27*$C$27</f>
        <v>42352.512295943139</v>
      </c>
    </row>
    <row r="28" spans="1:33" s="210" customFormat="1" ht="14.25">
      <c r="A28" s="210" t="s">
        <v>845</v>
      </c>
      <c r="C28" s="236">
        <v>1.03</v>
      </c>
      <c r="E28" s="221">
        <f>Application!AC898</f>
        <v>41650</v>
      </c>
      <c r="F28" s="221"/>
      <c r="G28" s="221">
        <f>E28*$C$28</f>
        <v>42899.5</v>
      </c>
      <c r="H28" s="221"/>
      <c r="I28" s="221">
        <f>G28*$C$28</f>
        <v>44186.485000000001</v>
      </c>
      <c r="J28" s="221"/>
      <c r="K28" s="221">
        <f>I28*$C$28</f>
        <v>45512.079550000002</v>
      </c>
      <c r="L28" s="221"/>
      <c r="M28" s="221">
        <f>K28*$C$28</f>
        <v>46877.441936500007</v>
      </c>
      <c r="N28" s="221"/>
      <c r="O28" s="221">
        <f>M28*$C$28</f>
        <v>48283.765194595006</v>
      </c>
      <c r="P28" s="221"/>
      <c r="Q28" s="221">
        <f>O28*$C$28</f>
        <v>49732.27815043286</v>
      </c>
      <c r="R28" s="221"/>
      <c r="S28" s="221">
        <f>Q28*$C$28</f>
        <v>51224.246494945844</v>
      </c>
      <c r="T28" s="221"/>
      <c r="U28" s="221">
        <f>S28*$C$28</f>
        <v>52760.973889794222</v>
      </c>
      <c r="V28" s="221"/>
      <c r="W28" s="221">
        <f>U28*$C$28</f>
        <v>54343.803106488049</v>
      </c>
      <c r="X28" s="221"/>
      <c r="Y28" s="221">
        <f>W28*$C$28</f>
        <v>55974.117199682689</v>
      </c>
      <c r="Z28" s="221"/>
      <c r="AA28" s="221">
        <f>Y28*$C$28</f>
        <v>57653.34071567317</v>
      </c>
      <c r="AB28" s="221"/>
      <c r="AC28" s="221">
        <f>AA28*$C$28</f>
        <v>59382.940937143365</v>
      </c>
      <c r="AD28" s="221"/>
      <c r="AE28" s="221">
        <f>AC28*$C$28</f>
        <v>61164.429165257665</v>
      </c>
      <c r="AF28" s="221"/>
      <c r="AG28" s="221">
        <f>$E$28</f>
        <v>41650</v>
      </c>
    </row>
    <row r="29" spans="1:33" s="210" customFormat="1" ht="14.25">
      <c r="A29" s="210" t="s">
        <v>1666</v>
      </c>
      <c r="C29" s="236">
        <v>1</v>
      </c>
      <c r="E29" s="221">
        <f>Application!AC899</f>
        <v>7500</v>
      </c>
      <c r="F29" s="221"/>
      <c r="G29" s="221">
        <f>E29*$C$29</f>
        <v>7500</v>
      </c>
      <c r="H29" s="221"/>
      <c r="I29" s="221">
        <f>G29*$C$29</f>
        <v>7500</v>
      </c>
      <c r="J29" s="221"/>
      <c r="K29" s="221">
        <f>I29*$C$29</f>
        <v>7500</v>
      </c>
      <c r="L29" s="221"/>
      <c r="M29" s="221">
        <f>K29*$C$29</f>
        <v>7500</v>
      </c>
      <c r="N29" s="221"/>
      <c r="O29" s="221">
        <f>M29*$C$29</f>
        <v>7500</v>
      </c>
      <c r="P29" s="221"/>
      <c r="Q29" s="221">
        <f>O29*$C$29</f>
        <v>7500</v>
      </c>
      <c r="R29" s="221"/>
      <c r="S29" s="221">
        <f>Q29*$C$29</f>
        <v>7500</v>
      </c>
      <c r="T29" s="221"/>
      <c r="U29" s="221">
        <f>S29*$C$29</f>
        <v>7500</v>
      </c>
      <c r="V29" s="221"/>
      <c r="W29" s="221">
        <f>U29*$C$29</f>
        <v>7500</v>
      </c>
      <c r="X29" s="221"/>
      <c r="Y29" s="221">
        <f>W29*$C$29</f>
        <v>7500</v>
      </c>
      <c r="Z29" s="221"/>
      <c r="AA29" s="221">
        <f>Y29*$C$29</f>
        <v>7500</v>
      </c>
      <c r="AB29" s="221"/>
      <c r="AC29" s="221">
        <f>AA29*$C$29</f>
        <v>7500</v>
      </c>
      <c r="AD29" s="221"/>
      <c r="AE29" s="221">
        <f>AC29*$C$29</f>
        <v>7500</v>
      </c>
      <c r="AF29" s="221"/>
      <c r="AG29" s="221">
        <f>$E$29</f>
        <v>7500</v>
      </c>
    </row>
    <row r="30" spans="1:33" s="210" customFormat="1" ht="14.25">
      <c r="A30" s="210" t="s">
        <v>843</v>
      </c>
      <c r="C30" s="236">
        <v>1.02</v>
      </c>
      <c r="E30" s="221">
        <f>Application!AC900</f>
        <v>2380</v>
      </c>
      <c r="F30" s="221"/>
      <c r="G30" s="221">
        <f>E30*$C$30</f>
        <v>2427.6</v>
      </c>
      <c r="H30" s="221"/>
      <c r="I30" s="221">
        <f>G30*$C$30</f>
        <v>2476.152</v>
      </c>
      <c r="J30" s="221"/>
      <c r="K30" s="221">
        <f>I30*$C$30</f>
        <v>2525.6750400000001</v>
      </c>
      <c r="L30" s="221"/>
      <c r="M30" s="221">
        <f>K30*$C$30</f>
        <v>2576.1885408000003</v>
      </c>
      <c r="N30" s="221"/>
      <c r="O30" s="221">
        <f>M30*$C$30</f>
        <v>2627.7123116160005</v>
      </c>
      <c r="P30" s="221"/>
      <c r="Q30" s="221">
        <f>O30*$C$30</f>
        <v>2680.2665578483206</v>
      </c>
      <c r="R30" s="221"/>
      <c r="S30" s="221">
        <f>Q30*$C$30</f>
        <v>2733.8718890052869</v>
      </c>
      <c r="T30" s="221"/>
      <c r="U30" s="221">
        <f>S30*$C$30</f>
        <v>2788.5493267853926</v>
      </c>
      <c r="V30" s="221"/>
      <c r="W30" s="221">
        <f>U30*$C$30</f>
        <v>2844.3203133211005</v>
      </c>
      <c r="X30" s="221"/>
      <c r="Y30" s="221">
        <f>W30*$C$30</f>
        <v>2901.2067195875225</v>
      </c>
      <c r="Z30" s="221"/>
      <c r="AA30" s="221">
        <f>Y30*$C$30</f>
        <v>2959.230853979273</v>
      </c>
      <c r="AB30" s="221"/>
      <c r="AC30" s="221">
        <f>AA30*$C$30</f>
        <v>3018.4154710588587</v>
      </c>
      <c r="AD30" s="221"/>
      <c r="AE30" s="221">
        <f>AC30*$C$30</f>
        <v>3078.7837804800361</v>
      </c>
      <c r="AF30" s="221"/>
      <c r="AG30" s="221">
        <f>AE30*$C$30</f>
        <v>3140.3594560896368</v>
      </c>
    </row>
    <row r="31" spans="1:33" s="210" customFormat="1" ht="14.25">
      <c r="A31" s="210" t="s">
        <v>1667</v>
      </c>
      <c r="C31" s="236">
        <v>1.02</v>
      </c>
      <c r="E31" s="221">
        <f>Application!AC902</f>
        <v>0</v>
      </c>
      <c r="F31" s="221"/>
      <c r="G31" s="221">
        <f>E31*$C$31</f>
        <v>0</v>
      </c>
      <c r="H31" s="221"/>
      <c r="I31" s="221">
        <f>G31*$C$31</f>
        <v>0</v>
      </c>
      <c r="J31" s="221"/>
      <c r="K31" s="221">
        <f>I31*$C$31</f>
        <v>0</v>
      </c>
      <c r="L31" s="221"/>
      <c r="M31" s="221">
        <f>K31*$C$31</f>
        <v>0</v>
      </c>
      <c r="N31" s="221"/>
      <c r="O31" s="221">
        <f>M31*$C$31</f>
        <v>0</v>
      </c>
      <c r="P31" s="221"/>
      <c r="Q31" s="221">
        <f>O31*$C$31</f>
        <v>0</v>
      </c>
      <c r="R31" s="221"/>
      <c r="S31" s="221">
        <f>Q31*$C$31</f>
        <v>0</v>
      </c>
      <c r="T31" s="221"/>
      <c r="U31" s="221">
        <f>S31*$C$31</f>
        <v>0</v>
      </c>
      <c r="V31" s="221"/>
      <c r="W31" s="221">
        <f>U31*$C$31</f>
        <v>0</v>
      </c>
      <c r="X31" s="221"/>
      <c r="Y31" s="221">
        <f>W31*$C$31</f>
        <v>0</v>
      </c>
      <c r="Z31" s="221"/>
      <c r="AA31" s="221">
        <f>Y31*$C$31</f>
        <v>0</v>
      </c>
      <c r="AB31" s="221"/>
      <c r="AC31" s="221">
        <f>AA31*$C$31</f>
        <v>0</v>
      </c>
      <c r="AD31" s="221"/>
      <c r="AE31" s="221">
        <f>AC31*$C$31</f>
        <v>0</v>
      </c>
      <c r="AF31" s="221"/>
      <c r="AG31" s="221">
        <f>AE31*$C$31</f>
        <v>0</v>
      </c>
    </row>
    <row r="32" spans="1:33" s="210" customFormat="1" ht="14.25">
      <c r="A32" s="210" t="str">
        <f>Application!C903</f>
        <v>Other (Specify):</v>
      </c>
      <c r="C32" s="314">
        <v>1.0349999999999999</v>
      </c>
      <c r="E32" s="221">
        <f>Application!AC903</f>
        <v>0</v>
      </c>
      <c r="F32" s="221"/>
      <c r="G32" s="221">
        <f>E32*$C$32</f>
        <v>0</v>
      </c>
      <c r="H32" s="221"/>
      <c r="I32" s="221">
        <f>G32*$C$32</f>
        <v>0</v>
      </c>
      <c r="J32" s="221"/>
      <c r="K32" s="221">
        <f>I32*$C$32</f>
        <v>0</v>
      </c>
      <c r="L32" s="221"/>
      <c r="M32" s="221">
        <f>K32*$C$32</f>
        <v>0</v>
      </c>
      <c r="N32" s="221"/>
      <c r="O32" s="221">
        <f>M32*$C$32</f>
        <v>0</v>
      </c>
      <c r="P32" s="221"/>
      <c r="Q32" s="221">
        <f>O32*$C$32</f>
        <v>0</v>
      </c>
      <c r="R32" s="221"/>
      <c r="S32" s="221">
        <f>Q32*$C$32</f>
        <v>0</v>
      </c>
      <c r="T32" s="221"/>
      <c r="U32" s="221">
        <f>S32*$C$32</f>
        <v>0</v>
      </c>
      <c r="V32" s="221"/>
      <c r="W32" s="221">
        <f>U32*$C$32</f>
        <v>0</v>
      </c>
      <c r="X32" s="221"/>
      <c r="Y32" s="221">
        <f>W32*$C$32</f>
        <v>0</v>
      </c>
      <c r="Z32" s="221"/>
      <c r="AA32" s="221">
        <f>Y32*$C$32</f>
        <v>0</v>
      </c>
      <c r="AB32" s="221"/>
      <c r="AC32" s="221">
        <f>AA32*$C$32</f>
        <v>0</v>
      </c>
      <c r="AD32" s="221"/>
      <c r="AE32" s="221">
        <f>AC32*$C$32</f>
        <v>0</v>
      </c>
      <c r="AF32" s="221"/>
      <c r="AG32" s="221">
        <f>AE32*$C$32</f>
        <v>0</v>
      </c>
    </row>
    <row r="33" spans="1:33" s="210" customFormat="1" ht="14.25">
      <c r="A33" s="210" t="str">
        <f>Application!C904</f>
        <v>Other (Specify):</v>
      </c>
      <c r="C33" s="314">
        <v>1.0349999999999999</v>
      </c>
      <c r="E33" s="221">
        <f>Application!AC904</f>
        <v>0</v>
      </c>
      <c r="F33" s="221"/>
      <c r="G33" s="221">
        <f>E33*$C$33</f>
        <v>0</v>
      </c>
      <c r="H33" s="221"/>
      <c r="I33" s="221">
        <f>G33*$C$33</f>
        <v>0</v>
      </c>
      <c r="J33" s="221"/>
      <c r="K33" s="221">
        <f>I33*$C$33</f>
        <v>0</v>
      </c>
      <c r="L33" s="221"/>
      <c r="M33" s="221">
        <f>K33*$C$33</f>
        <v>0</v>
      </c>
      <c r="N33" s="221"/>
      <c r="O33" s="221">
        <f>M33*$C$33</f>
        <v>0</v>
      </c>
      <c r="P33" s="221"/>
      <c r="Q33" s="221">
        <f>O33*$C$33</f>
        <v>0</v>
      </c>
      <c r="R33" s="221"/>
      <c r="S33" s="221">
        <f>Q33*$C$33</f>
        <v>0</v>
      </c>
      <c r="T33" s="221"/>
      <c r="U33" s="221">
        <f>S33*$C$33</f>
        <v>0</v>
      </c>
      <c r="V33" s="221"/>
      <c r="W33" s="221">
        <f>U33*$C$33</f>
        <v>0</v>
      </c>
      <c r="X33" s="221"/>
      <c r="Y33" s="221">
        <f>W33*$C$33</f>
        <v>0</v>
      </c>
      <c r="Z33" s="221"/>
      <c r="AA33" s="221">
        <f>Y33*$C$33</f>
        <v>0</v>
      </c>
      <c r="AB33" s="221"/>
      <c r="AC33" s="221">
        <f>AA33*$C$33</f>
        <v>0</v>
      </c>
      <c r="AD33" s="221"/>
      <c r="AE33" s="221">
        <f>AC33*$C$33</f>
        <v>0</v>
      </c>
      <c r="AF33" s="221"/>
      <c r="AG33" s="221">
        <f>AE33*$C$33</f>
        <v>0</v>
      </c>
    </row>
    <row r="34" spans="1:33" s="210" customFormat="1" ht="14.25">
      <c r="C34" s="220"/>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row>
    <row r="35" spans="1:33" s="222" customFormat="1" ht="15">
      <c r="A35" s="222" t="s">
        <v>177</v>
      </c>
      <c r="C35" s="223"/>
      <c r="E35" s="222">
        <f>SUM(E22:E33)</f>
        <v>843345</v>
      </c>
      <c r="G35" s="222">
        <f>SUM(G22:G33)</f>
        <v>872215.625</v>
      </c>
      <c r="I35" s="222">
        <f>SUM(I22:I33)</f>
        <v>902085.56037499977</v>
      </c>
      <c r="K35" s="222">
        <f>SUM(K22:K33)</f>
        <v>932989.45428312488</v>
      </c>
      <c r="M35" s="222">
        <f>SUM(M22:M33)</f>
        <v>964963.15787968412</v>
      </c>
      <c r="O35" s="222">
        <f>SUM(O22:O33)</f>
        <v>998043.76713427855</v>
      </c>
      <c r="Q35" s="222">
        <f>SUM(Q22:Q33)</f>
        <v>1032269.6661029289</v>
      </c>
      <c r="S35" s="222">
        <f>SUM(S22:S33)</f>
        <v>1067680.5717058973</v>
      </c>
      <c r="U35" s="222">
        <f>SUM(U22:U33)</f>
        <v>1104317.5800636346</v>
      </c>
      <c r="W35" s="222">
        <f>SUM(W22:W33)</f>
        <v>1142223.2144451165</v>
      </c>
      <c r="Y35" s="222">
        <f>SUM(Y22:Y33)</f>
        <v>1181441.4748847273</v>
      </c>
      <c r="AA35" s="222">
        <f>SUM(AA22:AA33)</f>
        <v>1222017.8895257923</v>
      </c>
      <c r="AC35" s="222">
        <f>SUM(AC22:AC33)</f>
        <v>1263999.5677509052</v>
      </c>
      <c r="AE35" s="222">
        <f>SUM(AE22:AE33)</f>
        <v>1307435.2551612768</v>
      </c>
      <c r="AG35" s="222">
        <f>SUM(AG22:AG33)</f>
        <v>1331026.0284292893</v>
      </c>
    </row>
    <row r="36" spans="1:33" s="210" customFormat="1" ht="14.25">
      <c r="C36" s="220"/>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row>
    <row r="37" spans="1:33" s="222" customFormat="1" ht="15">
      <c r="A37" s="222" t="s">
        <v>846</v>
      </c>
      <c r="C37" s="223"/>
      <c r="E37" s="222">
        <f>E11-E35</f>
        <v>1283634.6059999997</v>
      </c>
      <c r="G37" s="222">
        <f>G11-G35</f>
        <v>1307938.4711500001</v>
      </c>
      <c r="I37" s="222">
        <f>I11-I35</f>
        <v>1332572.3881787495</v>
      </c>
      <c r="K37" s="222">
        <f>K11-K35</f>
        <v>1357534.9429844678</v>
      </c>
      <c r="M37" s="222">
        <f>M11-M35</f>
        <v>1382824.3493195982</v>
      </c>
      <c r="O37" s="222">
        <f>O11-O35</f>
        <v>1408438.4277449856</v>
      </c>
      <c r="Q37" s="222">
        <f>Q11-Q35</f>
        <v>1434374.5836483166</v>
      </c>
      <c r="S37" s="222">
        <f>S11-S35</f>
        <v>1460629.7842891295</v>
      </c>
      <c r="U37" s="222">
        <f>U11-U35</f>
        <v>1487200.5348312673</v>
      </c>
      <c r="W37" s="222">
        <f>W11-W35</f>
        <v>1514082.8533221581</v>
      </c>
      <c r="Y37" s="222">
        <f>Y11-Y35</f>
        <v>1541272.2445767282</v>
      </c>
      <c r="AA37" s="222">
        <f>AA11-AA35</f>
        <v>1568763.6729221998</v>
      </c>
      <c r="AC37" s="222">
        <f>AC11-AC35</f>
        <v>1596551.5337582859</v>
      </c>
      <c r="AE37" s="222">
        <f>AE11-AE35</f>
        <v>1624629.6238856439</v>
      </c>
      <c r="AG37" s="222">
        <f>AG11-AG35</f>
        <v>1674340.4725938044</v>
      </c>
    </row>
    <row r="38" spans="1:33" s="210" customFormat="1" ht="14.25">
      <c r="C38" s="220"/>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row>
    <row r="39" spans="1:33" s="210" customFormat="1" ht="15">
      <c r="A39" s="218" t="s">
        <v>857</v>
      </c>
      <c r="C39" s="220"/>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row>
    <row r="40" spans="1:33" s="210" customFormat="1" ht="14.25">
      <c r="A40" s="224" t="str">
        <f>Application!C635</f>
        <v>Citibank</v>
      </c>
      <c r="B40" s="225"/>
      <c r="C40" s="220"/>
      <c r="E40" s="221">
        <f>Application!AF635</f>
        <v>1036919</v>
      </c>
      <c r="F40" s="221"/>
      <c r="G40" s="221">
        <f>$E$40</f>
        <v>1036919</v>
      </c>
      <c r="H40" s="221"/>
      <c r="I40" s="221">
        <f>$E$40</f>
        <v>1036919</v>
      </c>
      <c r="J40" s="221"/>
      <c r="K40" s="221">
        <f>$E$40</f>
        <v>1036919</v>
      </c>
      <c r="L40" s="221"/>
      <c r="M40" s="221">
        <f>$E$40</f>
        <v>1036919</v>
      </c>
      <c r="N40" s="221"/>
      <c r="O40" s="221">
        <f>$E$40</f>
        <v>1036919</v>
      </c>
      <c r="P40" s="221"/>
      <c r="Q40" s="221">
        <f>$E$40</f>
        <v>1036919</v>
      </c>
      <c r="R40" s="221"/>
      <c r="S40" s="221">
        <f>$E$40</f>
        <v>1036919</v>
      </c>
      <c r="T40" s="221"/>
      <c r="U40" s="221">
        <f>$E$40</f>
        <v>1036919</v>
      </c>
      <c r="V40" s="221"/>
      <c r="W40" s="221">
        <f>$E$40</f>
        <v>1036919</v>
      </c>
      <c r="X40" s="221"/>
      <c r="Y40" s="221">
        <f>$E$40</f>
        <v>1036919</v>
      </c>
      <c r="Z40" s="221"/>
      <c r="AA40" s="221">
        <f>$E$40</f>
        <v>1036919</v>
      </c>
      <c r="AB40" s="221"/>
      <c r="AC40" s="221">
        <f>$E$40</f>
        <v>1036919</v>
      </c>
      <c r="AD40" s="221"/>
      <c r="AE40" s="221">
        <f>$E$40</f>
        <v>1036919</v>
      </c>
      <c r="AF40" s="221"/>
      <c r="AG40" s="221">
        <f>$E$40</f>
        <v>1036919</v>
      </c>
    </row>
    <row r="41" spans="1:33" s="210" customFormat="1" ht="14.25">
      <c r="A41" s="224"/>
      <c r="B41" s="225"/>
      <c r="C41" s="220"/>
      <c r="E41" s="221"/>
      <c r="F41" s="221"/>
      <c r="G41" s="221">
        <f>$E$41</f>
        <v>0</v>
      </c>
      <c r="H41" s="221"/>
      <c r="I41" s="221">
        <f>$E$41</f>
        <v>0</v>
      </c>
      <c r="J41" s="221"/>
      <c r="K41" s="221">
        <f>$E$41</f>
        <v>0</v>
      </c>
      <c r="L41" s="221"/>
      <c r="M41" s="221">
        <f>$E$41</f>
        <v>0</v>
      </c>
      <c r="N41" s="221"/>
      <c r="O41" s="221">
        <f>$E$41</f>
        <v>0</v>
      </c>
      <c r="P41" s="221"/>
      <c r="Q41" s="221">
        <f>$E$41</f>
        <v>0</v>
      </c>
      <c r="R41" s="221"/>
      <c r="S41" s="221">
        <f>$E$41</f>
        <v>0</v>
      </c>
      <c r="T41" s="221"/>
      <c r="U41" s="221">
        <f>$E$41</f>
        <v>0</v>
      </c>
      <c r="V41" s="221"/>
      <c r="W41" s="221">
        <f>$E$41</f>
        <v>0</v>
      </c>
      <c r="X41" s="221"/>
      <c r="Y41" s="221">
        <f>$E$41</f>
        <v>0</v>
      </c>
      <c r="Z41" s="221"/>
      <c r="AA41" s="221">
        <f>$E$41</f>
        <v>0</v>
      </c>
      <c r="AB41" s="221"/>
      <c r="AC41" s="221">
        <f>$E$41</f>
        <v>0</v>
      </c>
      <c r="AD41" s="221"/>
      <c r="AE41" s="221">
        <f>$E$41</f>
        <v>0</v>
      </c>
      <c r="AF41" s="221"/>
      <c r="AG41" s="221">
        <f>$E$41</f>
        <v>0</v>
      </c>
    </row>
    <row r="42" spans="1:33" s="210" customFormat="1" ht="14.25">
      <c r="A42" s="224"/>
      <c r="B42" s="225"/>
      <c r="C42" s="220"/>
      <c r="E42" s="231"/>
      <c r="F42" s="221"/>
      <c r="G42" s="231">
        <f>$E$42</f>
        <v>0</v>
      </c>
      <c r="H42" s="221"/>
      <c r="I42" s="231">
        <f>$E$42</f>
        <v>0</v>
      </c>
      <c r="J42" s="221"/>
      <c r="K42" s="231">
        <f>$E$42</f>
        <v>0</v>
      </c>
      <c r="L42" s="221"/>
      <c r="M42" s="231">
        <f>$E$42</f>
        <v>0</v>
      </c>
      <c r="N42" s="221"/>
      <c r="O42" s="231">
        <f>$E$42</f>
        <v>0</v>
      </c>
      <c r="P42" s="221"/>
      <c r="Q42" s="231">
        <f>$E$42</f>
        <v>0</v>
      </c>
      <c r="R42" s="221"/>
      <c r="S42" s="231">
        <f>$E$42</f>
        <v>0</v>
      </c>
      <c r="T42" s="221"/>
      <c r="U42" s="231">
        <f>$E$42</f>
        <v>0</v>
      </c>
      <c r="V42" s="221"/>
      <c r="W42" s="231">
        <f>$E$42</f>
        <v>0</v>
      </c>
      <c r="X42" s="221"/>
      <c r="Y42" s="231">
        <f>$E$42</f>
        <v>0</v>
      </c>
      <c r="Z42" s="221"/>
      <c r="AA42" s="231">
        <f>$E$42</f>
        <v>0</v>
      </c>
      <c r="AB42" s="221"/>
      <c r="AC42" s="231">
        <f>$E$42</f>
        <v>0</v>
      </c>
      <c r="AD42" s="221"/>
      <c r="AE42" s="231">
        <f>$E$42</f>
        <v>0</v>
      </c>
      <c r="AF42" s="221"/>
      <c r="AG42" s="231">
        <f>$E$42</f>
        <v>0</v>
      </c>
    </row>
    <row r="43" spans="1:33" s="222" customFormat="1" ht="15">
      <c r="A43" s="222" t="s">
        <v>847</v>
      </c>
      <c r="C43" s="223"/>
      <c r="E43" s="222">
        <f>SUM(E40:E42)</f>
        <v>1036919</v>
      </c>
      <c r="G43" s="222">
        <f>SUM(G40:G42)</f>
        <v>1036919</v>
      </c>
      <c r="I43" s="222">
        <f>SUM(I40:I42)</f>
        <v>1036919</v>
      </c>
      <c r="K43" s="222">
        <f>SUM(K40:K42)</f>
        <v>1036919</v>
      </c>
      <c r="M43" s="222">
        <f>SUM(M40:M42)</f>
        <v>1036919</v>
      </c>
      <c r="O43" s="222">
        <f>SUM(O40:O42)</f>
        <v>1036919</v>
      </c>
      <c r="Q43" s="222">
        <f>SUM(Q40:Q42)</f>
        <v>1036919</v>
      </c>
      <c r="S43" s="222">
        <f>SUM(S40:S42)</f>
        <v>1036919</v>
      </c>
      <c r="U43" s="222">
        <f>SUM(U40:U42)</f>
        <v>1036919</v>
      </c>
      <c r="W43" s="222">
        <f>SUM(W40:W42)</f>
        <v>1036919</v>
      </c>
      <c r="Y43" s="222">
        <f>SUM(Y40:Y42)</f>
        <v>1036919</v>
      </c>
      <c r="AA43" s="222">
        <f>SUM(AA40:AA42)</f>
        <v>1036919</v>
      </c>
      <c r="AC43" s="222">
        <f>SUM(AC40:AC42)</f>
        <v>1036919</v>
      </c>
      <c r="AE43" s="222">
        <f>SUM(AE40:AE42)</f>
        <v>1036919</v>
      </c>
      <c r="AG43" s="222">
        <f>SUM(AG40:AG42)</f>
        <v>1036919</v>
      </c>
    </row>
    <row r="44" spans="1:33" s="210" customFormat="1" ht="14.25">
      <c r="C44" s="220"/>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row>
    <row r="45" spans="1:33" s="222" customFormat="1" ht="15">
      <c r="A45" s="222" t="s">
        <v>848</v>
      </c>
      <c r="C45" s="223"/>
      <c r="E45" s="222">
        <f>E37-E43</f>
        <v>246715.60599999968</v>
      </c>
      <c r="G45" s="222">
        <f>G37-G43</f>
        <v>271019.47115000011</v>
      </c>
      <c r="I45" s="222">
        <f>I37-I43</f>
        <v>295653.38817874948</v>
      </c>
      <c r="K45" s="222">
        <f>K37-K43</f>
        <v>320615.94298446784</v>
      </c>
      <c r="M45" s="222">
        <f>M37-M43</f>
        <v>345905.34931959817</v>
      </c>
      <c r="O45" s="222">
        <f>O37-O43</f>
        <v>371519.42774498556</v>
      </c>
      <c r="Q45" s="222">
        <f>Q37-Q43</f>
        <v>397455.58364831656</v>
      </c>
      <c r="S45" s="222">
        <f>S37-S43</f>
        <v>423710.78428912954</v>
      </c>
      <c r="U45" s="222">
        <f>U37-U43</f>
        <v>450281.53483126732</v>
      </c>
      <c r="W45" s="222">
        <f>W37-W43</f>
        <v>477163.8533221581</v>
      </c>
      <c r="Y45" s="222">
        <f>Y37-Y43</f>
        <v>504353.2445767282</v>
      </c>
      <c r="AA45" s="222">
        <f>AA37-AA43</f>
        <v>531844.67292219982</v>
      </c>
      <c r="AC45" s="222">
        <f>AC37-AC43</f>
        <v>559632.53375828592</v>
      </c>
      <c r="AE45" s="222">
        <f>AE37-AE43</f>
        <v>587710.6238856439</v>
      </c>
      <c r="AG45" s="222">
        <f>AG37-AG43</f>
        <v>637421.47259380436</v>
      </c>
    </row>
    <row r="46" spans="1:33" s="210" customFormat="1" ht="14.25">
      <c r="C46" s="220"/>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row>
    <row r="47" spans="1:33" s="226" customFormat="1" ht="14.25">
      <c r="A47" s="226" t="s">
        <v>850</v>
      </c>
      <c r="C47" s="220"/>
      <c r="E47" s="226">
        <f>E45/(E4+E6+E8)</f>
        <v>0.11019400117327958</v>
      </c>
      <c r="G47" s="226">
        <f>G45/(G4+G6+G8)</f>
        <v>0.11809675355077442</v>
      </c>
      <c r="I47" s="226">
        <f>I45/(I4+I6+I8)</f>
        <v>0.12568876548563038</v>
      </c>
      <c r="K47" s="226">
        <f>K45/(K4+K6+K8)</f>
        <v>0.13297648507233123</v>
      </c>
      <c r="M47" s="226">
        <f>M45/(M4+M6+M8)</f>
        <v>0.13996619221410425</v>
      </c>
      <c r="O47" s="226">
        <f>O45/(O4+O6+O8)</f>
        <v>0.14666400261908355</v>
      </c>
      <c r="Q47" s="226">
        <f>Q45/(Q4+Q6+Q8)</f>
        <v>0.15307587169797415</v>
      </c>
      <c r="S47" s="226">
        <f>S45/(S4+S6+S8)</f>
        <v>0.15920759836560813</v>
      </c>
      <c r="U47" s="226">
        <f>U45/(U4+U6+U8)</f>
        <v>0.16506482874872744</v>
      </c>
      <c r="W47" s="226">
        <f>W45/(W4+W6+W8)</f>
        <v>0.17065305980227277</v>
      </c>
      <c r="Y47" s="226">
        <f>Y45/(Y4+Y6+Y8)</f>
        <v>0.17597764283639272</v>
      </c>
      <c r="AA47" s="226">
        <f>AA45/(AA4+AA6+AA8)</f>
        <v>0.18104378695635118</v>
      </c>
      <c r="AC47" s="226">
        <f>AC45/(AC4+AC6+AC8)</f>
        <v>0.18585656241743387</v>
      </c>
      <c r="AE47" s="226">
        <f>AE45/(AE4+AE6+AE8)</f>
        <v>0.19042090389692937</v>
      </c>
      <c r="AG47" s="226">
        <f>AG45/(AG4+AG6+AG8)</f>
        <v>0.2014901892880081</v>
      </c>
    </row>
    <row r="48" spans="1:33" s="226" customFormat="1" ht="14.25">
      <c r="A48" s="226" t="s">
        <v>851</v>
      </c>
      <c r="C48" s="220"/>
      <c r="E48" s="226">
        <f>E45/E43</f>
        <v>0.23793141605081947</v>
      </c>
      <c r="G48" s="226">
        <f>G45/G43</f>
        <v>0.26136995382474437</v>
      </c>
      <c r="I48" s="226">
        <f>I45/I43</f>
        <v>0.28512679213974235</v>
      </c>
      <c r="K48" s="226">
        <f>K45/K43</f>
        <v>0.30920056724244405</v>
      </c>
      <c r="M48" s="226">
        <f>M45/M43</f>
        <v>0.33358955648377375</v>
      </c>
      <c r="O48" s="226">
        <f>O45/O43</f>
        <v>0.35829165802245455</v>
      </c>
      <c r="Q48" s="226">
        <f>Q45/Q43</f>
        <v>0.38330436962609093</v>
      </c>
      <c r="S48" s="226">
        <f>S45/S43</f>
        <v>0.40862476653348001</v>
      </c>
      <c r="U48" s="226">
        <f>U45/U43</f>
        <v>0.43424947834041744</v>
      </c>
      <c r="W48" s="226">
        <f>W45/W43</f>
        <v>0.46017466486982889</v>
      </c>
      <c r="Y48" s="226">
        <f>Y45/Y43</f>
        <v>0.48639599098553332</v>
      </c>
      <c r="AA48" s="226">
        <f>AA45/AA43</f>
        <v>0.51290860030744911</v>
      </c>
      <c r="AC48" s="226">
        <f>AC45/AC43</f>
        <v>0.5397070877843746</v>
      </c>
      <c r="AE48" s="226">
        <f>AE45/AE43</f>
        <v>0.56678547107888266</v>
      </c>
      <c r="AG48" s="226">
        <f>AG45/AG43</f>
        <v>0.61472638903694921</v>
      </c>
    </row>
    <row r="49" spans="1:34" s="227" customFormat="1" ht="14.25">
      <c r="A49" s="227" t="s">
        <v>849</v>
      </c>
      <c r="C49" s="228"/>
      <c r="E49" s="227">
        <f>E37/E43</f>
        <v>1.2379314160508195</v>
      </c>
      <c r="G49" s="227">
        <f>G37/G43</f>
        <v>1.2613699538247445</v>
      </c>
      <c r="I49" s="227">
        <f>I37/I43</f>
        <v>1.2851267921397422</v>
      </c>
      <c r="K49" s="227">
        <f>K37/K43</f>
        <v>1.309200567242444</v>
      </c>
      <c r="M49" s="227">
        <f>M37/M43</f>
        <v>1.3335895564837736</v>
      </c>
      <c r="O49" s="227">
        <f>O37/O43</f>
        <v>1.3582916580224547</v>
      </c>
      <c r="Q49" s="227">
        <f>Q37/Q43</f>
        <v>1.3833043696260909</v>
      </c>
      <c r="S49" s="227">
        <f>S37/S43</f>
        <v>1.4086247665334799</v>
      </c>
      <c r="U49" s="227">
        <f>U37/U43</f>
        <v>1.4342494783404174</v>
      </c>
      <c r="W49" s="227">
        <f>W37/W43</f>
        <v>1.4601746648698288</v>
      </c>
      <c r="Y49" s="227">
        <f>Y37/Y43</f>
        <v>1.4863959909855333</v>
      </c>
      <c r="AA49" s="227">
        <f>AA37/AA43</f>
        <v>1.512908600307449</v>
      </c>
      <c r="AC49" s="227">
        <f>AC37/AC43</f>
        <v>1.5397070877843746</v>
      </c>
      <c r="AE49" s="227">
        <f>AE37/AE43</f>
        <v>1.5667854710788827</v>
      </c>
      <c r="AG49" s="227">
        <f>AG37/AG43</f>
        <v>1.6147263890369492</v>
      </c>
    </row>
    <row r="50" spans="1:34" s="210" customFormat="1" ht="14.25">
      <c r="A50" s="229"/>
      <c r="B50" s="229"/>
      <c r="C50" s="230"/>
      <c r="D50" s="229"/>
      <c r="E50" s="231"/>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row>
    <row r="51" spans="1:34" s="3" customFormat="1">
      <c r="A51" s="3" t="s">
        <v>859</v>
      </c>
      <c r="C51" s="955"/>
      <c r="E51" s="954"/>
      <c r="F51" s="954"/>
      <c r="G51" s="954"/>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row>
    <row r="52" spans="1:34" s="3" customFormat="1">
      <c r="A52" s="2702" t="s">
        <v>1181</v>
      </c>
      <c r="B52" s="2702"/>
      <c r="C52" s="2702"/>
      <c r="D52" s="954"/>
      <c r="E52" s="954"/>
      <c r="F52" s="954"/>
      <c r="G52" s="954"/>
      <c r="H52" s="954"/>
      <c r="I52" s="954"/>
      <c r="J52" s="954"/>
      <c r="K52" s="954"/>
      <c r="L52" s="954"/>
      <c r="M52" s="954"/>
      <c r="N52" s="954"/>
      <c r="O52" s="954"/>
      <c r="P52" s="954"/>
      <c r="Q52" s="954"/>
      <c r="R52" s="954"/>
      <c r="S52" s="954"/>
      <c r="T52" s="954"/>
      <c r="U52" s="954"/>
      <c r="V52" s="954"/>
      <c r="W52" s="954"/>
      <c r="X52" s="954"/>
      <c r="Y52" s="954"/>
      <c r="Z52" s="954"/>
      <c r="AA52" s="954"/>
      <c r="AB52" s="954"/>
      <c r="AC52" s="954"/>
      <c r="AD52" s="954"/>
      <c r="AE52" s="954"/>
      <c r="AF52" s="954"/>
      <c r="AG52" s="954"/>
    </row>
    <row r="53" spans="1:34" s="956" customFormat="1">
      <c r="A53" s="956" t="s">
        <v>853</v>
      </c>
      <c r="C53" s="1264">
        <v>1.03</v>
      </c>
      <c r="E53" s="957">
        <v>17850</v>
      </c>
      <c r="G53" s="954">
        <f>E53*$C$53</f>
        <v>18385.5</v>
      </c>
      <c r="I53" s="954">
        <f>G53*$C$53</f>
        <v>18937.064999999999</v>
      </c>
      <c r="K53" s="954">
        <f>I53*$C$53</f>
        <v>19505.176950000001</v>
      </c>
      <c r="M53" s="954">
        <f>K53*$C$53</f>
        <v>20090.332258500002</v>
      </c>
      <c r="O53" s="954">
        <f>M53*$C$53</f>
        <v>20693.042226255002</v>
      </c>
      <c r="Q53" s="954">
        <f>O53*$C$53</f>
        <v>21313.833493042654</v>
      </c>
      <c r="S53" s="954">
        <f>Q53*$C$53</f>
        <v>21953.248497833934</v>
      </c>
      <c r="U53" s="954">
        <f>S53*$C$53</f>
        <v>22611.845952768952</v>
      </c>
      <c r="W53" s="954">
        <f>U53*$C$53</f>
        <v>23290.201331352022</v>
      </c>
      <c r="Y53" s="954">
        <f>W53*$C$53</f>
        <v>23988.907371292582</v>
      </c>
      <c r="AA53" s="954">
        <f>Y53*$C$53</f>
        <v>24708.57459243136</v>
      </c>
      <c r="AC53" s="954">
        <f>AA53*$C$53</f>
        <v>25449.831830204301</v>
      </c>
      <c r="AE53" s="954">
        <f>AC53*$C$53</f>
        <v>26213.326785110432</v>
      </c>
      <c r="AG53" s="954">
        <f>AE53*$C$53</f>
        <v>26999.726588663747</v>
      </c>
    </row>
    <row r="54" spans="1:34" s="3" customFormat="1">
      <c r="A54" s="3" t="s">
        <v>2791</v>
      </c>
      <c r="C54" s="1265">
        <v>1.03</v>
      </c>
      <c r="E54" s="958">
        <v>10150</v>
      </c>
      <c r="F54" s="954"/>
      <c r="G54" s="954">
        <f t="shared" ref="G54:AG57" si="1">E54*$C$53</f>
        <v>10454.5</v>
      </c>
      <c r="H54" s="954"/>
      <c r="I54" s="954">
        <f t="shared" si="1"/>
        <v>10768.135</v>
      </c>
      <c r="J54" s="954"/>
      <c r="K54" s="954">
        <f t="shared" si="1"/>
        <v>11091.179050000001</v>
      </c>
      <c r="L54" s="954"/>
      <c r="M54" s="954">
        <f t="shared" si="1"/>
        <v>11423.914421500001</v>
      </c>
      <c r="N54" s="954"/>
      <c r="O54" s="954">
        <f t="shared" si="1"/>
        <v>11766.631854145002</v>
      </c>
      <c r="P54" s="954"/>
      <c r="Q54" s="954">
        <f t="shared" si="1"/>
        <v>12119.630809769353</v>
      </c>
      <c r="R54" s="954"/>
      <c r="S54" s="954">
        <f t="shared" si="1"/>
        <v>12483.219734062433</v>
      </c>
      <c r="T54" s="954"/>
      <c r="U54" s="954">
        <f t="shared" si="1"/>
        <v>12857.716326084306</v>
      </c>
      <c r="V54" s="954"/>
      <c r="W54" s="954">
        <f t="shared" si="1"/>
        <v>13243.447815866835</v>
      </c>
      <c r="X54" s="954"/>
      <c r="Y54" s="954">
        <f t="shared" si="1"/>
        <v>13640.751250342841</v>
      </c>
      <c r="Z54" s="954"/>
      <c r="AA54" s="954">
        <f t="shared" si="1"/>
        <v>14049.973787853127</v>
      </c>
      <c r="AB54" s="954"/>
      <c r="AC54" s="954">
        <f t="shared" si="1"/>
        <v>14471.473001488721</v>
      </c>
      <c r="AD54" s="954"/>
      <c r="AE54" s="954">
        <f t="shared" si="1"/>
        <v>14905.617191533383</v>
      </c>
      <c r="AF54" s="954"/>
      <c r="AG54" s="954">
        <f t="shared" si="1"/>
        <v>15352.785707279385</v>
      </c>
      <c r="AH54" s="954"/>
    </row>
    <row r="55" spans="1:34" s="3" customFormat="1">
      <c r="A55" s="3" t="s">
        <v>2780</v>
      </c>
      <c r="C55" s="1265">
        <v>1.03</v>
      </c>
      <c r="E55" s="958">
        <v>7000</v>
      </c>
      <c r="F55" s="954"/>
      <c r="G55" s="954">
        <f t="shared" si="1"/>
        <v>7210</v>
      </c>
      <c r="H55" s="954"/>
      <c r="I55" s="954">
        <f t="shared" si="1"/>
        <v>7426.3</v>
      </c>
      <c r="J55" s="954"/>
      <c r="K55" s="954">
        <f t="shared" si="1"/>
        <v>7649.0889999999999</v>
      </c>
      <c r="L55" s="954"/>
      <c r="M55" s="954">
        <f t="shared" si="1"/>
        <v>7878.56167</v>
      </c>
      <c r="N55" s="954"/>
      <c r="O55" s="954">
        <f t="shared" si="1"/>
        <v>8114.9185201</v>
      </c>
      <c r="P55" s="954"/>
      <c r="Q55" s="954">
        <f t="shared" si="1"/>
        <v>8358.3660757030011</v>
      </c>
      <c r="R55" s="954"/>
      <c r="S55" s="954">
        <f t="shared" si="1"/>
        <v>8609.1170579740919</v>
      </c>
      <c r="T55" s="954"/>
      <c r="U55" s="954">
        <f t="shared" si="1"/>
        <v>8867.3905697133141</v>
      </c>
      <c r="V55" s="954"/>
      <c r="W55" s="954">
        <f t="shared" si="1"/>
        <v>9133.4122868047143</v>
      </c>
      <c r="X55" s="954"/>
      <c r="Y55" s="954">
        <f t="shared" si="1"/>
        <v>9407.4146554088566</v>
      </c>
      <c r="Z55" s="954"/>
      <c r="AA55" s="954">
        <f t="shared" si="1"/>
        <v>9689.6370950711225</v>
      </c>
      <c r="AB55" s="954"/>
      <c r="AC55" s="954">
        <f t="shared" si="1"/>
        <v>9980.3262079232572</v>
      </c>
      <c r="AD55" s="954"/>
      <c r="AE55" s="954">
        <f t="shared" si="1"/>
        <v>10279.735994160956</v>
      </c>
      <c r="AF55" s="954"/>
      <c r="AG55" s="954">
        <f t="shared" si="1"/>
        <v>10588.128073985785</v>
      </c>
      <c r="AH55" s="954"/>
    </row>
    <row r="56" spans="1:34" s="3" customFormat="1">
      <c r="A56" s="959"/>
      <c r="B56" s="959"/>
      <c r="C56" s="952"/>
      <c r="E56" s="958"/>
      <c r="F56" s="954"/>
      <c r="G56" s="954">
        <f t="shared" si="1"/>
        <v>0</v>
      </c>
      <c r="H56" s="954"/>
      <c r="I56" s="954">
        <f t="shared" si="1"/>
        <v>0</v>
      </c>
      <c r="J56" s="954"/>
      <c r="K56" s="954">
        <f t="shared" si="1"/>
        <v>0</v>
      </c>
      <c r="L56" s="954"/>
      <c r="M56" s="954">
        <f t="shared" si="1"/>
        <v>0</v>
      </c>
      <c r="N56" s="954"/>
      <c r="O56" s="954">
        <f t="shared" si="1"/>
        <v>0</v>
      </c>
      <c r="P56" s="954"/>
      <c r="Q56" s="954">
        <f t="shared" si="1"/>
        <v>0</v>
      </c>
      <c r="R56" s="954"/>
      <c r="S56" s="954">
        <f t="shared" si="1"/>
        <v>0</v>
      </c>
      <c r="T56" s="954"/>
      <c r="U56" s="954">
        <f t="shared" si="1"/>
        <v>0</v>
      </c>
      <c r="V56" s="954"/>
      <c r="W56" s="954">
        <f t="shared" si="1"/>
        <v>0</v>
      </c>
      <c r="X56" s="954"/>
      <c r="Y56" s="954">
        <f t="shared" si="1"/>
        <v>0</v>
      </c>
      <c r="Z56" s="954"/>
      <c r="AA56" s="954">
        <f t="shared" si="1"/>
        <v>0</v>
      </c>
      <c r="AB56" s="954"/>
      <c r="AC56" s="954">
        <f t="shared" si="1"/>
        <v>0</v>
      </c>
      <c r="AD56" s="954"/>
      <c r="AE56" s="954">
        <f t="shared" si="1"/>
        <v>0</v>
      </c>
      <c r="AF56" s="954"/>
      <c r="AG56" s="954">
        <f t="shared" si="1"/>
        <v>0</v>
      </c>
      <c r="AH56" s="954"/>
    </row>
    <row r="57" spans="1:34" s="3" customFormat="1">
      <c r="A57" s="959"/>
      <c r="B57" s="959"/>
      <c r="C57" s="952"/>
      <c r="E57" s="960"/>
      <c r="F57" s="954"/>
      <c r="G57" s="961">
        <f t="shared" si="1"/>
        <v>0</v>
      </c>
      <c r="H57" s="954"/>
      <c r="I57" s="961">
        <f t="shared" si="1"/>
        <v>0</v>
      </c>
      <c r="J57" s="954"/>
      <c r="K57" s="961">
        <f t="shared" si="1"/>
        <v>0</v>
      </c>
      <c r="L57" s="954"/>
      <c r="M57" s="961">
        <f t="shared" si="1"/>
        <v>0</v>
      </c>
      <c r="N57" s="954"/>
      <c r="O57" s="961">
        <f t="shared" si="1"/>
        <v>0</v>
      </c>
      <c r="P57" s="954"/>
      <c r="Q57" s="961">
        <f t="shared" si="1"/>
        <v>0</v>
      </c>
      <c r="R57" s="954"/>
      <c r="S57" s="961">
        <f t="shared" si="1"/>
        <v>0</v>
      </c>
      <c r="T57" s="954"/>
      <c r="U57" s="961">
        <f t="shared" si="1"/>
        <v>0</v>
      </c>
      <c r="V57" s="954"/>
      <c r="W57" s="961">
        <f t="shared" si="1"/>
        <v>0</v>
      </c>
      <c r="X57" s="954"/>
      <c r="Y57" s="961">
        <f t="shared" si="1"/>
        <v>0</v>
      </c>
      <c r="Z57" s="954"/>
      <c r="AA57" s="961">
        <f t="shared" si="1"/>
        <v>0</v>
      </c>
      <c r="AB57" s="954"/>
      <c r="AC57" s="961">
        <f t="shared" si="1"/>
        <v>0</v>
      </c>
      <c r="AD57" s="954"/>
      <c r="AE57" s="961">
        <f t="shared" si="1"/>
        <v>0</v>
      </c>
      <c r="AF57" s="954"/>
      <c r="AG57" s="961">
        <f t="shared" si="1"/>
        <v>0</v>
      </c>
      <c r="AH57" s="954"/>
    </row>
    <row r="58" spans="1:34" s="3" customFormat="1">
      <c r="A58" s="956" t="s">
        <v>852</v>
      </c>
      <c r="C58" s="955"/>
      <c r="E58" s="954">
        <f>SUM(E53:E57)</f>
        <v>35000</v>
      </c>
      <c r="F58" s="954"/>
      <c r="G58" s="954">
        <f>SUM(G53:G57)</f>
        <v>36050</v>
      </c>
      <c r="H58" s="954"/>
      <c r="I58" s="954">
        <f>SUM(I53:I57)</f>
        <v>37131.5</v>
      </c>
      <c r="J58" s="954"/>
      <c r="K58" s="954">
        <f>SUM(K53:K57)</f>
        <v>38245.445</v>
      </c>
      <c r="L58" s="954"/>
      <c r="M58" s="954">
        <f>SUM(M53:M57)</f>
        <v>39392.808350000007</v>
      </c>
      <c r="N58" s="954"/>
      <c r="O58" s="954">
        <f>SUM(O53:O57)</f>
        <v>40574.592600500007</v>
      </c>
      <c r="P58" s="954"/>
      <c r="Q58" s="954">
        <f>SUM(Q53:Q57)</f>
        <v>41791.830378515006</v>
      </c>
      <c r="R58" s="954"/>
      <c r="S58" s="954">
        <f>SUM(S53:S57)</f>
        <v>43045.585289870462</v>
      </c>
      <c r="T58" s="954"/>
      <c r="U58" s="954">
        <f>SUM(U53:U57)</f>
        <v>44336.952848566572</v>
      </c>
      <c r="V58" s="954"/>
      <c r="W58" s="954">
        <f>SUM(W53:W57)</f>
        <v>45667.06143402357</v>
      </c>
      <c r="X58" s="954"/>
      <c r="Y58" s="954">
        <f>SUM(Y53:Y57)</f>
        <v>47037.073277044277</v>
      </c>
      <c r="Z58" s="954"/>
      <c r="AA58" s="954">
        <f>SUM(AA53:AA57)</f>
        <v>48448.185475355604</v>
      </c>
      <c r="AB58" s="954"/>
      <c r="AC58" s="954">
        <f>SUM(AC53:AC57)</f>
        <v>49901.631039616281</v>
      </c>
      <c r="AD58" s="954"/>
      <c r="AE58" s="954">
        <f>SUM(AE53:AE57)</f>
        <v>51398.679970804769</v>
      </c>
      <c r="AF58" s="954"/>
      <c r="AG58" s="954">
        <f>SUM(AG53:AG57)</f>
        <v>52940.640369928915</v>
      </c>
      <c r="AH58" s="954"/>
    </row>
    <row r="59" spans="1:34" s="3" customFormat="1" ht="12.75" customHeight="1">
      <c r="A59" s="956"/>
      <c r="C59" s="955"/>
      <c r="E59" s="954"/>
      <c r="F59" s="954"/>
      <c r="G59" s="954"/>
      <c r="H59" s="954"/>
      <c r="I59" s="954"/>
      <c r="J59" s="954"/>
      <c r="K59" s="954"/>
      <c r="L59" s="954"/>
      <c r="M59" s="954"/>
      <c r="N59" s="954"/>
      <c r="O59" s="954"/>
      <c r="P59" s="954"/>
      <c r="Q59" s="954"/>
      <c r="R59" s="954"/>
      <c r="S59" s="954"/>
      <c r="T59" s="954"/>
      <c r="U59" s="954"/>
      <c r="V59" s="954"/>
      <c r="W59" s="954"/>
      <c r="X59" s="954"/>
      <c r="Y59" s="954"/>
      <c r="Z59" s="954"/>
      <c r="AA59" s="954"/>
      <c r="AB59" s="954"/>
      <c r="AC59" s="954"/>
      <c r="AD59" s="954"/>
      <c r="AE59" s="954"/>
      <c r="AF59" s="954"/>
      <c r="AG59" s="954"/>
      <c r="AH59" s="954"/>
    </row>
    <row r="60" spans="1:34" s="956" customFormat="1">
      <c r="A60" s="956" t="s">
        <v>855</v>
      </c>
      <c r="C60" s="962"/>
      <c r="E60" s="956">
        <f>E45-E58</f>
        <v>211715.60599999968</v>
      </c>
      <c r="G60" s="956">
        <f>G45-G58</f>
        <v>234969.47115000011</v>
      </c>
      <c r="I60" s="956">
        <f>I45-I58</f>
        <v>258521.88817874948</v>
      </c>
      <c r="K60" s="956">
        <f>K45-K58</f>
        <v>282370.49798446783</v>
      </c>
      <c r="M60" s="956">
        <f>M45-M58</f>
        <v>306512.54096959817</v>
      </c>
      <c r="O60" s="956">
        <f>O45-O58</f>
        <v>330944.83514448558</v>
      </c>
      <c r="Q60" s="956">
        <f>Q45-Q58</f>
        <v>355663.75326980156</v>
      </c>
      <c r="S60" s="956">
        <f>S45-S58</f>
        <v>380665.1989992591</v>
      </c>
      <c r="U60" s="956">
        <f>U45-U58</f>
        <v>405944.58198270074</v>
      </c>
      <c r="W60" s="956">
        <f>W45-W58</f>
        <v>431496.79188813455</v>
      </c>
      <c r="Y60" s="956">
        <f>Y45-Y58</f>
        <v>457316.17129968392</v>
      </c>
      <c r="AA60" s="956">
        <f>AA45-AA58</f>
        <v>483396.48744684423</v>
      </c>
      <c r="AC60" s="956">
        <f>AC45-AC58</f>
        <v>509730.90271866962</v>
      </c>
      <c r="AE60" s="956">
        <f>AE45-AE58</f>
        <v>536311.94391483918</v>
      </c>
      <c r="AG60" s="956">
        <f>AG45-AG58</f>
        <v>584480.83222387545</v>
      </c>
    </row>
    <row r="61" spans="1:34" s="3" customFormat="1" ht="8.25" customHeight="1">
      <c r="C61" s="955"/>
      <c r="E61" s="954"/>
      <c r="F61" s="954"/>
      <c r="G61" s="954"/>
      <c r="H61" s="954"/>
      <c r="I61" s="954"/>
      <c r="J61" s="954"/>
      <c r="K61" s="954"/>
      <c r="L61" s="954"/>
      <c r="M61" s="954"/>
      <c r="N61" s="954"/>
      <c r="O61" s="954"/>
      <c r="P61" s="954"/>
      <c r="Q61" s="954"/>
      <c r="R61" s="954"/>
      <c r="S61" s="954"/>
      <c r="T61" s="954"/>
      <c r="U61" s="954"/>
      <c r="V61" s="954"/>
      <c r="W61" s="954"/>
      <c r="X61" s="954"/>
      <c r="Y61" s="954"/>
      <c r="Z61" s="954"/>
      <c r="AA61" s="954"/>
      <c r="AB61" s="954"/>
      <c r="AC61" s="954"/>
      <c r="AD61" s="954"/>
      <c r="AE61" s="954"/>
      <c r="AF61" s="954"/>
      <c r="AG61" s="954"/>
      <c r="AH61" s="954"/>
    </row>
    <row r="62" spans="1:34" s="956" customFormat="1">
      <c r="A62" s="956" t="s">
        <v>854</v>
      </c>
      <c r="C62" s="953">
        <v>1</v>
      </c>
      <c r="E62" s="957">
        <f>E60*$C$62</f>
        <v>211715.60599999968</v>
      </c>
      <c r="G62" s="956">
        <f>MIN(G60,3500000-SUM($E$62:E62))</f>
        <v>234969.47115000011</v>
      </c>
      <c r="I62" s="956">
        <f>MIN(I60,3500000-SUM($E$62:G62))</f>
        <v>258521.88817874948</v>
      </c>
      <c r="K62" s="956">
        <f>MIN(K60,3500000-SUM($E$62:I62))</f>
        <v>282370.49798446783</v>
      </c>
      <c r="M62" s="956">
        <f>MIN(M60,3500000-SUM($E$62:K62))</f>
        <v>306512.54096959817</v>
      </c>
      <c r="O62" s="956">
        <f>MIN(O60,3500000-SUM($E$62:M62))</f>
        <v>330944.83514448558</v>
      </c>
      <c r="Q62" s="956">
        <f>MIN(Q60,3500000-SUM($E$62:O62))</f>
        <v>355663.75326980156</v>
      </c>
      <c r="S62" s="956">
        <f>MIN(S60,3500000-SUM($E$62:Q62))</f>
        <v>380665.1989992591</v>
      </c>
      <c r="U62" s="956">
        <f>MIN(U60,3500000-SUM($E$62:S62))</f>
        <v>405944.58198270074</v>
      </c>
      <c r="W62" s="956">
        <f>MIN(W60,3500000-SUM($E$62:U62))</f>
        <v>431496.79188813455</v>
      </c>
      <c r="Y62" s="956">
        <f>MIN(Y60,3500000-SUM($E$62:W62))</f>
        <v>301194.83443280356</v>
      </c>
      <c r="AA62" s="956">
        <f>MIN(AA60,3500000-SUM($E$62:Y62))</f>
        <v>0</v>
      </c>
      <c r="AC62" s="956">
        <f>MIN(AC60,3500000-SUM($E$62:AA62))</f>
        <v>0</v>
      </c>
      <c r="AE62" s="956">
        <f>MIN(AE60,3500000-SUM($E$62:AC62))</f>
        <v>0</v>
      </c>
      <c r="AG62" s="956">
        <f>MIN(AG60,3500000-SUM($E$62:AE62))</f>
        <v>0</v>
      </c>
    </row>
    <row r="63" spans="1:34" s="956" customFormat="1">
      <c r="A63" s="2702" t="s">
        <v>1181</v>
      </c>
      <c r="B63" s="2702"/>
      <c r="C63" s="2702"/>
    </row>
    <row r="64" spans="1:34" s="3" customFormat="1" ht="8.25" customHeight="1">
      <c r="C64" s="955"/>
      <c r="E64" s="954"/>
      <c r="F64" s="954"/>
      <c r="G64" s="954"/>
      <c r="H64" s="954"/>
      <c r="I64" s="954"/>
      <c r="J64" s="954"/>
      <c r="K64" s="954"/>
      <c r="L64" s="954"/>
      <c r="M64" s="954"/>
      <c r="N64" s="954"/>
      <c r="O64" s="954"/>
      <c r="P64" s="954"/>
      <c r="Q64" s="954"/>
      <c r="R64" s="954"/>
      <c r="S64" s="954"/>
      <c r="T64" s="954"/>
      <c r="U64" s="954"/>
      <c r="V64" s="954"/>
      <c r="W64" s="954"/>
      <c r="X64" s="954"/>
      <c r="Y64" s="954"/>
      <c r="Z64" s="954"/>
      <c r="AA64" s="954"/>
      <c r="AB64" s="954"/>
      <c r="AC64" s="954"/>
      <c r="AD64" s="954"/>
      <c r="AE64" s="954"/>
      <c r="AF64" s="954"/>
      <c r="AG64" s="954"/>
      <c r="AH64" s="954"/>
    </row>
    <row r="65" spans="1:34" s="3" customFormat="1">
      <c r="A65" s="3" t="s">
        <v>858</v>
      </c>
      <c r="C65" s="953">
        <v>0</v>
      </c>
      <c r="E65" s="954"/>
      <c r="F65" s="954"/>
      <c r="G65" s="954"/>
      <c r="H65" s="954"/>
      <c r="I65" s="954"/>
      <c r="J65" s="954"/>
      <c r="K65" s="954"/>
      <c r="L65" s="954"/>
      <c r="M65" s="954"/>
      <c r="N65" s="954"/>
      <c r="O65" s="954"/>
      <c r="P65" s="954"/>
      <c r="Q65" s="954"/>
      <c r="R65" s="954"/>
      <c r="S65" s="954"/>
      <c r="T65" s="954"/>
      <c r="U65" s="954"/>
      <c r="V65" s="954"/>
      <c r="W65" s="954"/>
      <c r="X65" s="954"/>
      <c r="Y65" s="954"/>
      <c r="Z65" s="954"/>
      <c r="AA65" s="954"/>
      <c r="AB65" s="954"/>
      <c r="AC65" s="954"/>
      <c r="AD65" s="954"/>
      <c r="AE65" s="954"/>
      <c r="AF65" s="954"/>
      <c r="AG65" s="954"/>
      <c r="AH65" s="954"/>
    </row>
    <row r="66" spans="1:34" s="956" customFormat="1">
      <c r="A66" s="957"/>
      <c r="B66" s="957"/>
      <c r="C66" s="953"/>
      <c r="E66" s="957">
        <f>(E60-E62)/2</f>
        <v>0</v>
      </c>
      <c r="G66" s="954"/>
      <c r="I66" s="954"/>
      <c r="K66" s="954"/>
      <c r="M66" s="954"/>
      <c r="O66" s="954"/>
      <c r="Q66" s="954"/>
      <c r="S66" s="954"/>
      <c r="U66" s="954"/>
      <c r="W66" s="954"/>
      <c r="Y66" s="954"/>
      <c r="AA66" s="954"/>
      <c r="AC66" s="954"/>
      <c r="AE66" s="954"/>
      <c r="AG66" s="954"/>
    </row>
    <row r="67" spans="1:34" s="954" customFormat="1">
      <c r="A67" s="958"/>
      <c r="B67" s="958"/>
      <c r="C67" s="963"/>
      <c r="E67" s="957"/>
      <c r="G67" s="954">
        <f>G60*$C$65</f>
        <v>0</v>
      </c>
      <c r="I67" s="954">
        <f>I60*$C$65</f>
        <v>0</v>
      </c>
      <c r="K67" s="954">
        <f>K60*$C$65</f>
        <v>0</v>
      </c>
      <c r="M67" s="954">
        <f>M60*$C$65</f>
        <v>0</v>
      </c>
      <c r="O67" s="954">
        <f>O60*$C$65</f>
        <v>0</v>
      </c>
      <c r="Q67" s="954">
        <f>Q60*$C$65</f>
        <v>0</v>
      </c>
      <c r="S67" s="954">
        <f>S60*$C$65</f>
        <v>0</v>
      </c>
      <c r="U67" s="954">
        <f>U60*$C$65</f>
        <v>0</v>
      </c>
      <c r="W67" s="954">
        <f>W60*$C$65</f>
        <v>0</v>
      </c>
      <c r="Y67" s="954">
        <f>Y60*$C$65</f>
        <v>0</v>
      </c>
      <c r="AA67" s="954">
        <f>AA60*$C$65</f>
        <v>0</v>
      </c>
      <c r="AC67" s="954">
        <f>AC60*$C$65</f>
        <v>0</v>
      </c>
      <c r="AE67" s="954">
        <f>AE60*$C$65</f>
        <v>0</v>
      </c>
      <c r="AG67" s="954">
        <f>AG60*$C$65</f>
        <v>0</v>
      </c>
    </row>
    <row r="68" spans="1:34" s="954" customFormat="1">
      <c r="A68" s="958"/>
      <c r="B68" s="958"/>
      <c r="C68" s="963"/>
      <c r="E68" s="958"/>
      <c r="G68" s="954">
        <f t="shared" ref="G68:AG69" si="2">E68*$C$66</f>
        <v>0</v>
      </c>
      <c r="I68" s="954">
        <f t="shared" si="2"/>
        <v>0</v>
      </c>
      <c r="K68" s="954">
        <f t="shared" si="2"/>
        <v>0</v>
      </c>
      <c r="M68" s="954">
        <f t="shared" si="2"/>
        <v>0</v>
      </c>
      <c r="O68" s="954">
        <f t="shared" si="2"/>
        <v>0</v>
      </c>
      <c r="Q68" s="954">
        <f t="shared" si="2"/>
        <v>0</v>
      </c>
      <c r="S68" s="954">
        <f t="shared" si="2"/>
        <v>0</v>
      </c>
      <c r="U68" s="954">
        <f t="shared" si="2"/>
        <v>0</v>
      </c>
      <c r="W68" s="954">
        <f t="shared" si="2"/>
        <v>0</v>
      </c>
      <c r="Y68" s="954">
        <f t="shared" si="2"/>
        <v>0</v>
      </c>
      <c r="AA68" s="954">
        <f t="shared" si="2"/>
        <v>0</v>
      </c>
      <c r="AC68" s="954">
        <f t="shared" si="2"/>
        <v>0</v>
      </c>
      <c r="AE68" s="954">
        <f t="shared" si="2"/>
        <v>0</v>
      </c>
      <c r="AG68" s="954">
        <f t="shared" si="2"/>
        <v>0</v>
      </c>
    </row>
    <row r="69" spans="1:34" s="954" customFormat="1">
      <c r="A69" s="958"/>
      <c r="B69" s="958"/>
      <c r="C69" s="963"/>
      <c r="E69" s="960"/>
      <c r="G69" s="961">
        <f t="shared" si="2"/>
        <v>0</v>
      </c>
      <c r="I69" s="961">
        <f t="shared" si="2"/>
        <v>0</v>
      </c>
      <c r="K69" s="961">
        <f t="shared" si="2"/>
        <v>0</v>
      </c>
      <c r="M69" s="961">
        <f t="shared" si="2"/>
        <v>0</v>
      </c>
      <c r="O69" s="961">
        <f t="shared" si="2"/>
        <v>0</v>
      </c>
      <c r="Q69" s="961">
        <f t="shared" si="2"/>
        <v>0</v>
      </c>
      <c r="S69" s="961">
        <f t="shared" si="2"/>
        <v>0</v>
      </c>
      <c r="U69" s="961">
        <f t="shared" si="2"/>
        <v>0</v>
      </c>
      <c r="W69" s="961">
        <f t="shared" si="2"/>
        <v>0</v>
      </c>
      <c r="Y69" s="961">
        <f t="shared" si="2"/>
        <v>0</v>
      </c>
      <c r="AA69" s="961">
        <f t="shared" si="2"/>
        <v>0</v>
      </c>
      <c r="AC69" s="961">
        <f t="shared" si="2"/>
        <v>0</v>
      </c>
      <c r="AE69" s="961">
        <f t="shared" si="2"/>
        <v>0</v>
      </c>
      <c r="AG69" s="961">
        <f t="shared" si="2"/>
        <v>0</v>
      </c>
    </row>
    <row r="70" spans="1:34" s="954" customFormat="1">
      <c r="A70" s="956" t="s">
        <v>852</v>
      </c>
      <c r="C70" s="963"/>
      <c r="E70" s="954">
        <f>SUM(E66:E69)</f>
        <v>0</v>
      </c>
      <c r="G70" s="954">
        <f>SUM(G66:G69)</f>
        <v>0</v>
      </c>
      <c r="I70" s="954">
        <f>SUM(I66:I69)</f>
        <v>0</v>
      </c>
      <c r="K70" s="954">
        <f>SUM(K66:K69)</f>
        <v>0</v>
      </c>
      <c r="M70" s="954">
        <f>SUM(M66:M69)</f>
        <v>0</v>
      </c>
      <c r="O70" s="954">
        <f>SUM(O66:O69)</f>
        <v>0</v>
      </c>
      <c r="Q70" s="954">
        <f>SUM(Q66:Q69)</f>
        <v>0</v>
      </c>
      <c r="S70" s="954">
        <f>SUM(S66:S69)</f>
        <v>0</v>
      </c>
      <c r="U70" s="954">
        <f>SUM(U66:U69)</f>
        <v>0</v>
      </c>
      <c r="W70" s="954">
        <f>SUM(W66:W69)</f>
        <v>0</v>
      </c>
      <c r="Y70" s="954">
        <f>SUM(Y66:Y69)</f>
        <v>0</v>
      </c>
      <c r="AA70" s="954">
        <f>SUM(AA66:AA69)</f>
        <v>0</v>
      </c>
      <c r="AC70" s="954">
        <f>SUM(AC66:AC69)</f>
        <v>0</v>
      </c>
      <c r="AE70" s="954">
        <f>SUM(AE66:AE69)</f>
        <v>0</v>
      </c>
      <c r="AG70" s="954">
        <f>SUM(AG66:AG69)</f>
        <v>0</v>
      </c>
    </row>
    <row r="71" spans="1:34" s="954" customFormat="1">
      <c r="A71" s="956"/>
      <c r="C71" s="963"/>
    </row>
    <row r="72" spans="1:34" s="954" customFormat="1">
      <c r="A72" s="956" t="s">
        <v>1709</v>
      </c>
      <c r="C72" s="963"/>
      <c r="E72" s="956">
        <f>E60-E62-E70</f>
        <v>0</v>
      </c>
      <c r="G72" s="956">
        <f>G60-G62-G70</f>
        <v>0</v>
      </c>
      <c r="I72" s="956">
        <f>I60-I62-I70</f>
        <v>0</v>
      </c>
      <c r="K72" s="956">
        <f>K60-K62-K70</f>
        <v>0</v>
      </c>
      <c r="M72" s="956">
        <f>M60-M62-M70</f>
        <v>0</v>
      </c>
      <c r="O72" s="956">
        <f>O60-O62-O70</f>
        <v>0</v>
      </c>
      <c r="Q72" s="956">
        <f>Q60-Q62-Q70</f>
        <v>0</v>
      </c>
      <c r="S72" s="956">
        <f>S60-S62-S70</f>
        <v>0</v>
      </c>
      <c r="U72" s="956">
        <f>U60-U62-U70</f>
        <v>0</v>
      </c>
      <c r="W72" s="956">
        <f>W60-W62-W70</f>
        <v>0</v>
      </c>
      <c r="Y72" s="956">
        <f>Y60-Y62-Y70</f>
        <v>156121.33686688036</v>
      </c>
      <c r="AA72" s="956">
        <f>AA60-AA62-AA70</f>
        <v>483396.48744684423</v>
      </c>
      <c r="AC72" s="956">
        <f>AC60-AC62-AC70</f>
        <v>509730.90271866962</v>
      </c>
      <c r="AE72" s="956">
        <f>AE60-AE62-AE70</f>
        <v>536311.94391483918</v>
      </c>
      <c r="AG72" s="956">
        <f>AG60-AG62-AG70</f>
        <v>584480.83222387545</v>
      </c>
    </row>
    <row r="73" spans="1:34" s="954" customFormat="1">
      <c r="A73" s="527"/>
      <c r="C73" s="963"/>
    </row>
    <row r="74" spans="1:34" s="217" customFormat="1">
      <c r="A74" s="527"/>
      <c r="C74" s="183"/>
    </row>
    <row r="75" spans="1:34" s="217" customFormat="1">
      <c r="A75" s="954" t="s">
        <v>1708</v>
      </c>
      <c r="C75" s="183"/>
    </row>
    <row r="76" spans="1:34" s="217" customFormat="1">
      <c r="C76" s="183"/>
    </row>
    <row r="77" spans="1:34" s="233" customFormat="1" ht="30" customHeight="1">
      <c r="A77" s="2700" t="s">
        <v>1707</v>
      </c>
      <c r="B77" s="2701"/>
      <c r="C77" s="2701"/>
      <c r="D77" s="2701"/>
      <c r="E77" s="2701"/>
      <c r="F77" s="2701"/>
      <c r="G77" s="2701"/>
      <c r="H77" s="2701"/>
      <c r="I77" s="2701"/>
      <c r="J77" s="2701"/>
      <c r="K77" s="2701"/>
      <c r="L77" s="2701"/>
      <c r="M77" s="2701"/>
      <c r="N77" s="2701"/>
      <c r="O77" s="2701"/>
      <c r="P77" s="2701"/>
      <c r="Q77" s="2701"/>
      <c r="R77" s="2701"/>
      <c r="S77" s="2701"/>
      <c r="T77" s="2701"/>
      <c r="U77" s="2701"/>
      <c r="V77" s="2701"/>
      <c r="W77" s="2701"/>
      <c r="X77" s="2701"/>
      <c r="Y77" s="2701"/>
      <c r="Z77" s="2701"/>
      <c r="AA77" s="2701"/>
      <c r="AB77" s="2701"/>
      <c r="AC77" s="2701"/>
      <c r="AD77" s="2701"/>
      <c r="AE77" s="2701"/>
      <c r="AF77" s="2701"/>
      <c r="AG77" s="270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1" t="s">
        <v>968</v>
      </c>
    </row>
    <row r="2" spans="1:1" ht="15.75">
      <c r="A2" s="312"/>
    </row>
    <row r="3" spans="1:1" ht="15.75">
      <c r="A3" s="313" t="s">
        <v>963</v>
      </c>
    </row>
    <row r="4" spans="1:1" ht="15.75">
      <c r="A4" s="313" t="s">
        <v>964</v>
      </c>
    </row>
    <row r="5" spans="1:1" ht="15.75">
      <c r="A5" s="313" t="s">
        <v>965</v>
      </c>
    </row>
    <row r="6" spans="1:1" ht="15.75">
      <c r="A6" s="313" t="s">
        <v>967</v>
      </c>
    </row>
    <row r="7" spans="1:1" ht="15.75">
      <c r="A7" s="313" t="s">
        <v>966</v>
      </c>
    </row>
    <row r="8" spans="1:1" ht="15.75">
      <c r="A8" s="344" t="s">
        <v>1021</v>
      </c>
    </row>
    <row r="9" spans="1:1" ht="15.75">
      <c r="A9" s="313"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2" workbookViewId="0">
      <selection activeCell="B14" sqref="B14"/>
    </sheetView>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3" customFormat="1" ht="18" customHeight="1">
      <c r="A1" s="511" t="s">
        <v>1214</v>
      </c>
      <c r="D1" s="278"/>
    </row>
    <row r="2" spans="1:6" s="273" customFormat="1">
      <c r="A2" s="257" t="s">
        <v>886</v>
      </c>
      <c r="B2" s="259"/>
      <c r="C2" s="259"/>
      <c r="D2" s="256"/>
      <c r="E2" s="260"/>
      <c r="F2" s="259"/>
    </row>
    <row r="3" spans="1:6" s="349" customFormat="1" ht="80.25" customHeight="1">
      <c r="A3" s="275"/>
      <c r="B3" s="261" t="s">
        <v>887</v>
      </c>
      <c r="C3" s="261" t="s">
        <v>888</v>
      </c>
      <c r="D3" s="261" t="s">
        <v>889</v>
      </c>
      <c r="E3" s="258" t="s">
        <v>890</v>
      </c>
      <c r="F3" s="258"/>
    </row>
    <row r="4" spans="1:6" s="350" customFormat="1">
      <c r="A4" s="262" t="s">
        <v>26</v>
      </c>
      <c r="B4" s="262"/>
      <c r="C4" s="262"/>
      <c r="D4" s="262"/>
      <c r="E4" s="280"/>
      <c r="F4" s="262"/>
    </row>
    <row r="5" spans="1:6" s="350" customFormat="1">
      <c r="A5" s="362" t="s">
        <v>27</v>
      </c>
      <c r="B5" s="264">
        <f>'Sources and Uses Budget'!$C4</f>
        <v>1</v>
      </c>
      <c r="C5" s="264">
        <f>'Sources and Uses Budget'!$C4</f>
        <v>1</v>
      </c>
      <c r="D5" s="268">
        <f>C5-B5</f>
        <v>0</v>
      </c>
      <c r="E5" s="266"/>
      <c r="F5" s="265"/>
    </row>
    <row r="6" spans="1:6" s="350" customFormat="1">
      <c r="A6" s="362" t="s">
        <v>28</v>
      </c>
      <c r="B6" s="264">
        <f>'Sources and Uses Budget'!$C5</f>
        <v>0</v>
      </c>
      <c r="C6" s="264">
        <f>'Sources and Uses Budget'!$C5</f>
        <v>0</v>
      </c>
      <c r="D6" s="268">
        <f t="shared" ref="D6:D77" si="0">C6-B6</f>
        <v>0</v>
      </c>
      <c r="E6" s="266"/>
      <c r="F6" s="265"/>
    </row>
    <row r="7" spans="1:6" s="350" customFormat="1">
      <c r="A7" s="362" t="s">
        <v>29</v>
      </c>
      <c r="B7" s="264">
        <f>'Sources and Uses Budget'!$C6</f>
        <v>0</v>
      </c>
      <c r="C7" s="264">
        <f>'Sources and Uses Budget'!$C6</f>
        <v>0</v>
      </c>
      <c r="D7" s="268">
        <f t="shared" si="0"/>
        <v>0</v>
      </c>
      <c r="E7" s="266"/>
      <c r="F7" s="265"/>
    </row>
    <row r="8" spans="1:6" s="350" customFormat="1">
      <c r="A8" s="362" t="s">
        <v>97</v>
      </c>
      <c r="B8" s="264">
        <f>'Sources and Uses Budget'!$C7</f>
        <v>0</v>
      </c>
      <c r="C8" s="264">
        <f>'Sources and Uses Budget'!$C7</f>
        <v>0</v>
      </c>
      <c r="D8" s="268">
        <f t="shared" si="0"/>
        <v>0</v>
      </c>
      <c r="E8" s="266"/>
      <c r="F8" s="265"/>
    </row>
    <row r="9" spans="1:6" s="350" customFormat="1">
      <c r="A9" s="363" t="s">
        <v>592</v>
      </c>
      <c r="B9" s="268">
        <f>SUM(B5:B8)</f>
        <v>1</v>
      </c>
      <c r="C9" s="268">
        <f>SUM(C5:C8)</f>
        <v>1</v>
      </c>
      <c r="D9" s="268">
        <f t="shared" si="0"/>
        <v>0</v>
      </c>
      <c r="E9" s="266"/>
      <c r="F9" s="265"/>
    </row>
    <row r="10" spans="1:6" s="350" customFormat="1">
      <c r="A10" s="362" t="s">
        <v>593</v>
      </c>
      <c r="B10" s="264">
        <f>'Sources and Uses Budget'!$C9</f>
        <v>0</v>
      </c>
      <c r="C10" s="264">
        <f>'Sources and Uses Budget'!$C9</f>
        <v>0</v>
      </c>
      <c r="D10" s="268">
        <f t="shared" si="0"/>
        <v>0</v>
      </c>
      <c r="E10" s="266"/>
      <c r="F10" s="265"/>
    </row>
    <row r="11" spans="1:6" s="350" customFormat="1">
      <c r="A11" s="362" t="s">
        <v>594</v>
      </c>
      <c r="B11" s="264">
        <f>'Sources and Uses Budget'!$C10</f>
        <v>0</v>
      </c>
      <c r="C11" s="264">
        <f>'Sources and Uses Budget'!$C10</f>
        <v>0</v>
      </c>
      <c r="D11" s="268">
        <f t="shared" si="0"/>
        <v>0</v>
      </c>
      <c r="E11" s="266"/>
      <c r="F11" s="265"/>
    </row>
    <row r="12" spans="1:6" s="350" customFormat="1">
      <c r="A12" s="363" t="s">
        <v>595</v>
      </c>
      <c r="B12" s="268">
        <f>SUM(B10:B11)</f>
        <v>0</v>
      </c>
      <c r="C12" s="268">
        <f>SUM(C10:C11)</f>
        <v>0</v>
      </c>
      <c r="D12" s="268">
        <f t="shared" si="0"/>
        <v>0</v>
      </c>
      <c r="E12" s="266"/>
      <c r="F12" s="265"/>
    </row>
    <row r="13" spans="1:6" s="350" customFormat="1">
      <c r="A13" s="363" t="s">
        <v>84</v>
      </c>
      <c r="B13" s="268">
        <f>SUM(B9+B12)</f>
        <v>1</v>
      </c>
      <c r="C13" s="268">
        <f>SUM(C9+C12)</f>
        <v>1</v>
      </c>
      <c r="D13" s="268">
        <f t="shared" si="0"/>
        <v>0</v>
      </c>
      <c r="E13" s="266"/>
      <c r="F13" s="265"/>
    </row>
    <row r="14" spans="1:6" s="350" customFormat="1">
      <c r="A14" s="364" t="s">
        <v>899</v>
      </c>
      <c r="B14" s="264">
        <f>'Sources and Uses Budget'!$C13</f>
        <v>65000</v>
      </c>
      <c r="C14" s="264">
        <f>'Sources and Uses Budget'!$C13</f>
        <v>65000</v>
      </c>
      <c r="D14" s="268">
        <f t="shared" si="0"/>
        <v>0</v>
      </c>
      <c r="E14" s="266"/>
      <c r="F14" s="265"/>
    </row>
    <row r="15" spans="1:6" s="350" customFormat="1" ht="24">
      <c r="A15" s="362" t="s">
        <v>900</v>
      </c>
      <c r="B15" s="264">
        <f>'Sources and Uses Budget'!$C14</f>
        <v>0</v>
      </c>
      <c r="C15" s="264">
        <f>'Sources and Uses Budget'!$C14</f>
        <v>0</v>
      </c>
      <c r="D15" s="268">
        <f t="shared" si="0"/>
        <v>0</v>
      </c>
      <c r="E15" s="266"/>
      <c r="F15" s="265"/>
    </row>
    <row r="16" spans="1:6" s="350" customFormat="1">
      <c r="A16" s="362" t="s">
        <v>1158</v>
      </c>
      <c r="B16" s="264">
        <f>'Sources and Uses Budget'!$C15</f>
        <v>0</v>
      </c>
      <c r="C16" s="264">
        <f>'Sources and Uses Budget'!$C15</f>
        <v>0</v>
      </c>
      <c r="D16" s="268">
        <f t="shared" si="0"/>
        <v>0</v>
      </c>
      <c r="E16" s="266"/>
      <c r="F16" s="265"/>
    </row>
    <row r="17" spans="1:6" s="350" customFormat="1">
      <c r="A17" s="262" t="s">
        <v>596</v>
      </c>
      <c r="B17" s="262"/>
      <c r="C17" s="262"/>
      <c r="D17" s="262"/>
      <c r="E17" s="280"/>
      <c r="F17" s="262"/>
    </row>
    <row r="18" spans="1:6" s="350" customFormat="1">
      <c r="A18" s="145" t="s">
        <v>597</v>
      </c>
      <c r="B18" s="264">
        <f>'Sources and Uses Budget'!$C17</f>
        <v>0</v>
      </c>
      <c r="C18" s="264">
        <f>'Sources and Uses Budget'!$C17</f>
        <v>0</v>
      </c>
      <c r="D18" s="268">
        <f t="shared" si="0"/>
        <v>0</v>
      </c>
      <c r="E18" s="266"/>
      <c r="F18" s="265"/>
    </row>
    <row r="19" spans="1:6" s="350" customFormat="1">
      <c r="A19" s="145" t="s">
        <v>598</v>
      </c>
      <c r="B19" s="264">
        <f>'Sources and Uses Budget'!$C18</f>
        <v>0</v>
      </c>
      <c r="C19" s="264">
        <f>'Sources and Uses Budget'!$C18</f>
        <v>0</v>
      </c>
      <c r="D19" s="268">
        <f t="shared" si="0"/>
        <v>0</v>
      </c>
      <c r="E19" s="266"/>
      <c r="F19" s="265"/>
    </row>
    <row r="20" spans="1:6" s="350" customFormat="1">
      <c r="A20" s="145" t="s">
        <v>599</v>
      </c>
      <c r="B20" s="264">
        <f>'Sources and Uses Budget'!$C19</f>
        <v>0</v>
      </c>
      <c r="C20" s="264">
        <f>'Sources and Uses Budget'!$C19</f>
        <v>0</v>
      </c>
      <c r="D20" s="268">
        <f t="shared" si="0"/>
        <v>0</v>
      </c>
      <c r="E20" s="266"/>
      <c r="F20" s="265"/>
    </row>
    <row r="21" spans="1:6" s="350" customFormat="1">
      <c r="A21" s="145" t="s">
        <v>137</v>
      </c>
      <c r="B21" s="264">
        <f>'Sources and Uses Budget'!$C20</f>
        <v>0</v>
      </c>
      <c r="C21" s="264">
        <f>'Sources and Uses Budget'!$C20</f>
        <v>0</v>
      </c>
      <c r="D21" s="268">
        <f t="shared" si="0"/>
        <v>0</v>
      </c>
      <c r="E21" s="266"/>
      <c r="F21" s="265"/>
    </row>
    <row r="22" spans="1:6" s="350" customFormat="1">
      <c r="A22" s="145" t="s">
        <v>138</v>
      </c>
      <c r="B22" s="264">
        <f>'Sources and Uses Budget'!$C21</f>
        <v>0</v>
      </c>
      <c r="C22" s="264">
        <f>'Sources and Uses Budget'!$C21</f>
        <v>0</v>
      </c>
      <c r="D22" s="268">
        <f t="shared" si="0"/>
        <v>0</v>
      </c>
      <c r="E22" s="266"/>
      <c r="F22" s="265"/>
    </row>
    <row r="23" spans="1:6" s="350" customFormat="1">
      <c r="A23" s="145" t="s">
        <v>139</v>
      </c>
      <c r="B23" s="264">
        <f>'Sources and Uses Budget'!$C22</f>
        <v>0</v>
      </c>
      <c r="C23" s="264">
        <f>'Sources and Uses Budget'!$C22</f>
        <v>0</v>
      </c>
      <c r="D23" s="268">
        <f t="shared" si="0"/>
        <v>0</v>
      </c>
      <c r="E23" s="266"/>
      <c r="F23" s="265"/>
    </row>
    <row r="24" spans="1:6" s="350" customFormat="1">
      <c r="A24" s="145" t="s">
        <v>140</v>
      </c>
      <c r="B24" s="264">
        <f>'Sources and Uses Budget'!$C23</f>
        <v>0</v>
      </c>
      <c r="C24" s="264">
        <f>'Sources and Uses Budget'!$C23</f>
        <v>0</v>
      </c>
      <c r="D24" s="268">
        <f t="shared" si="0"/>
        <v>0</v>
      </c>
      <c r="E24" s="266"/>
      <c r="F24" s="265"/>
    </row>
    <row r="25" spans="1:6" s="350" customFormat="1">
      <c r="A25" s="506" t="s">
        <v>1626</v>
      </c>
      <c r="B25" s="264">
        <f>'Sources and Uses Budget'!$C24</f>
        <v>0</v>
      </c>
      <c r="C25" s="264">
        <f>'Sources and Uses Budget'!$C24</f>
        <v>0</v>
      </c>
      <c r="D25" s="268">
        <f t="shared" si="0"/>
        <v>0</v>
      </c>
      <c r="E25" s="266"/>
      <c r="F25" s="265"/>
    </row>
    <row r="26" spans="1:6" s="350" customFormat="1">
      <c r="A26" s="155" t="str">
        <f>'Sources and Uses Budget'!A25</f>
        <v>Other: (Specify)</v>
      </c>
      <c r="B26" s="264">
        <f>'Sources and Uses Budget'!$C25</f>
        <v>0</v>
      </c>
      <c r="C26" s="264">
        <f>'Sources and Uses Budget'!$C25</f>
        <v>0</v>
      </c>
      <c r="D26" s="268">
        <f t="shared" si="0"/>
        <v>0</v>
      </c>
      <c r="E26" s="266"/>
      <c r="F26" s="265"/>
    </row>
    <row r="27" spans="1:6" s="350" customFormat="1">
      <c r="A27" s="1010" t="s">
        <v>133</v>
      </c>
      <c r="B27" s="268">
        <f>SUM(B18:B26)</f>
        <v>0</v>
      </c>
      <c r="C27" s="268">
        <f>SUM(C18:C26)</f>
        <v>0</v>
      </c>
      <c r="D27" s="268">
        <f>SUM(D18:D26)</f>
        <v>0</v>
      </c>
      <c r="E27" s="266"/>
      <c r="F27" s="265"/>
    </row>
    <row r="28" spans="1:6" s="350" customFormat="1">
      <c r="A28" s="269" t="s">
        <v>141</v>
      </c>
      <c r="B28" s="264">
        <f>'Sources and Uses Budget'!$C$27</f>
        <v>0</v>
      </c>
      <c r="C28" s="264">
        <f>'Sources and Uses Budget'!$C$27</f>
        <v>0</v>
      </c>
      <c r="D28" s="268">
        <f t="shared" si="0"/>
        <v>0</v>
      </c>
      <c r="E28" s="266"/>
      <c r="F28" s="265"/>
    </row>
    <row r="29" spans="1:6" s="350" customFormat="1">
      <c r="A29" s="262" t="s">
        <v>142</v>
      </c>
      <c r="B29" s="262"/>
      <c r="C29" s="262"/>
      <c r="D29" s="262"/>
      <c r="E29" s="280"/>
      <c r="F29" s="262"/>
    </row>
    <row r="30" spans="1:6" s="350" customFormat="1">
      <c r="A30" s="145" t="s">
        <v>597</v>
      </c>
      <c r="B30" s="264">
        <f>'Sources and Uses Budget'!$C29</f>
        <v>2356000</v>
      </c>
      <c r="C30" s="264">
        <f>'Sources and Uses Budget'!$C29</f>
        <v>2356000</v>
      </c>
      <c r="D30" s="268">
        <f t="shared" si="0"/>
        <v>0</v>
      </c>
      <c r="E30" s="266"/>
      <c r="F30" s="265"/>
    </row>
    <row r="31" spans="1:6" s="350" customFormat="1">
      <c r="A31" s="145" t="s">
        <v>598</v>
      </c>
      <c r="B31" s="264">
        <f>'Sources and Uses Budget'!$C30</f>
        <v>27092718</v>
      </c>
      <c r="C31" s="264">
        <f>'Sources and Uses Budget'!$C30</f>
        <v>27092718</v>
      </c>
      <c r="D31" s="268">
        <f t="shared" si="0"/>
        <v>0</v>
      </c>
      <c r="E31" s="266"/>
      <c r="F31" s="265"/>
    </row>
    <row r="32" spans="1:6" s="350" customFormat="1">
      <c r="A32" s="145" t="s">
        <v>599</v>
      </c>
      <c r="B32" s="264">
        <f>'Sources and Uses Budget'!$C31</f>
        <v>2210000</v>
      </c>
      <c r="C32" s="264">
        <f>'Sources and Uses Budget'!$C31</f>
        <v>2210000</v>
      </c>
      <c r="D32" s="268">
        <f t="shared" si="0"/>
        <v>0</v>
      </c>
      <c r="E32" s="266"/>
      <c r="F32" s="265"/>
    </row>
    <row r="33" spans="1:6" s="350" customFormat="1">
      <c r="A33" s="145" t="s">
        <v>137</v>
      </c>
      <c r="B33" s="264">
        <f>'Sources and Uses Budget'!$C32</f>
        <v>1000000</v>
      </c>
      <c r="C33" s="264">
        <f>'Sources and Uses Budget'!$C32</f>
        <v>1000000</v>
      </c>
      <c r="D33" s="268">
        <f t="shared" si="0"/>
        <v>0</v>
      </c>
      <c r="E33" s="266"/>
      <c r="F33" s="265"/>
    </row>
    <row r="34" spans="1:6" s="350" customFormat="1">
      <c r="A34" s="145" t="s">
        <v>138</v>
      </c>
      <c r="B34" s="264">
        <f>'Sources and Uses Budget'!$C33</f>
        <v>658576</v>
      </c>
      <c r="C34" s="264">
        <f>'Sources and Uses Budget'!$C33</f>
        <v>658576</v>
      </c>
      <c r="D34" s="268">
        <f t="shared" si="0"/>
        <v>0</v>
      </c>
      <c r="E34" s="266"/>
      <c r="F34" s="265"/>
    </row>
    <row r="35" spans="1:6" s="350" customFormat="1">
      <c r="A35" s="145" t="s">
        <v>139</v>
      </c>
      <c r="B35" s="264">
        <f>'Sources and Uses Budget'!$C34</f>
        <v>0</v>
      </c>
      <c r="C35" s="264">
        <f>'Sources and Uses Budget'!$C34</f>
        <v>0</v>
      </c>
      <c r="D35" s="268">
        <f t="shared" si="0"/>
        <v>0</v>
      </c>
      <c r="E35" s="266"/>
      <c r="F35" s="265"/>
    </row>
    <row r="36" spans="1:6" s="350" customFormat="1">
      <c r="A36" s="145" t="s">
        <v>140</v>
      </c>
      <c r="B36" s="264">
        <f>'Sources and Uses Budget'!$C35</f>
        <v>382833</v>
      </c>
      <c r="C36" s="264">
        <f>'Sources and Uses Budget'!$C35</f>
        <v>382833</v>
      </c>
      <c r="D36" s="268">
        <f t="shared" si="0"/>
        <v>0</v>
      </c>
      <c r="E36" s="266"/>
      <c r="F36" s="265"/>
    </row>
    <row r="37" spans="1:6" s="350" customFormat="1">
      <c r="A37" s="281" t="s">
        <v>1626</v>
      </c>
      <c r="B37" s="264">
        <f>'Sources and Uses Budget'!$C36</f>
        <v>240000</v>
      </c>
      <c r="C37" s="264">
        <f>'Sources and Uses Budget'!$C36</f>
        <v>240000</v>
      </c>
      <c r="D37" s="268"/>
      <c r="E37" s="266"/>
      <c r="F37" s="265"/>
    </row>
    <row r="38" spans="1:6" s="350" customFormat="1">
      <c r="A38" s="155" t="str">
        <f>'Sources and Uses Budget'!A37</f>
        <v>Other: Security</v>
      </c>
      <c r="B38" s="264">
        <f>'Sources and Uses Budget'!$C37</f>
        <v>246500</v>
      </c>
      <c r="C38" s="264">
        <f>'Sources and Uses Budget'!$C37</f>
        <v>246500</v>
      </c>
      <c r="D38" s="268">
        <f t="shared" si="0"/>
        <v>0</v>
      </c>
      <c r="E38" s="266"/>
      <c r="F38" s="265"/>
    </row>
    <row r="39" spans="1:6" s="350" customFormat="1">
      <c r="A39" s="269" t="s">
        <v>143</v>
      </c>
      <c r="B39" s="268">
        <f>SUM(B30:B38)</f>
        <v>34186627</v>
      </c>
      <c r="C39" s="268">
        <f>SUM(C30:C38)</f>
        <v>34186627</v>
      </c>
      <c r="D39" s="268">
        <f t="shared" si="0"/>
        <v>0</v>
      </c>
      <c r="E39" s="266"/>
      <c r="F39" s="265"/>
    </row>
    <row r="40" spans="1:6" s="350" customFormat="1">
      <c r="A40" s="262" t="s">
        <v>144</v>
      </c>
      <c r="B40" s="262"/>
      <c r="C40" s="262"/>
      <c r="D40" s="262"/>
      <c r="E40" s="280"/>
      <c r="F40" s="262"/>
    </row>
    <row r="41" spans="1:6" s="350" customFormat="1">
      <c r="A41" s="267" t="s">
        <v>145</v>
      </c>
      <c r="B41" s="264">
        <f>'Sources and Uses Budget'!$C40</f>
        <v>1600000</v>
      </c>
      <c r="C41" s="264">
        <f>'Sources and Uses Budget'!$C40</f>
        <v>1600000</v>
      </c>
      <c r="D41" s="268">
        <f t="shared" si="0"/>
        <v>0</v>
      </c>
      <c r="E41" s="266"/>
      <c r="F41" s="265"/>
    </row>
    <row r="42" spans="1:6" s="350" customFormat="1">
      <c r="A42" s="267" t="s">
        <v>146</v>
      </c>
      <c r="B42" s="264">
        <f>'Sources and Uses Budget'!$C41</f>
        <v>0</v>
      </c>
      <c r="C42" s="264">
        <f>'Sources and Uses Budget'!$C41</f>
        <v>0</v>
      </c>
      <c r="D42" s="268">
        <f t="shared" si="0"/>
        <v>0</v>
      </c>
      <c r="E42" s="266"/>
      <c r="F42" s="265"/>
    </row>
    <row r="43" spans="1:6" s="350" customFormat="1">
      <c r="A43" s="269" t="s">
        <v>147</v>
      </c>
      <c r="B43" s="268">
        <f>SUM(B41:B42)</f>
        <v>1600000</v>
      </c>
      <c r="C43" s="268">
        <f>SUM(C41:C42)</f>
        <v>1600000</v>
      </c>
      <c r="D43" s="268">
        <f t="shared" si="0"/>
        <v>0</v>
      </c>
      <c r="E43" s="266"/>
      <c r="F43" s="265"/>
    </row>
    <row r="44" spans="1:6" s="350" customFormat="1">
      <c r="A44" s="269" t="s">
        <v>148</v>
      </c>
      <c r="B44" s="264">
        <f>'Sources and Uses Budget'!$C43</f>
        <v>300000</v>
      </c>
      <c r="C44" s="264">
        <f>'Sources and Uses Budget'!$C43</f>
        <v>300000</v>
      </c>
      <c r="D44" s="268">
        <f t="shared" si="0"/>
        <v>0</v>
      </c>
      <c r="E44" s="266"/>
      <c r="F44" s="265"/>
    </row>
    <row r="45" spans="1:6" s="350" customFormat="1" ht="12" customHeight="1">
      <c r="A45" s="262" t="s">
        <v>149</v>
      </c>
      <c r="B45" s="262"/>
      <c r="C45" s="262"/>
      <c r="D45" s="262"/>
      <c r="E45" s="280"/>
      <c r="F45" s="262"/>
    </row>
    <row r="46" spans="1:6" s="350" customFormat="1">
      <c r="A46" s="145" t="s">
        <v>150</v>
      </c>
      <c r="B46" s="264">
        <f>'Sources and Uses Budget'!$C45</f>
        <v>3340541</v>
      </c>
      <c r="C46" s="264">
        <f>'Sources and Uses Budget'!$C45</f>
        <v>3340541</v>
      </c>
      <c r="D46" s="268">
        <f t="shared" si="0"/>
        <v>0</v>
      </c>
      <c r="E46" s="266"/>
      <c r="F46" s="265"/>
    </row>
    <row r="47" spans="1:6" s="350" customFormat="1">
      <c r="A47" s="145" t="s">
        <v>151</v>
      </c>
      <c r="B47" s="264">
        <f>'Sources and Uses Budget'!$C46</f>
        <v>392976</v>
      </c>
      <c r="C47" s="264">
        <f>'Sources and Uses Budget'!$C46</f>
        <v>392976</v>
      </c>
      <c r="D47" s="268">
        <f t="shared" si="0"/>
        <v>0</v>
      </c>
      <c r="E47" s="266"/>
      <c r="F47" s="265"/>
    </row>
    <row r="48" spans="1:6" s="350" customFormat="1" ht="12" customHeight="1">
      <c r="A48" s="186" t="s">
        <v>152</v>
      </c>
      <c r="B48" s="264">
        <f>'Sources and Uses Budget'!$C47</f>
        <v>0</v>
      </c>
      <c r="C48" s="264">
        <f>'Sources and Uses Budget'!$C47</f>
        <v>0</v>
      </c>
      <c r="D48" s="268">
        <f t="shared" si="0"/>
        <v>0</v>
      </c>
      <c r="E48" s="266"/>
      <c r="F48" s="265"/>
    </row>
    <row r="49" spans="1:6" s="350" customFormat="1">
      <c r="A49" s="145" t="s">
        <v>153</v>
      </c>
      <c r="B49" s="264">
        <f>'Sources and Uses Budget'!$C48</f>
        <v>172461</v>
      </c>
      <c r="C49" s="264">
        <f>'Sources and Uses Budget'!$C48</f>
        <v>172461</v>
      </c>
      <c r="D49" s="268">
        <f t="shared" si="0"/>
        <v>0</v>
      </c>
      <c r="E49" s="266"/>
      <c r="F49" s="265"/>
    </row>
    <row r="50" spans="1:6" s="350" customFormat="1">
      <c r="A50" s="145" t="s">
        <v>57</v>
      </c>
      <c r="B50" s="264">
        <f>'Sources and Uses Budget'!$C49</f>
        <v>485752</v>
      </c>
      <c r="C50" s="264">
        <f>'Sources and Uses Budget'!$C49</f>
        <v>485752</v>
      </c>
      <c r="D50" s="268">
        <f t="shared" si="0"/>
        <v>0</v>
      </c>
      <c r="E50" s="266"/>
      <c r="F50" s="265"/>
    </row>
    <row r="51" spans="1:6" s="350" customFormat="1">
      <c r="A51" s="145" t="s">
        <v>156</v>
      </c>
      <c r="B51" s="264">
        <f>'Sources and Uses Budget'!$C50</f>
        <v>75000</v>
      </c>
      <c r="C51" s="264">
        <f>'Sources and Uses Budget'!$C50</f>
        <v>75000</v>
      </c>
      <c r="D51" s="268">
        <f t="shared" si="0"/>
        <v>0</v>
      </c>
      <c r="E51" s="266"/>
      <c r="F51" s="265"/>
    </row>
    <row r="52" spans="1:6" s="350" customFormat="1">
      <c r="A52" s="281" t="s">
        <v>154</v>
      </c>
      <c r="B52" s="264">
        <f>'Sources and Uses Budget'!$C51</f>
        <v>5355</v>
      </c>
      <c r="C52" s="264">
        <f>'Sources and Uses Budget'!$C51</f>
        <v>5355</v>
      </c>
      <c r="D52" s="268">
        <f t="shared" si="0"/>
        <v>0</v>
      </c>
      <c r="E52" s="266"/>
      <c r="F52" s="265"/>
    </row>
    <row r="53" spans="1:6" s="350" customFormat="1">
      <c r="A53" s="145" t="s">
        <v>155</v>
      </c>
      <c r="B53" s="264">
        <f>'Sources and Uses Budget'!$C52</f>
        <v>1500000</v>
      </c>
      <c r="C53" s="264">
        <f>'Sources and Uses Budget'!$C52</f>
        <v>1500000</v>
      </c>
      <c r="D53" s="268">
        <f t="shared" si="0"/>
        <v>0</v>
      </c>
      <c r="E53" s="266"/>
      <c r="F53" s="265"/>
    </row>
    <row r="54" spans="1:6" s="350" customFormat="1">
      <c r="A54" s="155" t="str">
        <f>'Sources and Uses Budget'!A53</f>
        <v>Third Party Reports</v>
      </c>
      <c r="B54" s="264">
        <f>'Sources and Uses Budget'!$C53</f>
        <v>0</v>
      </c>
      <c r="C54" s="264">
        <f>'Sources and Uses Budget'!$C53</f>
        <v>0</v>
      </c>
      <c r="D54" s="268">
        <f t="shared" si="0"/>
        <v>0</v>
      </c>
      <c r="E54" s="266"/>
      <c r="F54" s="265"/>
    </row>
    <row r="55" spans="1:6" s="351" customFormat="1">
      <c r="A55" s="269" t="s">
        <v>157</v>
      </c>
      <c r="B55" s="271">
        <f>SUM(B46:B54)</f>
        <v>5972085</v>
      </c>
      <c r="C55" s="271">
        <f>SUM(C46:C54)</f>
        <v>5972085</v>
      </c>
      <c r="D55" s="268">
        <f t="shared" si="0"/>
        <v>0</v>
      </c>
      <c r="E55" s="266"/>
      <c r="F55" s="265"/>
    </row>
    <row r="56" spans="1:6" s="350" customFormat="1">
      <c r="A56" s="262" t="s">
        <v>417</v>
      </c>
      <c r="B56" s="262"/>
      <c r="C56" s="262"/>
      <c r="D56" s="262"/>
      <c r="E56" s="280"/>
      <c r="F56" s="262"/>
    </row>
    <row r="57" spans="1:6" s="350" customFormat="1">
      <c r="A57" s="267" t="s">
        <v>158</v>
      </c>
      <c r="B57" s="264">
        <f>'Sources and Uses Budget'!$C56</f>
        <v>381476</v>
      </c>
      <c r="C57" s="264">
        <f>'Sources and Uses Budget'!$C56</f>
        <v>381476</v>
      </c>
      <c r="D57" s="268">
        <f t="shared" si="0"/>
        <v>0</v>
      </c>
      <c r="E57" s="266"/>
      <c r="F57" s="265"/>
    </row>
    <row r="58" spans="1:6" s="350" customFormat="1" ht="12" customHeight="1">
      <c r="A58" s="267" t="s">
        <v>152</v>
      </c>
      <c r="B58" s="264">
        <f>'Sources and Uses Budget'!$C57</f>
        <v>30000</v>
      </c>
      <c r="C58" s="264">
        <f>'Sources and Uses Budget'!$C57</f>
        <v>30000</v>
      </c>
      <c r="D58" s="268">
        <f t="shared" si="0"/>
        <v>0</v>
      </c>
      <c r="E58" s="266"/>
      <c r="F58" s="265"/>
    </row>
    <row r="59" spans="1:6" s="350" customFormat="1">
      <c r="A59" s="267" t="s">
        <v>156</v>
      </c>
      <c r="B59" s="264">
        <f>'Sources and Uses Budget'!$C58</f>
        <v>0</v>
      </c>
      <c r="C59" s="264">
        <f>'Sources and Uses Budget'!$C58</f>
        <v>0</v>
      </c>
      <c r="D59" s="268">
        <f t="shared" si="0"/>
        <v>0</v>
      </c>
      <c r="E59" s="266"/>
      <c r="F59" s="265"/>
    </row>
    <row r="60" spans="1:6" s="350" customFormat="1">
      <c r="A60" s="267" t="s">
        <v>154</v>
      </c>
      <c r="B60" s="264">
        <f>'Sources and Uses Budget'!$C59</f>
        <v>0</v>
      </c>
      <c r="C60" s="264">
        <f>'Sources and Uses Budget'!$C59</f>
        <v>0</v>
      </c>
      <c r="D60" s="268">
        <f t="shared" si="0"/>
        <v>0</v>
      </c>
      <c r="E60" s="266"/>
      <c r="F60" s="265"/>
    </row>
    <row r="61" spans="1:6" s="350" customFormat="1">
      <c r="A61" s="267" t="s">
        <v>155</v>
      </c>
      <c r="B61" s="264">
        <f>'Sources and Uses Budget'!$C60</f>
        <v>0</v>
      </c>
      <c r="C61" s="264">
        <f>'Sources and Uses Budget'!$C60</f>
        <v>0</v>
      </c>
      <c r="D61" s="268">
        <f t="shared" si="0"/>
        <v>0</v>
      </c>
      <c r="E61" s="266"/>
      <c r="F61" s="265"/>
    </row>
    <row r="62" spans="1:6" s="350" customFormat="1">
      <c r="A62" s="1011" t="str">
        <f>'Sources and Uses Budget'!A61</f>
        <v>Other: Third Party Reports</v>
      </c>
      <c r="B62" s="264">
        <f>'Sources and Uses Budget'!$C61</f>
        <v>100000</v>
      </c>
      <c r="C62" s="264">
        <f>'Sources and Uses Budget'!$C61</f>
        <v>100000</v>
      </c>
      <c r="D62" s="268">
        <f t="shared" si="0"/>
        <v>0</v>
      </c>
      <c r="E62" s="266"/>
      <c r="F62" s="265"/>
    </row>
    <row r="63" spans="1:6" s="350" customFormat="1" ht="13.7" customHeight="1">
      <c r="A63" s="269" t="s">
        <v>300</v>
      </c>
      <c r="B63" s="268">
        <f>SUM(B57:B62)</f>
        <v>511476</v>
      </c>
      <c r="C63" s="268">
        <f>SUM(C57:C62)</f>
        <v>511476</v>
      </c>
      <c r="D63" s="268">
        <f t="shared" si="0"/>
        <v>0</v>
      </c>
      <c r="E63" s="266"/>
      <c r="F63" s="265"/>
    </row>
    <row r="64" spans="1:6" s="350" customFormat="1">
      <c r="A64" s="272" t="s">
        <v>301</v>
      </c>
      <c r="B64" s="268">
        <f>SUM(B9+B12+B14+B15+B17+B26+B28+B39+B43+B44+B55+B63)</f>
        <v>42635189</v>
      </c>
      <c r="C64" s="268">
        <f>SUM(C9+C12+C14+C15+C17+C26+C28+C39+C43+C44+C55+C63)</f>
        <v>42635189</v>
      </c>
      <c r="D64" s="268">
        <f t="shared" si="0"/>
        <v>0</v>
      </c>
      <c r="E64" s="266"/>
      <c r="F64" s="265"/>
    </row>
    <row r="65" spans="1:6" s="350" customFormat="1" ht="24">
      <c r="A65" s="141" t="s">
        <v>1630</v>
      </c>
      <c r="B65" s="262"/>
      <c r="C65" s="262"/>
      <c r="D65" s="262"/>
      <c r="E65" s="280"/>
      <c r="F65" s="262"/>
    </row>
    <row r="66" spans="1:6" s="350" customFormat="1">
      <c r="A66" s="145" t="s">
        <v>170</v>
      </c>
      <c r="B66" s="264">
        <f>'Sources and Uses Budget'!$C65</f>
        <v>100000</v>
      </c>
      <c r="C66" s="264">
        <f>'Sources and Uses Budget'!$C65</f>
        <v>100000</v>
      </c>
      <c r="D66" s="268">
        <f t="shared" si="0"/>
        <v>0</v>
      </c>
      <c r="E66" s="266"/>
      <c r="F66" s="265"/>
    </row>
    <row r="67" spans="1:6" s="350" customFormat="1" ht="24">
      <c r="A67" s="281" t="s">
        <v>1627</v>
      </c>
      <c r="B67" s="264">
        <f>'Sources and Uses Budget'!$C66</f>
        <v>0</v>
      </c>
      <c r="C67" s="264">
        <f>'Sources and Uses Budget'!$C66</f>
        <v>0</v>
      </c>
      <c r="D67" s="268"/>
      <c r="E67" s="266"/>
      <c r="F67" s="265"/>
    </row>
    <row r="68" spans="1:6" s="350" customFormat="1" ht="24">
      <c r="A68" s="281" t="s">
        <v>1628</v>
      </c>
      <c r="B68" s="264">
        <f>'Sources and Uses Budget'!$C67</f>
        <v>350000</v>
      </c>
      <c r="C68" s="264">
        <f>'Sources and Uses Budget'!$C67</f>
        <v>350000</v>
      </c>
      <c r="D68" s="268"/>
      <c r="E68" s="266"/>
      <c r="F68" s="265"/>
    </row>
    <row r="69" spans="1:6" s="350" customFormat="1">
      <c r="A69" s="281" t="s">
        <v>1634</v>
      </c>
      <c r="B69" s="264">
        <f>'Sources and Uses Budget'!$C68</f>
        <v>0</v>
      </c>
      <c r="C69" s="264">
        <f>'Sources and Uses Budget'!$C68</f>
        <v>0</v>
      </c>
      <c r="D69" s="268"/>
      <c r="E69" s="266"/>
      <c r="F69" s="265"/>
    </row>
    <row r="70" spans="1:6" s="350" customFormat="1">
      <c r="A70" s="155" t="str">
        <f>'Sources and Uses Budget'!A69</f>
        <v>Other: (Specify)</v>
      </c>
      <c r="B70" s="264">
        <f>'Sources and Uses Budget'!$C69</f>
        <v>0</v>
      </c>
      <c r="C70" s="264">
        <f>'Sources and Uses Budget'!$C69</f>
        <v>0</v>
      </c>
      <c r="D70" s="268">
        <f t="shared" si="0"/>
        <v>0</v>
      </c>
      <c r="E70" s="266"/>
      <c r="F70" s="265"/>
    </row>
    <row r="71" spans="1:6" s="350" customFormat="1">
      <c r="A71" s="149" t="s">
        <v>1631</v>
      </c>
      <c r="B71" s="268">
        <f>SUM(B66:B70)</f>
        <v>450000</v>
      </c>
      <c r="C71" s="268">
        <f>SUM(C66:C70)</f>
        <v>450000</v>
      </c>
      <c r="D71" s="268">
        <f t="shared" si="0"/>
        <v>0</v>
      </c>
      <c r="E71" s="266"/>
      <c r="F71" s="265"/>
    </row>
    <row r="72" spans="1:6" s="350" customFormat="1">
      <c r="A72" s="262" t="s">
        <v>601</v>
      </c>
      <c r="B72" s="262"/>
      <c r="C72" s="262"/>
      <c r="D72" s="262"/>
      <c r="E72" s="280"/>
      <c r="F72" s="262"/>
    </row>
    <row r="73" spans="1:6" s="350" customFormat="1">
      <c r="A73" s="267" t="s">
        <v>602</v>
      </c>
      <c r="B73" s="264">
        <f>'Sources and Uses Budget'!$C72</f>
        <v>0</v>
      </c>
      <c r="C73" s="264">
        <f>'Sources and Uses Budget'!$C72</f>
        <v>0</v>
      </c>
      <c r="D73" s="268">
        <f t="shared" si="0"/>
        <v>0</v>
      </c>
      <c r="E73" s="266"/>
      <c r="F73" s="265"/>
    </row>
    <row r="74" spans="1:6" s="350" customFormat="1">
      <c r="A74" s="267" t="s">
        <v>603</v>
      </c>
      <c r="B74" s="264">
        <f>'Sources and Uses Budget'!$C73</f>
        <v>0</v>
      </c>
      <c r="C74" s="264">
        <f>'Sources and Uses Budget'!$C73</f>
        <v>0</v>
      </c>
      <c r="D74" s="268">
        <f t="shared" si="0"/>
        <v>0</v>
      </c>
      <c r="E74" s="266"/>
      <c r="F74" s="265"/>
    </row>
    <row r="75" spans="1:6" s="350" customFormat="1">
      <c r="A75" s="285" t="s">
        <v>983</v>
      </c>
      <c r="B75" s="264">
        <f>'Sources and Uses Budget'!$C74</f>
        <v>0</v>
      </c>
      <c r="C75" s="264">
        <f>'Sources and Uses Budget'!$C74</f>
        <v>0</v>
      </c>
      <c r="D75" s="268">
        <f t="shared" si="0"/>
        <v>0</v>
      </c>
      <c r="E75" s="266"/>
      <c r="F75" s="265"/>
    </row>
    <row r="76" spans="1:6" s="350" customFormat="1">
      <c r="A76" s="267" t="s">
        <v>604</v>
      </c>
      <c r="B76" s="264">
        <f>'Sources and Uses Budget'!$C75</f>
        <v>489776</v>
      </c>
      <c r="C76" s="264">
        <f>'Sources and Uses Budget'!$C75</f>
        <v>489776</v>
      </c>
      <c r="D76" s="268">
        <f t="shared" si="0"/>
        <v>0</v>
      </c>
      <c r="E76" s="266"/>
      <c r="F76" s="265"/>
    </row>
    <row r="77" spans="1:6" s="350" customFormat="1">
      <c r="A77" s="270" t="s">
        <v>34</v>
      </c>
      <c r="B77" s="264">
        <f>'Sources and Uses Budget'!$C76</f>
        <v>0</v>
      </c>
      <c r="C77" s="264">
        <f>'Sources and Uses Budget'!$C76</f>
        <v>0</v>
      </c>
      <c r="D77" s="268">
        <f t="shared" si="0"/>
        <v>0</v>
      </c>
      <c r="E77" s="266"/>
      <c r="F77" s="265"/>
    </row>
    <row r="78" spans="1:6" s="350" customFormat="1">
      <c r="A78" s="269" t="s">
        <v>605</v>
      </c>
      <c r="B78" s="268">
        <f>SUM(B73:B77)</f>
        <v>489776</v>
      </c>
      <c r="C78" s="268">
        <f>SUM(C73:C77)</f>
        <v>489776</v>
      </c>
      <c r="D78" s="268">
        <f t="shared" ref="D78:D106" si="1">C78-B78</f>
        <v>0</v>
      </c>
      <c r="E78" s="266"/>
      <c r="F78" s="265"/>
    </row>
    <row r="79" spans="1:6" s="350" customFormat="1">
      <c r="A79" s="262" t="s">
        <v>1207</v>
      </c>
      <c r="B79" s="262"/>
      <c r="C79" s="262"/>
      <c r="D79" s="262"/>
      <c r="E79" s="280"/>
      <c r="F79" s="262"/>
    </row>
    <row r="80" spans="1:6" s="350" customFormat="1">
      <c r="A80" s="508" t="s">
        <v>1209</v>
      </c>
      <c r="B80" s="264">
        <f>'Sources and Uses Budget'!$C79</f>
        <v>2561652</v>
      </c>
      <c r="C80" s="264">
        <f>'Sources and Uses Budget'!$C79</f>
        <v>2561652</v>
      </c>
      <c r="D80" s="268">
        <f t="shared" si="1"/>
        <v>0</v>
      </c>
      <c r="E80" s="266"/>
      <c r="F80" s="265"/>
    </row>
    <row r="81" spans="1:6" s="350" customFormat="1">
      <c r="A81" s="508" t="s">
        <v>58</v>
      </c>
      <c r="B81" s="264">
        <f>'Sources and Uses Budget'!$C80</f>
        <v>484028</v>
      </c>
      <c r="C81" s="264">
        <f>'Sources and Uses Budget'!$C80</f>
        <v>484028</v>
      </c>
      <c r="D81" s="268">
        <f>C81-B81</f>
        <v>0</v>
      </c>
      <c r="E81" s="266"/>
      <c r="F81" s="265"/>
    </row>
    <row r="82" spans="1:6" s="350" customFormat="1">
      <c r="A82" s="269" t="s">
        <v>1206</v>
      </c>
      <c r="B82" s="268">
        <f>SUM(B80:B81)</f>
        <v>3045680</v>
      </c>
      <c r="C82" s="268">
        <f>SUM(C80:C81)</f>
        <v>3045680</v>
      </c>
      <c r="D82" s="268">
        <f t="shared" si="1"/>
        <v>0</v>
      </c>
      <c r="E82" s="266"/>
      <c r="F82" s="265"/>
    </row>
    <row r="83" spans="1:6" s="350" customFormat="1">
      <c r="A83" s="262" t="s">
        <v>764</v>
      </c>
      <c r="B83" s="262"/>
      <c r="C83" s="262"/>
      <c r="D83" s="262"/>
      <c r="E83" s="280"/>
      <c r="F83" s="262"/>
    </row>
    <row r="84" spans="1:6" s="350" customFormat="1" ht="13.7" customHeight="1">
      <c r="A84" s="267" t="s">
        <v>765</v>
      </c>
      <c r="B84" s="264">
        <f>'Sources and Uses Budget'!$C83</f>
        <v>230503</v>
      </c>
      <c r="C84" s="264">
        <f>'Sources and Uses Budget'!$C83</f>
        <v>230503</v>
      </c>
      <c r="D84" s="268">
        <f t="shared" si="1"/>
        <v>0</v>
      </c>
      <c r="E84" s="266"/>
      <c r="F84" s="265"/>
    </row>
    <row r="85" spans="1:6" s="350" customFormat="1">
      <c r="A85" s="267" t="s">
        <v>766</v>
      </c>
      <c r="B85" s="264">
        <f>'Sources and Uses Budget'!$C84</f>
        <v>40000</v>
      </c>
      <c r="C85" s="264">
        <f>'Sources and Uses Budget'!$C84</f>
        <v>40000</v>
      </c>
      <c r="D85" s="268">
        <f t="shared" si="1"/>
        <v>0</v>
      </c>
      <c r="E85" s="266"/>
      <c r="F85" s="265"/>
    </row>
    <row r="86" spans="1:6" s="350" customFormat="1">
      <c r="A86" s="267" t="s">
        <v>767</v>
      </c>
      <c r="B86" s="264">
        <f>'Sources and Uses Budget'!$C85</f>
        <v>1255882</v>
      </c>
      <c r="C86" s="264">
        <f>'Sources and Uses Budget'!$C85</f>
        <v>1255882</v>
      </c>
      <c r="D86" s="268">
        <f t="shared" si="1"/>
        <v>0</v>
      </c>
      <c r="E86" s="266"/>
      <c r="F86" s="265"/>
    </row>
    <row r="87" spans="1:6" s="350" customFormat="1">
      <c r="A87" s="267" t="s">
        <v>768</v>
      </c>
      <c r="B87" s="264">
        <f>'Sources and Uses Budget'!$C86</f>
        <v>2476718</v>
      </c>
      <c r="C87" s="264">
        <f>'Sources and Uses Budget'!$C86</f>
        <v>2476718</v>
      </c>
      <c r="D87" s="268">
        <f t="shared" si="1"/>
        <v>0</v>
      </c>
      <c r="E87" s="266"/>
      <c r="F87" s="265"/>
    </row>
    <row r="88" spans="1:6" s="350" customFormat="1">
      <c r="A88" s="267" t="s">
        <v>769</v>
      </c>
      <c r="B88" s="264">
        <f>'Sources and Uses Budget'!$C87</f>
        <v>0</v>
      </c>
      <c r="C88" s="264">
        <f>'Sources and Uses Budget'!$C87</f>
        <v>0</v>
      </c>
      <c r="D88" s="268">
        <f t="shared" si="1"/>
        <v>0</v>
      </c>
      <c r="E88" s="266"/>
      <c r="F88" s="265"/>
    </row>
    <row r="89" spans="1:6" s="350" customFormat="1">
      <c r="A89" s="267" t="s">
        <v>770</v>
      </c>
      <c r="B89" s="264">
        <f>'Sources and Uses Budget'!$C88</f>
        <v>331324</v>
      </c>
      <c r="C89" s="264">
        <f>'Sources and Uses Budget'!$C88</f>
        <v>331324</v>
      </c>
      <c r="D89" s="268">
        <f t="shared" si="1"/>
        <v>0</v>
      </c>
      <c r="E89" s="266"/>
      <c r="F89" s="265"/>
    </row>
    <row r="90" spans="1:6" s="350" customFormat="1">
      <c r="A90" s="267" t="s">
        <v>771</v>
      </c>
      <c r="B90" s="264">
        <f>'Sources and Uses Budget'!$C89</f>
        <v>300000</v>
      </c>
      <c r="C90" s="264">
        <f>'Sources and Uses Budget'!$C89</f>
        <v>300000</v>
      </c>
      <c r="D90" s="268">
        <f t="shared" si="1"/>
        <v>0</v>
      </c>
      <c r="E90" s="266"/>
      <c r="F90" s="265"/>
    </row>
    <row r="91" spans="1:6" s="350" customFormat="1">
      <c r="A91" s="267" t="s">
        <v>772</v>
      </c>
      <c r="B91" s="264">
        <f>'Sources and Uses Budget'!$C90</f>
        <v>14000</v>
      </c>
      <c r="C91" s="264">
        <f>'Sources and Uses Budget'!$C90</f>
        <v>14000</v>
      </c>
      <c r="D91" s="268">
        <f t="shared" si="1"/>
        <v>0</v>
      </c>
      <c r="E91" s="266"/>
      <c r="F91" s="265"/>
    </row>
    <row r="92" spans="1:6" s="350" customFormat="1">
      <c r="A92" s="267" t="s">
        <v>371</v>
      </c>
      <c r="B92" s="264">
        <f>'Sources and Uses Budget'!$C91</f>
        <v>220000</v>
      </c>
      <c r="C92" s="264">
        <f>'Sources and Uses Budget'!$C91</f>
        <v>220000</v>
      </c>
      <c r="D92" s="268">
        <f t="shared" si="1"/>
        <v>0</v>
      </c>
      <c r="E92" s="266"/>
      <c r="F92" s="265"/>
    </row>
    <row r="93" spans="1:6" s="350" customFormat="1">
      <c r="A93" s="508" t="s">
        <v>1208</v>
      </c>
      <c r="B93" s="264">
        <f>'Sources and Uses Budget'!$C92</f>
        <v>0</v>
      </c>
      <c r="C93" s="264">
        <f>'Sources and Uses Budget'!$C92</f>
        <v>0</v>
      </c>
      <c r="D93" s="268">
        <f t="shared" si="1"/>
        <v>0</v>
      </c>
      <c r="E93" s="266"/>
      <c r="F93" s="265"/>
    </row>
    <row r="94" spans="1:6" s="350" customFormat="1">
      <c r="A94" s="270" t="s">
        <v>34</v>
      </c>
      <c r="B94" s="264">
        <f>'Sources and Uses Budget'!$C93</f>
        <v>80000</v>
      </c>
      <c r="C94" s="264">
        <f>'Sources and Uses Budget'!$C93</f>
        <v>80000</v>
      </c>
      <c r="D94" s="268">
        <f t="shared" si="1"/>
        <v>0</v>
      </c>
      <c r="E94" s="266"/>
      <c r="F94" s="265"/>
    </row>
    <row r="95" spans="1:6" s="350" customFormat="1">
      <c r="A95" s="270" t="s">
        <v>34</v>
      </c>
      <c r="B95" s="264">
        <f>'Sources and Uses Budget'!$C94</f>
        <v>72000</v>
      </c>
      <c r="C95" s="264">
        <f>'Sources and Uses Budget'!$C94</f>
        <v>72000</v>
      </c>
      <c r="D95" s="268">
        <f t="shared" si="1"/>
        <v>0</v>
      </c>
      <c r="E95" s="266"/>
      <c r="F95" s="265"/>
    </row>
    <row r="96" spans="1:6" s="350" customFormat="1">
      <c r="A96" s="270" t="s">
        <v>34</v>
      </c>
      <c r="B96" s="264">
        <f>'Sources and Uses Budget'!$C95</f>
        <v>0</v>
      </c>
      <c r="C96" s="264">
        <f>'Sources and Uses Budget'!$C95</f>
        <v>0</v>
      </c>
      <c r="D96" s="268">
        <f t="shared" si="1"/>
        <v>0</v>
      </c>
      <c r="E96" s="266"/>
      <c r="F96" s="265"/>
    </row>
    <row r="97" spans="1:6" s="350" customFormat="1">
      <c r="A97" s="269" t="s">
        <v>773</v>
      </c>
      <c r="B97" s="268">
        <f>SUM(B84:B96)</f>
        <v>5020427</v>
      </c>
      <c r="C97" s="268">
        <f>SUM(C84:C96)</f>
        <v>5020427</v>
      </c>
      <c r="D97" s="268">
        <f t="shared" si="1"/>
        <v>0</v>
      </c>
      <c r="E97" s="266"/>
      <c r="F97" s="265"/>
    </row>
    <row r="98" spans="1:6" s="350" customFormat="1">
      <c r="A98" s="269" t="s">
        <v>774</v>
      </c>
      <c r="B98" s="268">
        <f>SUM(B64+B71+B78+B82+B97)</f>
        <v>51641072</v>
      </c>
      <c r="C98" s="268">
        <f>SUM(C64+C71+C78+C82+C97)</f>
        <v>51641072</v>
      </c>
      <c r="D98" s="268">
        <f t="shared" si="1"/>
        <v>0</v>
      </c>
      <c r="E98" s="266"/>
      <c r="F98" s="265"/>
    </row>
    <row r="99" spans="1:6" s="350" customFormat="1">
      <c r="A99" s="262" t="s">
        <v>775</v>
      </c>
      <c r="B99" s="262"/>
      <c r="C99" s="262"/>
      <c r="D99" s="262"/>
      <c r="E99" s="280"/>
      <c r="F99" s="262"/>
    </row>
    <row r="100" spans="1:6" s="350" customFormat="1">
      <c r="A100" s="145" t="s">
        <v>776</v>
      </c>
      <c r="B100" s="264">
        <f>'Sources and Uses Budget'!$C99</f>
        <v>6500000</v>
      </c>
      <c r="C100" s="264">
        <f>'Sources and Uses Budget'!$C99</f>
        <v>6500000</v>
      </c>
      <c r="D100" s="268">
        <f t="shared" si="1"/>
        <v>0</v>
      </c>
      <c r="E100" s="266"/>
      <c r="F100" s="265"/>
    </row>
    <row r="101" spans="1:6" s="350" customFormat="1">
      <c r="A101" s="281" t="s">
        <v>1632</v>
      </c>
      <c r="B101" s="264">
        <f>'Sources and Uses Budget'!$C100</f>
        <v>0</v>
      </c>
      <c r="C101" s="264">
        <f>'Sources and Uses Budget'!$C100</f>
        <v>0</v>
      </c>
      <c r="D101" s="268">
        <f t="shared" si="1"/>
        <v>0</v>
      </c>
      <c r="E101" s="266"/>
      <c r="F101" s="265"/>
    </row>
    <row r="102" spans="1:6" s="350" customFormat="1">
      <c r="A102" s="145" t="s">
        <v>777</v>
      </c>
      <c r="B102" s="264">
        <f>'Sources and Uses Budget'!$C101</f>
        <v>0</v>
      </c>
      <c r="C102" s="264">
        <f>'Sources and Uses Budget'!$C101</f>
        <v>0</v>
      </c>
      <c r="D102" s="268">
        <f t="shared" si="1"/>
        <v>0</v>
      </c>
      <c r="E102" s="266"/>
      <c r="F102" s="265"/>
    </row>
    <row r="103" spans="1:6" s="350" customFormat="1" ht="12" customHeight="1">
      <c r="A103" s="281" t="s">
        <v>1633</v>
      </c>
      <c r="B103" s="264">
        <f>'Sources and Uses Budget'!$C102</f>
        <v>0</v>
      </c>
      <c r="C103" s="264">
        <f>'Sources and Uses Budget'!$C102</f>
        <v>0</v>
      </c>
      <c r="D103" s="268">
        <f t="shared" si="1"/>
        <v>0</v>
      </c>
      <c r="E103" s="266"/>
      <c r="F103" s="265"/>
    </row>
    <row r="104" spans="1:6" s="350" customFormat="1">
      <c r="A104" s="1011" t="str">
        <f>'Sources and Uses Budget'!A103</f>
        <v>Other: (Specify)</v>
      </c>
      <c r="B104" s="264">
        <f>'Sources and Uses Budget'!$C103</f>
        <v>0</v>
      </c>
      <c r="C104" s="264">
        <f>'Sources and Uses Budget'!$C103</f>
        <v>0</v>
      </c>
      <c r="D104" s="268">
        <f t="shared" si="1"/>
        <v>0</v>
      </c>
      <c r="E104" s="266"/>
      <c r="F104" s="265"/>
    </row>
    <row r="105" spans="1:6" s="350" customFormat="1">
      <c r="A105" s="269" t="s">
        <v>778</v>
      </c>
      <c r="B105" s="268">
        <f>SUM(B100:B104)</f>
        <v>6500000</v>
      </c>
      <c r="C105" s="268">
        <f>SUM(C100:C104)</f>
        <v>6500000</v>
      </c>
      <c r="D105" s="268">
        <f t="shared" si="1"/>
        <v>0</v>
      </c>
      <c r="E105" s="266"/>
      <c r="F105" s="265"/>
    </row>
    <row r="106" spans="1:6" s="350" customFormat="1">
      <c r="A106" s="269" t="s">
        <v>779</v>
      </c>
      <c r="B106" s="271">
        <f>SUM(B98+B105)</f>
        <v>58141072</v>
      </c>
      <c r="C106" s="271">
        <f>SUM(C98+C105)</f>
        <v>58141072</v>
      </c>
      <c r="D106" s="268">
        <f t="shared" si="1"/>
        <v>0</v>
      </c>
      <c r="E106" s="266"/>
      <c r="F106" s="265"/>
    </row>
    <row r="107" spans="1:6" s="350" customFormat="1">
      <c r="A107" s="275" t="s">
        <v>780</v>
      </c>
      <c r="B107" s="276"/>
      <c r="C107" s="277"/>
      <c r="D107" s="279"/>
      <c r="E107" s="263"/>
      <c r="F107" s="274"/>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5703125" style="400" customWidth="1"/>
    <col min="11" max="16384" width="8.85546875" style="400" hidden="1"/>
  </cols>
  <sheetData>
    <row r="1" spans="1:10" ht="15.75">
      <c r="A1" s="1540" t="s">
        <v>1839</v>
      </c>
      <c r="B1" s="1541"/>
      <c r="C1" s="1541"/>
      <c r="D1" s="1541"/>
      <c r="E1" s="1541"/>
      <c r="F1" s="1541"/>
      <c r="G1" s="1541"/>
      <c r="H1" s="1541"/>
      <c r="I1" s="1541"/>
      <c r="J1" s="1541"/>
    </row>
    <row r="2" spans="1:10" ht="15">
      <c r="A2" s="1544" t="s">
        <v>1265</v>
      </c>
      <c r="B2" s="1545"/>
      <c r="C2" s="1545"/>
      <c r="D2" s="1545"/>
      <c r="E2" s="1545"/>
      <c r="F2" s="1545"/>
      <c r="G2" s="1545"/>
      <c r="H2" s="1545"/>
      <c r="I2" s="1545"/>
      <c r="J2" s="1545"/>
    </row>
    <row r="3" spans="1:10" ht="12.75"/>
    <row r="4" spans="1:10" ht="12.75" customHeight="1">
      <c r="A4" s="1542" t="s">
        <v>2002</v>
      </c>
      <c r="B4" s="1542"/>
      <c r="C4" s="1542"/>
      <c r="D4" s="1542"/>
      <c r="E4" s="1542"/>
      <c r="F4" s="1542"/>
      <c r="G4" s="1542"/>
      <c r="H4" s="1542"/>
      <c r="I4" s="1542"/>
      <c r="J4" s="1542"/>
    </row>
    <row r="5" spans="1:10" ht="12.75">
      <c r="A5" s="1542"/>
      <c r="B5" s="1542"/>
      <c r="C5" s="1542"/>
      <c r="D5" s="1542"/>
      <c r="E5" s="1542"/>
      <c r="F5" s="1542"/>
      <c r="G5" s="1542"/>
      <c r="H5" s="1542"/>
      <c r="I5" s="1542"/>
      <c r="J5" s="1542"/>
    </row>
    <row r="6" spans="1:10" ht="30" customHeight="1">
      <c r="A6" s="1542"/>
      <c r="B6" s="1542"/>
      <c r="C6" s="1542"/>
      <c r="D6" s="1542"/>
      <c r="E6" s="1542"/>
      <c r="F6" s="1542"/>
      <c r="G6" s="1542"/>
      <c r="H6" s="1542"/>
      <c r="I6" s="1542"/>
      <c r="J6" s="1542"/>
    </row>
    <row r="7" spans="1:10" ht="12.75">
      <c r="A7" s="414"/>
      <c r="B7" s="414"/>
      <c r="C7" s="414"/>
      <c r="D7" s="414"/>
      <c r="E7" s="414"/>
      <c r="F7" s="414"/>
      <c r="G7" s="414"/>
      <c r="H7" s="414"/>
      <c r="I7" s="414"/>
      <c r="J7" s="414"/>
    </row>
    <row r="8" spans="1:10" ht="12.75" customHeight="1">
      <c r="A8" s="400" t="s">
        <v>1842</v>
      </c>
      <c r="B8" s="414"/>
      <c r="C8" s="414"/>
      <c r="D8" s="414"/>
      <c r="E8" s="414"/>
      <c r="F8" s="414"/>
      <c r="G8" s="414"/>
      <c r="H8" s="414"/>
      <c r="I8" s="414"/>
      <c r="J8" s="414"/>
    </row>
    <row r="9" spans="1:10" ht="12.75"/>
    <row r="10" spans="1:10" ht="12.75" customHeight="1">
      <c r="A10" s="1546" t="s">
        <v>1844</v>
      </c>
      <c r="B10" s="1546"/>
      <c r="C10" s="1546"/>
      <c r="D10" s="1546"/>
      <c r="E10" s="1546"/>
      <c r="F10" s="1546"/>
      <c r="G10" s="1546"/>
      <c r="H10" s="1546"/>
      <c r="I10" s="1546"/>
      <c r="J10" s="1546"/>
    </row>
    <row r="11" spans="1:10" ht="12.75">
      <c r="A11" s="1546"/>
      <c r="B11" s="1546"/>
      <c r="C11" s="1546"/>
      <c r="D11" s="1546"/>
      <c r="E11" s="1546"/>
      <c r="F11" s="1546"/>
      <c r="G11" s="1546"/>
      <c r="H11" s="1546"/>
      <c r="I11" s="1546"/>
      <c r="J11" s="1546"/>
    </row>
    <row r="12" spans="1:10" ht="12.75">
      <c r="A12" s="1546"/>
      <c r="B12" s="1546"/>
      <c r="C12" s="1546"/>
      <c r="D12" s="1546"/>
      <c r="E12" s="1546"/>
      <c r="F12" s="1546"/>
      <c r="G12" s="1546"/>
      <c r="H12" s="1546"/>
      <c r="I12" s="1546"/>
      <c r="J12" s="1546"/>
    </row>
    <row r="13" spans="1:10" ht="12.75">
      <c r="A13" s="1546"/>
      <c r="B13" s="1546"/>
      <c r="C13" s="1546"/>
      <c r="D13" s="1546"/>
      <c r="E13" s="1546"/>
      <c r="F13" s="1546"/>
      <c r="G13" s="1546"/>
      <c r="H13" s="1546"/>
      <c r="I13" s="1546"/>
      <c r="J13" s="1546"/>
    </row>
    <row r="14" spans="1:10" ht="12.75">
      <c r="A14" s="1546"/>
      <c r="B14" s="1546"/>
      <c r="C14" s="1546"/>
      <c r="D14" s="1546"/>
      <c r="E14" s="1546"/>
      <c r="F14" s="1546"/>
      <c r="G14" s="1546"/>
      <c r="H14" s="1546"/>
      <c r="I14" s="1546"/>
      <c r="J14" s="1546"/>
    </row>
    <row r="15" spans="1:10" ht="12.75">
      <c r="A15" s="1546"/>
      <c r="B15" s="1546"/>
      <c r="C15" s="1546"/>
      <c r="D15" s="1546"/>
      <c r="E15" s="1546"/>
      <c r="F15" s="1546"/>
      <c r="G15" s="1546"/>
      <c r="H15" s="1546"/>
      <c r="I15" s="1546"/>
      <c r="J15" s="1546"/>
    </row>
    <row r="16" spans="1:10" ht="12.75">
      <c r="A16" s="522"/>
      <c r="B16" s="522"/>
      <c r="C16" s="522"/>
      <c r="D16" s="522"/>
      <c r="E16" s="522"/>
      <c r="F16" s="522"/>
      <c r="G16" s="522"/>
      <c r="H16" s="522"/>
      <c r="I16" s="522"/>
      <c r="J16" s="522"/>
    </row>
    <row r="17" spans="1:10" ht="12.75">
      <c r="A17" s="474" t="s">
        <v>1843</v>
      </c>
      <c r="B17" s="414"/>
      <c r="C17" s="414"/>
      <c r="D17" s="414"/>
      <c r="E17" s="414"/>
      <c r="F17" s="414"/>
      <c r="G17" s="414"/>
      <c r="H17" s="414"/>
      <c r="I17" s="414"/>
      <c r="J17" s="414"/>
    </row>
    <row r="18" spans="1:10" ht="12.75">
      <c r="A18" s="414" t="s">
        <v>249</v>
      </c>
      <c r="B18" s="414"/>
      <c r="C18" s="414"/>
      <c r="D18" s="414"/>
      <c r="E18" s="414"/>
      <c r="F18" s="414"/>
      <c r="G18" s="414"/>
      <c r="H18" s="414"/>
      <c r="I18" s="414"/>
      <c r="J18" s="414"/>
    </row>
    <row r="19" spans="1:10" ht="12.75">
      <c r="A19" s="1545" t="s">
        <v>1186</v>
      </c>
      <c r="B19" s="1545"/>
      <c r="C19" s="1545"/>
      <c r="D19" s="1545"/>
      <c r="E19" s="154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542" t="s">
        <v>1187</v>
      </c>
      <c r="B76" s="1542"/>
      <c r="C76" s="1542"/>
      <c r="D76" s="1542"/>
      <c r="E76" s="1542"/>
      <c r="F76" s="1542"/>
      <c r="G76" s="1542"/>
      <c r="H76" s="1542"/>
      <c r="I76" s="1542"/>
      <c r="J76" s="1542"/>
    </row>
    <row r="77" spans="1:10" ht="12.75">
      <c r="A77" s="1542"/>
      <c r="B77" s="1542"/>
      <c r="C77" s="1542"/>
      <c r="D77" s="1542"/>
      <c r="E77" s="1542"/>
      <c r="F77" s="1542"/>
      <c r="G77" s="1542"/>
      <c r="H77" s="1542"/>
      <c r="I77" s="1542"/>
      <c r="J77" s="1542"/>
    </row>
    <row r="78" spans="1:10" ht="12.75">
      <c r="A78" s="1542"/>
      <c r="B78" s="1542"/>
      <c r="C78" s="1542"/>
      <c r="D78" s="1542"/>
      <c r="E78" s="1542"/>
      <c r="F78" s="1542"/>
      <c r="G78" s="1542"/>
      <c r="H78" s="1542"/>
      <c r="I78" s="1542"/>
      <c r="J78" s="1542"/>
    </row>
    <row r="79" spans="1:10" ht="12.75"/>
    <row r="80" spans="1:10" ht="12.75">
      <c r="A80" s="400" t="s">
        <v>1186</v>
      </c>
    </row>
    <row r="81" spans="1:9" ht="12.75"/>
    <row r="82" spans="1:9" ht="12.75"/>
    <row r="83" spans="1:9" ht="12.75"/>
    <row r="84" spans="1:9" ht="12.75"/>
    <row r="85" spans="1:9" ht="12.75"/>
    <row r="86" spans="1:9" ht="12.75"/>
    <row r="87" spans="1:9" ht="12.75"/>
    <row r="88" spans="1:9" ht="12.75"/>
    <row r="89" spans="1:9" ht="12.75">
      <c r="A89" s="1543" t="s">
        <v>1840</v>
      </c>
      <c r="B89" s="1543"/>
      <c r="C89" s="1543"/>
      <c r="D89" s="1543"/>
      <c r="E89" s="1543"/>
      <c r="F89" s="1543"/>
      <c r="G89" s="1543"/>
      <c r="H89" s="1543"/>
      <c r="I89" s="1543"/>
    </row>
    <row r="90" spans="1:9" ht="12.75">
      <c r="A90" s="1535" t="s">
        <v>2000</v>
      </c>
      <c r="B90" s="1535"/>
      <c r="C90" s="1535"/>
      <c r="D90" s="1535"/>
      <c r="E90" s="1535"/>
    </row>
    <row r="91" spans="1:9" ht="12.75">
      <c r="A91" s="1535" t="s">
        <v>2001</v>
      </c>
      <c r="B91" s="1535"/>
      <c r="C91" s="1535"/>
      <c r="D91" s="1535"/>
      <c r="E91" s="1535"/>
    </row>
    <row r="92" spans="1:9" ht="12.75">
      <c r="A92" s="1535" t="s">
        <v>1841</v>
      </c>
      <c r="B92" s="1535"/>
      <c r="C92" s="1535"/>
      <c r="D92" s="1535"/>
      <c r="E92" s="153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0" workbookViewId="0">
      <selection activeCell="D80" sqref="D80:F87"/>
    </sheetView>
  </sheetViews>
  <sheetFormatPr defaultColWidth="0" defaultRowHeight="12.75" zeroHeight="1"/>
  <cols>
    <col min="1" max="1" width="3.5703125" style="478" customWidth="1"/>
    <col min="2" max="2" width="13.5703125" style="478" customWidth="1"/>
    <col min="3" max="3" width="2.5703125" style="478" customWidth="1"/>
    <col min="4" max="5" width="3.5703125" style="400" customWidth="1"/>
    <col min="6" max="6" width="65.5703125" style="400" customWidth="1"/>
    <col min="7" max="7" width="1.5703125" style="400" customWidth="1"/>
    <col min="8" max="8" width="3.5703125" style="400" customWidth="1"/>
    <col min="9" max="9" width="9.140625" style="402" customWidth="1"/>
    <col min="10" max="13" width="8.85546875" style="400" hidden="1" customWidth="1"/>
    <col min="14" max="16384" width="0" style="400" hidden="1"/>
  </cols>
  <sheetData>
    <row r="1" spans="1:13"/>
    <row r="2" spans="1:13">
      <c r="A2" s="1598" t="s">
        <v>2592</v>
      </c>
      <c r="B2" s="1598"/>
      <c r="C2" s="1598"/>
      <c r="D2" s="1598"/>
      <c r="E2" s="1598"/>
      <c r="F2" s="1598"/>
      <c r="G2" s="1598"/>
      <c r="H2" s="1598"/>
      <c r="I2" s="1598"/>
    </row>
    <row r="3" spans="1:13">
      <c r="A3" s="1588" t="s">
        <v>2169</v>
      </c>
      <c r="B3" s="1588"/>
      <c r="C3" s="1588"/>
      <c r="D3" s="1588"/>
      <c r="E3" s="1588"/>
      <c r="F3" s="1588"/>
      <c r="G3" s="1588"/>
      <c r="H3" s="1588"/>
      <c r="I3" s="1588"/>
    </row>
    <row r="4" spans="1:13">
      <c r="A4" s="1588"/>
      <c r="B4" s="1588"/>
      <c r="C4" s="1545"/>
      <c r="D4" s="1545"/>
      <c r="E4" s="1545"/>
      <c r="F4" s="1545"/>
      <c r="G4" s="1545"/>
    </row>
    <row r="5" spans="1:13">
      <c r="A5" s="1588"/>
      <c r="B5" s="1588"/>
      <c r="C5" s="1545"/>
      <c r="D5" s="1545"/>
      <c r="E5" s="1545"/>
      <c r="F5" s="1545"/>
      <c r="G5" s="1545"/>
    </row>
    <row r="6" spans="1:13" ht="12.75" customHeight="1">
      <c r="A6" s="1591" t="s">
        <v>2168</v>
      </c>
      <c r="B6" s="1591"/>
      <c r="C6" s="1591"/>
      <c r="D6" s="1591"/>
      <c r="E6" s="1591"/>
      <c r="F6" s="1591"/>
      <c r="G6" s="1591"/>
      <c r="I6" s="488"/>
    </row>
    <row r="7" spans="1:13">
      <c r="A7" s="1591"/>
      <c r="B7" s="1591"/>
      <c r="C7" s="1591"/>
      <c r="D7" s="1591"/>
      <c r="E7" s="1591"/>
      <c r="F7" s="1591"/>
      <c r="G7" s="1591"/>
      <c r="I7" s="488"/>
    </row>
    <row r="8" spans="1:13">
      <c r="A8" s="479"/>
      <c r="B8" s="479"/>
      <c r="C8" s="480"/>
      <c r="D8" s="480"/>
      <c r="E8" s="480"/>
      <c r="F8" s="480"/>
    </row>
    <row r="9" spans="1:13">
      <c r="A9" s="1567" t="s">
        <v>1098</v>
      </c>
      <c r="B9" s="1567"/>
      <c r="C9" s="1567"/>
      <c r="D9" s="1567"/>
      <c r="E9" s="1567"/>
      <c r="F9" s="1567"/>
      <c r="G9" s="1567"/>
      <c r="H9" s="1020"/>
      <c r="I9" s="1021"/>
    </row>
    <row r="10" spans="1:13">
      <c r="A10" s="480"/>
      <c r="B10" s="480"/>
      <c r="E10" s="402"/>
    </row>
    <row r="11" spans="1:13" ht="13.7" customHeight="1">
      <c r="C11" s="480"/>
      <c r="D11" s="1590" t="s">
        <v>1097</v>
      </c>
      <c r="E11" s="1590"/>
      <c r="F11" s="1590"/>
    </row>
    <row r="12" spans="1:13">
      <c r="C12" s="480"/>
      <c r="D12" s="1590"/>
      <c r="E12" s="1590"/>
      <c r="F12" s="1590"/>
    </row>
    <row r="13" spans="1:13">
      <c r="A13" s="481"/>
      <c r="B13" s="481"/>
      <c r="C13" s="481"/>
      <c r="D13" s="1568" t="s">
        <v>1087</v>
      </c>
      <c r="E13" s="1568"/>
      <c r="F13" s="1568"/>
      <c r="M13" s="96"/>
    </row>
    <row r="14" spans="1:13">
      <c r="A14" s="481"/>
      <c r="B14" s="481"/>
      <c r="C14" s="481"/>
      <c r="D14" s="474"/>
      <c r="L14" s="310"/>
    </row>
    <row r="15" spans="1:13" ht="14.25">
      <c r="A15" s="482"/>
      <c r="B15" s="483" t="s">
        <v>306</v>
      </c>
      <c r="C15" s="481"/>
      <c r="D15" s="1566" t="s">
        <v>1891</v>
      </c>
      <c r="E15" s="1566"/>
      <c r="F15" s="1566"/>
      <c r="I15" s="488"/>
    </row>
    <row r="16" spans="1:13">
      <c r="A16" s="481"/>
      <c r="B16" s="481"/>
      <c r="C16" s="481"/>
      <c r="D16" s="1566"/>
      <c r="E16" s="1566"/>
      <c r="F16" s="1566"/>
      <c r="I16" s="488"/>
    </row>
    <row r="17" spans="1:9">
      <c r="A17" s="481"/>
      <c r="B17" s="481"/>
      <c r="C17" s="481"/>
      <c r="D17" s="1566"/>
      <c r="E17" s="1566"/>
      <c r="F17" s="1566"/>
      <c r="I17" s="488"/>
    </row>
    <row r="18" spans="1:9">
      <c r="A18" s="481"/>
      <c r="B18" s="481"/>
      <c r="C18" s="481"/>
      <c r="D18" s="443"/>
      <c r="E18" s="310" t="s">
        <v>1889</v>
      </c>
      <c r="F18" s="443"/>
      <c r="I18" s="488"/>
    </row>
    <row r="19" spans="1:9">
      <c r="A19" s="481"/>
      <c r="B19" s="481"/>
      <c r="C19" s="481"/>
      <c r="I19" s="488"/>
    </row>
    <row r="20" spans="1:9" ht="14.25">
      <c r="A20" s="482"/>
      <c r="B20" s="483" t="s">
        <v>306</v>
      </c>
      <c r="D20" s="1566" t="s">
        <v>1892</v>
      </c>
      <c r="E20" s="1566"/>
      <c r="F20" s="1566"/>
      <c r="I20" s="488"/>
    </row>
    <row r="21" spans="1:9" ht="14.25">
      <c r="A21" s="482"/>
      <c r="D21" s="1566"/>
      <c r="E21" s="1566"/>
      <c r="F21" s="1566"/>
      <c r="I21" s="488"/>
    </row>
    <row r="22" spans="1:9" ht="14.25">
      <c r="A22" s="482"/>
      <c r="D22" s="390"/>
      <c r="E22" s="96" t="s">
        <v>1888</v>
      </c>
      <c r="F22" s="390"/>
      <c r="I22" s="488"/>
    </row>
    <row r="23" spans="1:9" ht="14.25">
      <c r="A23" s="482"/>
      <c r="B23" s="482"/>
      <c r="D23" s="444"/>
      <c r="I23" s="488"/>
    </row>
    <row r="24" spans="1:9" ht="14.25">
      <c r="A24" s="482"/>
      <c r="B24" s="483" t="s">
        <v>306</v>
      </c>
      <c r="D24" s="1566" t="s">
        <v>1088</v>
      </c>
      <c r="E24" s="1566"/>
      <c r="F24" s="1566"/>
      <c r="I24" s="488"/>
    </row>
    <row r="25" spans="1:9" ht="14.25">
      <c r="A25" s="482"/>
      <c r="B25" s="482"/>
      <c r="D25" s="1566"/>
      <c r="E25" s="1566"/>
      <c r="F25" s="1566"/>
      <c r="I25" s="488"/>
    </row>
    <row r="26" spans="1:9">
      <c r="I26" s="488"/>
    </row>
    <row r="27" spans="1:9" ht="14.25">
      <c r="A27" s="482"/>
      <c r="B27" s="483" t="s">
        <v>306</v>
      </c>
      <c r="D27" s="1566" t="s">
        <v>2003</v>
      </c>
      <c r="E27" s="1566"/>
      <c r="F27" s="1566"/>
      <c r="I27" s="488"/>
    </row>
    <row r="28" spans="1:9">
      <c r="D28" s="1566"/>
      <c r="E28" s="1566"/>
      <c r="F28" s="1566"/>
      <c r="I28" s="488"/>
    </row>
    <row r="29" spans="1:9">
      <c r="D29" s="1566"/>
      <c r="E29" s="1566"/>
      <c r="F29" s="1566"/>
      <c r="I29" s="488"/>
    </row>
    <row r="30" spans="1:9">
      <c r="D30" s="1566"/>
      <c r="E30" s="1566"/>
      <c r="F30" s="1566"/>
      <c r="I30" s="488"/>
    </row>
    <row r="31" spans="1:9">
      <c r="D31" s="1566"/>
      <c r="E31" s="1566"/>
      <c r="F31" s="1566"/>
      <c r="I31" s="488"/>
    </row>
    <row r="32" spans="1:9">
      <c r="D32" s="445"/>
      <c r="I32" s="488"/>
    </row>
    <row r="33" spans="1:9">
      <c r="B33" s="483" t="s">
        <v>306</v>
      </c>
      <c r="D33" s="1566" t="s">
        <v>2004</v>
      </c>
      <c r="E33" s="1566"/>
      <c r="F33" s="1566"/>
      <c r="I33" s="488"/>
    </row>
    <row r="34" spans="1:9">
      <c r="D34" s="1566"/>
      <c r="E34" s="1566"/>
      <c r="F34" s="1566"/>
      <c r="I34" s="488"/>
    </row>
    <row r="35" spans="1:9" ht="14.25">
      <c r="A35" s="482"/>
      <c r="B35" s="482"/>
      <c r="D35" s="445"/>
      <c r="I35" s="488"/>
    </row>
    <row r="36" spans="1:9" ht="14.45" customHeight="1">
      <c r="A36" s="482"/>
      <c r="B36" s="483" t="s">
        <v>306</v>
      </c>
      <c r="D36" s="1566" t="s">
        <v>1211</v>
      </c>
      <c r="E36" s="1566"/>
      <c r="F36" s="1566"/>
      <c r="I36" s="488"/>
    </row>
    <row r="37" spans="1:9" ht="14.25">
      <c r="A37" s="482"/>
      <c r="B37" s="482"/>
      <c r="D37" s="1566"/>
      <c r="E37" s="1566"/>
      <c r="F37" s="1566"/>
      <c r="I37" s="488"/>
    </row>
    <row r="38" spans="1:9" ht="14.25">
      <c r="A38" s="482"/>
      <c r="B38" s="482"/>
      <c r="D38" s="1566"/>
      <c r="E38" s="1566"/>
      <c r="F38" s="1566"/>
      <c r="I38" s="488"/>
    </row>
    <row r="39" spans="1:9" ht="14.25">
      <c r="A39" s="482"/>
      <c r="B39" s="482"/>
      <c r="D39" s="1566"/>
      <c r="E39" s="1566"/>
      <c r="F39" s="1566"/>
      <c r="I39" s="488"/>
    </row>
    <row r="40" spans="1:9" ht="14.25">
      <c r="A40" s="482"/>
      <c r="B40" s="482"/>
      <c r="I40" s="488"/>
    </row>
    <row r="41" spans="1:9" ht="14.25">
      <c r="A41" s="482"/>
      <c r="B41" s="483" t="s">
        <v>306</v>
      </c>
      <c r="D41" s="1566" t="s">
        <v>1089</v>
      </c>
      <c r="E41" s="1566"/>
      <c r="F41" s="1566"/>
      <c r="I41" s="488"/>
    </row>
    <row r="42" spans="1:9" ht="14.25">
      <c r="A42" s="482"/>
      <c r="B42" s="482"/>
      <c r="D42" s="1566"/>
      <c r="E42" s="1566"/>
      <c r="F42" s="1566"/>
      <c r="I42" s="488"/>
    </row>
    <row r="43" spans="1:9" ht="14.25">
      <c r="A43" s="482"/>
      <c r="B43" s="482"/>
      <c r="D43" s="1566"/>
      <c r="E43" s="1566"/>
      <c r="F43" s="1566"/>
      <c r="I43" s="488"/>
    </row>
    <row r="44" spans="1:9" ht="14.25">
      <c r="A44" s="482"/>
      <c r="B44" s="482"/>
      <c r="D44" s="1566"/>
      <c r="E44" s="1566"/>
      <c r="F44" s="1566"/>
      <c r="I44" s="488"/>
    </row>
    <row r="45" spans="1:9" ht="14.25">
      <c r="A45" s="482"/>
      <c r="B45" s="482"/>
      <c r="D45" s="1566"/>
      <c r="E45" s="1566"/>
      <c r="F45" s="1566"/>
      <c r="I45" s="488"/>
    </row>
    <row r="46" spans="1:9" ht="14.25">
      <c r="A46" s="482"/>
      <c r="B46" s="482"/>
      <c r="D46" s="443"/>
      <c r="E46" s="443"/>
      <c r="F46" s="443"/>
      <c r="I46" s="488"/>
    </row>
    <row r="47" spans="1:9" ht="14.25">
      <c r="A47" s="482"/>
      <c r="B47" s="483" t="s">
        <v>306</v>
      </c>
      <c r="D47" s="1566" t="s">
        <v>1090</v>
      </c>
      <c r="E47" s="1566"/>
      <c r="F47" s="1566"/>
      <c r="I47" s="488"/>
    </row>
    <row r="48" spans="1:9" ht="14.25">
      <c r="A48" s="482"/>
      <c r="B48" s="482"/>
      <c r="D48" s="1566"/>
      <c r="E48" s="1566"/>
      <c r="F48" s="1566"/>
      <c r="I48" s="488"/>
    </row>
    <row r="49" spans="1:9" ht="14.25">
      <c r="A49" s="482"/>
      <c r="B49" s="482"/>
      <c r="D49" s="1566"/>
      <c r="E49" s="1566"/>
      <c r="F49" s="1566"/>
      <c r="I49" s="488"/>
    </row>
    <row r="50" spans="1:9" ht="23.25" customHeight="1">
      <c r="A50" s="482"/>
      <c r="B50" s="482"/>
      <c r="D50" s="1566"/>
      <c r="E50" s="1566"/>
      <c r="F50" s="1566"/>
      <c r="I50" s="488"/>
    </row>
    <row r="51" spans="1:9" ht="14.25">
      <c r="A51" s="482"/>
      <c r="B51" s="482"/>
      <c r="D51" s="444"/>
      <c r="I51" s="488"/>
    </row>
    <row r="52" spans="1:9" ht="14.45" customHeight="1">
      <c r="A52" s="482"/>
      <c r="B52" s="483" t="s">
        <v>306</v>
      </c>
      <c r="D52" s="1566" t="s">
        <v>1091</v>
      </c>
      <c r="E52" s="1566"/>
      <c r="F52" s="1566"/>
      <c r="I52" s="488"/>
    </row>
    <row r="53" spans="1:9" ht="14.25">
      <c r="A53" s="482"/>
      <c r="B53" s="482"/>
      <c r="D53" s="1566"/>
      <c r="E53" s="1566"/>
      <c r="F53" s="1566"/>
      <c r="I53" s="488"/>
    </row>
    <row r="54" spans="1:9" ht="14.25">
      <c r="A54" s="482"/>
      <c r="B54" s="482"/>
      <c r="D54" s="1566"/>
      <c r="E54" s="1566"/>
      <c r="F54" s="1566"/>
      <c r="I54" s="488"/>
    </row>
    <row r="55" spans="1:9" ht="14.25">
      <c r="A55" s="482"/>
      <c r="B55" s="482"/>
      <c r="I55" s="488"/>
    </row>
    <row r="56" spans="1:9" ht="14.25">
      <c r="A56" s="482"/>
      <c r="B56" s="483" t="s">
        <v>306</v>
      </c>
      <c r="D56" s="1593" t="s">
        <v>1092</v>
      </c>
      <c r="E56" s="1593"/>
      <c r="F56" s="1593"/>
      <c r="I56" s="488"/>
    </row>
    <row r="57" spans="1:9" ht="14.25">
      <c r="A57" s="482"/>
      <c r="B57" s="482"/>
      <c r="D57" s="1593"/>
      <c r="E57" s="1593"/>
      <c r="F57" s="1593"/>
      <c r="I57" s="488"/>
    </row>
    <row r="58" spans="1:9" ht="14.25">
      <c r="A58" s="482"/>
      <c r="B58" s="482"/>
      <c r="D58" s="390" t="s">
        <v>1890</v>
      </c>
      <c r="E58" s="443"/>
      <c r="F58" s="443"/>
      <c r="I58" s="488"/>
    </row>
    <row r="59" spans="1:9" ht="14.25">
      <c r="A59" s="482"/>
      <c r="B59" s="482"/>
      <c r="D59" s="443"/>
      <c r="E59" s="310" t="s">
        <v>1889</v>
      </c>
      <c r="F59" s="443"/>
      <c r="I59" s="488"/>
    </row>
    <row r="60" spans="1:9">
      <c r="D60" s="445"/>
      <c r="I60" s="488"/>
    </row>
    <row r="61" spans="1:9" ht="14.25">
      <c r="A61" s="482"/>
      <c r="B61" s="483" t="s">
        <v>306</v>
      </c>
      <c r="D61" s="1566" t="s">
        <v>1093</v>
      </c>
      <c r="E61" s="1566"/>
      <c r="F61" s="1566"/>
      <c r="I61" s="488"/>
    </row>
    <row r="62" spans="1:9">
      <c r="D62" s="1566"/>
      <c r="E62" s="1566"/>
      <c r="F62" s="1566"/>
      <c r="I62" s="488"/>
    </row>
    <row r="63" spans="1:9">
      <c r="D63" s="1566"/>
      <c r="E63" s="1566"/>
      <c r="F63" s="1566"/>
      <c r="I63" s="488"/>
    </row>
    <row r="64" spans="1:9">
      <c r="I64" s="488"/>
    </row>
    <row r="65" spans="1:9" ht="14.25">
      <c r="A65" s="482"/>
      <c r="B65" s="483" t="s">
        <v>306</v>
      </c>
      <c r="D65" s="1566" t="s">
        <v>1094</v>
      </c>
      <c r="E65" s="1566"/>
      <c r="F65" s="1566"/>
      <c r="I65" s="488"/>
    </row>
    <row r="66" spans="1:9">
      <c r="D66" s="1566"/>
      <c r="E66" s="1566"/>
      <c r="F66" s="1566"/>
      <c r="I66" s="488"/>
    </row>
    <row r="67" spans="1:9">
      <c r="I67" s="488"/>
    </row>
    <row r="68" spans="1:9" ht="14.25">
      <c r="A68" s="482"/>
      <c r="B68" s="483" t="s">
        <v>306</v>
      </c>
      <c r="D68" s="1566" t="s">
        <v>1095</v>
      </c>
      <c r="E68" s="1566"/>
      <c r="F68" s="1566"/>
      <c r="I68" s="488"/>
    </row>
    <row r="69" spans="1:9">
      <c r="D69" s="1566"/>
      <c r="E69" s="1566"/>
      <c r="F69" s="1566"/>
      <c r="I69" s="488"/>
    </row>
    <row r="70" spans="1:9">
      <c r="D70" s="1566"/>
      <c r="E70" s="1566"/>
      <c r="F70" s="1566"/>
      <c r="I70" s="488"/>
    </row>
    <row r="71" spans="1:9">
      <c r="I71" s="488"/>
    </row>
    <row r="72" spans="1:9" ht="14.25">
      <c r="A72" s="482"/>
      <c r="B72" s="483" t="s">
        <v>306</v>
      </c>
      <c r="D72" s="1566" t="s">
        <v>1096</v>
      </c>
      <c r="E72" s="1566"/>
      <c r="F72" s="1566"/>
      <c r="I72" s="488"/>
    </row>
    <row r="73" spans="1:9">
      <c r="D73" s="1566"/>
      <c r="E73" s="1566"/>
      <c r="F73" s="1566"/>
      <c r="I73" s="488"/>
    </row>
    <row r="74" spans="1:9" ht="14.25">
      <c r="A74" s="482"/>
      <c r="B74" s="482"/>
      <c r="D74" s="444"/>
      <c r="I74" s="488"/>
    </row>
    <row r="75" spans="1:9">
      <c r="A75" s="1567" t="s">
        <v>1041</v>
      </c>
      <c r="B75" s="1567"/>
      <c r="C75" s="1567"/>
      <c r="D75" s="1567"/>
      <c r="E75" s="1567"/>
      <c r="F75" s="1567"/>
      <c r="G75" s="1567"/>
      <c r="H75" s="1020"/>
      <c r="I75" s="1142"/>
    </row>
    <row r="76" spans="1:9">
      <c r="I76" s="488"/>
    </row>
    <row r="77" spans="1:9">
      <c r="C77" s="484"/>
      <c r="D77" s="1586" t="s">
        <v>1099</v>
      </c>
      <c r="E77" s="1586"/>
      <c r="F77" s="1586"/>
      <c r="I77" s="488"/>
    </row>
    <row r="78" spans="1:9">
      <c r="A78" s="444"/>
      <c r="B78" s="444"/>
      <c r="D78" s="1566" t="s">
        <v>1114</v>
      </c>
      <c r="E78" s="1566"/>
      <c r="F78" s="1566"/>
      <c r="I78" s="488"/>
    </row>
    <row r="79" spans="1:9">
      <c r="A79" s="444"/>
      <c r="B79" s="444"/>
      <c r="I79" s="488"/>
    </row>
    <row r="80" spans="1:9" ht="13.7" customHeight="1">
      <c r="A80" s="482"/>
      <c r="B80" s="483" t="s">
        <v>306</v>
      </c>
      <c r="D80" s="1566" t="s">
        <v>1242</v>
      </c>
      <c r="E80" s="1566"/>
      <c r="F80" s="1566"/>
      <c r="I80" s="488"/>
    </row>
    <row r="81" spans="1:9" ht="14.25">
      <c r="A81" s="482"/>
      <c r="B81" s="482"/>
      <c r="D81" s="1566"/>
      <c r="E81" s="1566"/>
      <c r="F81" s="1566"/>
      <c r="I81" s="488"/>
    </row>
    <row r="82" spans="1:9" ht="14.25">
      <c r="A82" s="482"/>
      <c r="B82" s="482"/>
      <c r="D82" s="1566"/>
      <c r="E82" s="1566"/>
      <c r="F82" s="1566"/>
      <c r="I82" s="488"/>
    </row>
    <row r="83" spans="1:9" ht="14.25">
      <c r="A83" s="482"/>
      <c r="B83" s="482"/>
      <c r="D83" s="1566"/>
      <c r="E83" s="1566"/>
      <c r="F83" s="1566"/>
      <c r="I83" s="488"/>
    </row>
    <row r="84" spans="1:9" ht="14.25">
      <c r="A84" s="482"/>
      <c r="B84" s="482"/>
      <c r="D84" s="1566"/>
      <c r="E84" s="1566"/>
      <c r="F84" s="1566"/>
      <c r="I84" s="488"/>
    </row>
    <row r="85" spans="1:9" ht="14.25">
      <c r="A85" s="482"/>
      <c r="B85" s="482"/>
      <c r="D85" s="1566"/>
      <c r="E85" s="1566"/>
      <c r="F85" s="1566"/>
      <c r="I85" s="488"/>
    </row>
    <row r="86" spans="1:9" ht="14.25">
      <c r="A86" s="482"/>
      <c r="B86" s="482"/>
      <c r="D86" s="1566"/>
      <c r="E86" s="1566"/>
      <c r="F86" s="1566"/>
      <c r="I86" s="488"/>
    </row>
    <row r="87" spans="1:9" ht="14.25">
      <c r="A87" s="482"/>
      <c r="B87" s="482"/>
      <c r="D87" s="1566"/>
      <c r="E87" s="1566"/>
      <c r="F87" s="1566"/>
      <c r="I87" s="488"/>
    </row>
    <row r="88" spans="1:9" ht="14.25">
      <c r="A88" s="482"/>
      <c r="B88" s="482"/>
      <c r="D88" s="383"/>
      <c r="E88" s="383"/>
      <c r="F88" s="383"/>
      <c r="I88" s="488"/>
    </row>
    <row r="89" spans="1:9" ht="15" customHeight="1">
      <c r="A89" s="482"/>
      <c r="B89" s="483" t="s">
        <v>306</v>
      </c>
      <c r="D89" s="1566" t="s">
        <v>1727</v>
      </c>
      <c r="E89" s="1566"/>
      <c r="F89" s="1566"/>
      <c r="I89" s="488"/>
    </row>
    <row r="90" spans="1:9" ht="14.25">
      <c r="A90" s="482"/>
      <c r="B90" s="482"/>
      <c r="D90" s="1566"/>
      <c r="E90" s="1566"/>
      <c r="F90" s="1566"/>
      <c r="I90" s="488"/>
    </row>
    <row r="91" spans="1:9" ht="14.25">
      <c r="A91" s="482"/>
      <c r="B91" s="482"/>
      <c r="D91" s="443"/>
      <c r="E91" s="443"/>
      <c r="F91" s="443"/>
      <c r="I91" s="488"/>
    </row>
    <row r="92" spans="1:9" ht="14.25">
      <c r="A92" s="482"/>
      <c r="B92" s="483" t="s">
        <v>306</v>
      </c>
      <c r="D92" s="1566" t="s">
        <v>1730</v>
      </c>
      <c r="E92" s="1566"/>
      <c r="F92" s="1566"/>
      <c r="I92" s="488"/>
    </row>
    <row r="93" spans="1:9" ht="14.25">
      <c r="A93" s="482"/>
      <c r="B93" s="482"/>
      <c r="D93" s="1566"/>
      <c r="E93" s="1566"/>
      <c r="F93" s="1566"/>
      <c r="I93" s="488"/>
    </row>
    <row r="94" spans="1:9" ht="14.25">
      <c r="A94" s="482"/>
      <c r="B94" s="482"/>
      <c r="D94" s="1566"/>
      <c r="E94" s="1566"/>
      <c r="F94" s="1566"/>
      <c r="I94" s="488"/>
    </row>
    <row r="95" spans="1:9" ht="14.25">
      <c r="A95" s="482"/>
      <c r="B95" s="482"/>
      <c r="D95" s="443"/>
      <c r="E95" s="443"/>
      <c r="F95" s="443"/>
      <c r="I95" s="488"/>
    </row>
    <row r="96" spans="1:9" ht="14.25">
      <c r="A96" s="482"/>
      <c r="B96" s="483" t="s">
        <v>306</v>
      </c>
      <c r="D96" s="1566" t="s">
        <v>1729</v>
      </c>
      <c r="E96" s="1566"/>
      <c r="F96" s="1566"/>
      <c r="I96" s="488"/>
    </row>
    <row r="97" spans="1:9" s="979" customFormat="1" ht="14.25">
      <c r="A97" s="977"/>
      <c r="B97" s="977"/>
      <c r="C97" s="978"/>
      <c r="D97" s="1566"/>
      <c r="E97" s="1566"/>
      <c r="F97" s="1566"/>
      <c r="I97" s="1143"/>
    </row>
    <row r="98" spans="1:9" ht="14.25">
      <c r="A98" s="482"/>
      <c r="B98" s="482"/>
      <c r="D98" s="390"/>
      <c r="E98" s="310" t="s">
        <v>1893</v>
      </c>
      <c r="F98" s="443"/>
      <c r="I98" s="488"/>
    </row>
    <row r="99" spans="1:9" ht="14.25">
      <c r="A99" s="482"/>
      <c r="B99" s="482"/>
      <c r="D99" s="383"/>
      <c r="E99" s="383"/>
      <c r="F99" s="383"/>
      <c r="I99" s="488"/>
    </row>
    <row r="100" spans="1:9" ht="14.25">
      <c r="A100" s="482"/>
      <c r="B100" s="483" t="s">
        <v>306</v>
      </c>
      <c r="D100" s="1566" t="s">
        <v>1728</v>
      </c>
      <c r="E100" s="1566"/>
      <c r="F100" s="1566"/>
      <c r="I100" s="488"/>
    </row>
    <row r="101" spans="1:9" ht="14.25">
      <c r="A101" s="482"/>
      <c r="B101" s="482"/>
      <c r="D101" s="1566"/>
      <c r="E101" s="1566"/>
      <c r="F101" s="1566"/>
      <c r="I101" s="488"/>
    </row>
    <row r="102" spans="1:9" ht="14.25">
      <c r="A102" s="482"/>
      <c r="B102" s="482"/>
      <c r="D102" s="443"/>
      <c r="E102" s="443"/>
      <c r="F102" s="443"/>
      <c r="I102" s="488"/>
    </row>
    <row r="103" spans="1:9" ht="14.45" customHeight="1">
      <c r="A103" s="482"/>
      <c r="B103" s="483" t="s">
        <v>306</v>
      </c>
      <c r="D103" s="1566" t="s">
        <v>1191</v>
      </c>
      <c r="E103" s="1566"/>
      <c r="F103" s="1566"/>
      <c r="I103" s="488"/>
    </row>
    <row r="104" spans="1:9" ht="14.25">
      <c r="A104" s="482"/>
      <c r="B104" s="482"/>
      <c r="D104" s="1566"/>
      <c r="E104" s="1566"/>
      <c r="F104" s="1566"/>
      <c r="I104" s="488"/>
    </row>
    <row r="105" spans="1:9" ht="14.25">
      <c r="A105" s="482"/>
      <c r="B105" s="482"/>
      <c r="D105" s="1566"/>
      <c r="E105" s="1566"/>
      <c r="F105" s="1566"/>
      <c r="I105" s="488"/>
    </row>
    <row r="106" spans="1:9" ht="14.25">
      <c r="A106" s="482"/>
      <c r="B106" s="482"/>
      <c r="D106" s="1566"/>
      <c r="E106" s="1566"/>
      <c r="F106" s="1566"/>
      <c r="I106" s="488"/>
    </row>
    <row r="107" spans="1:9" ht="14.25">
      <c r="A107" s="482"/>
      <c r="B107" s="482"/>
      <c r="D107" s="1566"/>
      <c r="E107" s="1566"/>
      <c r="F107" s="1566"/>
      <c r="I107" s="488"/>
    </row>
    <row r="108" spans="1:9" ht="14.25">
      <c r="A108" s="482"/>
      <c r="B108" s="482"/>
      <c r="D108" s="1566"/>
      <c r="E108" s="1566"/>
      <c r="F108" s="1566"/>
      <c r="I108" s="488"/>
    </row>
    <row r="109" spans="1:9" ht="14.25">
      <c r="A109" s="482"/>
      <c r="B109" s="482"/>
      <c r="D109" s="1566"/>
      <c r="E109" s="1566"/>
      <c r="F109" s="1566"/>
      <c r="I109" s="488"/>
    </row>
    <row r="110" spans="1:9" ht="14.25">
      <c r="A110" s="482"/>
      <c r="B110" s="482"/>
      <c r="D110" s="1566"/>
      <c r="E110" s="1566"/>
      <c r="F110" s="1566"/>
      <c r="I110" s="488"/>
    </row>
    <row r="111" spans="1:9" ht="14.25">
      <c r="A111" s="482"/>
      <c r="B111" s="482"/>
      <c r="D111" s="1566"/>
      <c r="E111" s="1566"/>
      <c r="F111" s="1566"/>
      <c r="I111" s="488"/>
    </row>
    <row r="112" spans="1:9" ht="14.25">
      <c r="A112" s="482"/>
      <c r="B112" s="482"/>
      <c r="D112" s="1566"/>
      <c r="E112" s="1566"/>
      <c r="F112" s="1566"/>
      <c r="I112" s="488"/>
    </row>
    <row r="113" spans="1:9" ht="14.25">
      <c r="A113" s="482"/>
      <c r="B113" s="482"/>
      <c r="D113" s="1566"/>
      <c r="E113" s="1566"/>
      <c r="F113" s="1566"/>
      <c r="I113" s="488"/>
    </row>
    <row r="114" spans="1:9" ht="14.25">
      <c r="A114" s="482"/>
      <c r="B114" s="482"/>
      <c r="D114" s="1566"/>
      <c r="E114" s="1566"/>
      <c r="F114" s="1566"/>
      <c r="I114" s="488"/>
    </row>
    <row r="115" spans="1:9" ht="14.25">
      <c r="A115" s="482"/>
      <c r="B115" s="482"/>
      <c r="D115" s="1566"/>
      <c r="E115" s="1566"/>
      <c r="F115" s="1566"/>
      <c r="I115" s="488"/>
    </row>
    <row r="116" spans="1:9" ht="14.25">
      <c r="A116" s="482"/>
      <c r="B116" s="482"/>
      <c r="D116" s="1566"/>
      <c r="E116" s="1566"/>
      <c r="F116" s="1566"/>
      <c r="I116" s="488"/>
    </row>
    <row r="117" spans="1:9" ht="14.25">
      <c r="A117" s="482"/>
      <c r="B117" s="482"/>
      <c r="D117" s="1566"/>
      <c r="E117" s="1566"/>
      <c r="F117" s="1566"/>
      <c r="I117" s="488"/>
    </row>
    <row r="118" spans="1:9" ht="14.25">
      <c r="A118" s="482"/>
      <c r="B118" s="482"/>
      <c r="D118" s="522"/>
      <c r="E118" s="522"/>
      <c r="F118" s="522"/>
      <c r="I118" s="488"/>
    </row>
    <row r="119" spans="1:9" ht="14.25" customHeight="1">
      <c r="A119" s="482"/>
      <c r="B119" s="483" t="s">
        <v>306</v>
      </c>
      <c r="D119" s="1592" t="s">
        <v>1100</v>
      </c>
      <c r="E119" s="1592"/>
      <c r="F119" s="1592"/>
      <c r="I119" s="488"/>
    </row>
    <row r="120" spans="1:9" ht="14.25">
      <c r="A120" s="482"/>
      <c r="B120" s="482"/>
      <c r="D120" s="1592"/>
      <c r="E120" s="1592"/>
      <c r="F120" s="1592"/>
      <c r="I120" s="488"/>
    </row>
    <row r="121" spans="1:9" ht="14.25">
      <c r="A121" s="482"/>
      <c r="B121" s="482"/>
      <c r="D121" s="1592"/>
      <c r="E121" s="1592"/>
      <c r="F121" s="1592"/>
      <c r="I121" s="488"/>
    </row>
    <row r="122" spans="1:9" ht="14.25">
      <c r="A122" s="482"/>
      <c r="B122" s="482"/>
      <c r="D122" s="1592"/>
      <c r="E122" s="1592"/>
      <c r="F122" s="1592"/>
      <c r="I122" s="488"/>
    </row>
    <row r="123" spans="1:9" ht="14.25">
      <c r="A123" s="482"/>
      <c r="B123" s="482"/>
      <c r="D123" s="1592"/>
      <c r="E123" s="1592"/>
      <c r="F123" s="1592"/>
      <c r="I123" s="488"/>
    </row>
    <row r="124" spans="1:9" ht="14.25">
      <c r="A124" s="482"/>
      <c r="B124" s="482"/>
      <c r="D124" s="1592"/>
      <c r="E124" s="1592"/>
      <c r="F124" s="1592"/>
      <c r="I124" s="488"/>
    </row>
    <row r="125" spans="1:9" ht="14.25">
      <c r="A125" s="482"/>
      <c r="B125" s="482"/>
      <c r="D125" s="1592"/>
      <c r="E125" s="1592"/>
      <c r="F125" s="1592"/>
      <c r="I125" s="488"/>
    </row>
    <row r="126" spans="1:9" ht="14.25">
      <c r="A126" s="482"/>
      <c r="B126" s="482"/>
      <c r="D126" s="1592"/>
      <c r="E126" s="1592"/>
      <c r="F126" s="1592"/>
      <c r="I126" s="488"/>
    </row>
    <row r="127" spans="1:9">
      <c r="C127" s="400"/>
      <c r="D127" s="523"/>
      <c r="E127" s="523"/>
      <c r="F127" s="523"/>
      <c r="I127" s="488"/>
    </row>
    <row r="128" spans="1:9" ht="14.25">
      <c r="A128" s="482"/>
      <c r="B128" s="483" t="s">
        <v>306</v>
      </c>
      <c r="C128" s="400"/>
      <c r="D128" s="1592" t="s">
        <v>2005</v>
      </c>
      <c r="E128" s="1592"/>
      <c r="F128" s="1592"/>
      <c r="I128" s="488"/>
    </row>
    <row r="129" spans="1:9" ht="14.25">
      <c r="A129" s="482"/>
      <c r="B129" s="482"/>
      <c r="C129" s="400"/>
      <c r="D129" s="1592"/>
      <c r="E129" s="1592"/>
      <c r="F129" s="1592"/>
      <c r="I129" s="488"/>
    </row>
    <row r="130" spans="1:9">
      <c r="I130" s="488"/>
    </row>
    <row r="131" spans="1:9" ht="14.25">
      <c r="A131" s="482"/>
      <c r="B131" s="483" t="s">
        <v>306</v>
      </c>
      <c r="D131" s="1566" t="s">
        <v>1101</v>
      </c>
      <c r="E131" s="1566"/>
      <c r="F131" s="1566"/>
      <c r="I131" s="488"/>
    </row>
    <row r="132" spans="1:9">
      <c r="D132" s="1566"/>
      <c r="E132" s="1566"/>
      <c r="F132" s="1566"/>
      <c r="I132" s="488"/>
    </row>
    <row r="133" spans="1:9">
      <c r="D133" s="1566"/>
      <c r="E133" s="1566"/>
      <c r="F133" s="1566"/>
      <c r="I133" s="488"/>
    </row>
    <row r="134" spans="1:9">
      <c r="D134" s="1566"/>
      <c r="E134" s="1566"/>
      <c r="F134" s="1566"/>
      <c r="I134" s="488"/>
    </row>
    <row r="135" spans="1:9">
      <c r="D135" s="1566"/>
      <c r="E135" s="1566"/>
      <c r="F135" s="1566"/>
      <c r="I135" s="488"/>
    </row>
    <row r="136" spans="1:9">
      <c r="I136" s="488"/>
    </row>
    <row r="137" spans="1:9" ht="14.25">
      <c r="A137" s="482"/>
      <c r="B137" s="483" t="s">
        <v>306</v>
      </c>
      <c r="D137" s="1566" t="s">
        <v>1102</v>
      </c>
      <c r="E137" s="1566"/>
      <c r="F137" s="1566"/>
      <c r="I137" s="488"/>
    </row>
    <row r="138" spans="1:9" s="415" customFormat="1" ht="13.7" customHeight="1">
      <c r="A138" s="486"/>
      <c r="B138" s="486"/>
      <c r="C138" s="486"/>
      <c r="D138" s="1566"/>
      <c r="E138" s="1566"/>
      <c r="F138" s="1566"/>
      <c r="I138" s="1144"/>
    </row>
    <row r="139" spans="1:9" ht="13.7" customHeight="1">
      <c r="D139" s="1566"/>
      <c r="E139" s="1566"/>
      <c r="F139" s="1566"/>
      <c r="I139" s="488"/>
    </row>
    <row r="140" spans="1:9" ht="13.7" customHeight="1">
      <c r="D140" s="1566"/>
      <c r="E140" s="1566"/>
      <c r="F140" s="1566"/>
      <c r="I140" s="488"/>
    </row>
    <row r="141" spans="1:9" ht="13.7" customHeight="1">
      <c r="D141" s="1566"/>
      <c r="E141" s="1566"/>
      <c r="F141" s="1566"/>
      <c r="I141" s="488"/>
    </row>
    <row r="142" spans="1:9" ht="13.7" customHeight="1">
      <c r="A142" s="487"/>
      <c r="B142" s="487"/>
      <c r="D142" s="1566"/>
      <c r="E142" s="1566"/>
      <c r="F142" s="1566"/>
      <c r="I142" s="488"/>
    </row>
    <row r="143" spans="1:9" ht="13.7" customHeight="1">
      <c r="D143" s="1566"/>
      <c r="E143" s="1566"/>
      <c r="F143" s="1566"/>
      <c r="I143" s="488"/>
    </row>
    <row r="144" spans="1:9" ht="13.7" customHeight="1">
      <c r="D144" s="1566"/>
      <c r="E144" s="1566"/>
      <c r="F144" s="1566"/>
      <c r="I144" s="488"/>
    </row>
    <row r="145" spans="2:9" ht="13.7" customHeight="1">
      <c r="D145" s="1566"/>
      <c r="E145" s="1566"/>
      <c r="F145" s="1566"/>
      <c r="I145" s="488"/>
    </row>
    <row r="146" spans="2:9" ht="13.7" customHeight="1">
      <c r="D146" s="1566"/>
      <c r="E146" s="1566"/>
      <c r="F146" s="1566"/>
      <c r="I146" s="488"/>
    </row>
    <row r="147" spans="2:9" ht="13.7" customHeight="1">
      <c r="D147" s="1566"/>
      <c r="E147" s="1566"/>
      <c r="F147" s="1566"/>
      <c r="I147" s="488"/>
    </row>
    <row r="148" spans="2:9" ht="13.7" customHeight="1">
      <c r="D148" s="1566"/>
      <c r="E148" s="1566"/>
      <c r="F148" s="1566"/>
      <c r="I148" s="488"/>
    </row>
    <row r="149" spans="2:9" ht="13.7" customHeight="1">
      <c r="D149" s="1566"/>
      <c r="E149" s="1566"/>
      <c r="F149" s="1566"/>
      <c r="I149" s="488"/>
    </row>
    <row r="150" spans="2:9" ht="13.7" customHeight="1">
      <c r="D150" s="474"/>
      <c r="E150" s="444"/>
      <c r="F150" s="444"/>
      <c r="I150" s="488"/>
    </row>
    <row r="151" spans="2:9" ht="13.7" customHeight="1">
      <c r="B151" s="483" t="s">
        <v>306</v>
      </c>
      <c r="D151" s="1566" t="s">
        <v>1174</v>
      </c>
      <c r="E151" s="1566"/>
      <c r="F151" s="1566"/>
      <c r="I151" s="488"/>
    </row>
    <row r="152" spans="2:9" ht="13.7" customHeight="1">
      <c r="D152" s="1566"/>
      <c r="E152" s="1566"/>
      <c r="F152" s="1566"/>
      <c r="I152" s="488"/>
    </row>
    <row r="153" spans="2:9" ht="13.7" customHeight="1">
      <c r="D153" s="1566"/>
      <c r="E153" s="1566"/>
      <c r="F153" s="1566"/>
      <c r="I153" s="488"/>
    </row>
    <row r="154" spans="2:9" ht="13.7" customHeight="1">
      <c r="D154" s="1566"/>
      <c r="E154" s="1566"/>
      <c r="F154" s="1566"/>
      <c r="I154" s="488"/>
    </row>
    <row r="155" spans="2:9" ht="13.7" customHeight="1">
      <c r="D155" s="1566"/>
      <c r="E155" s="1566"/>
      <c r="F155" s="1566"/>
      <c r="I155" s="488"/>
    </row>
    <row r="156" spans="2:9" ht="13.7" customHeight="1">
      <c r="D156" s="1566"/>
      <c r="E156" s="1566"/>
      <c r="F156" s="1566"/>
      <c r="I156" s="488"/>
    </row>
    <row r="157" spans="2:9" ht="13.7" customHeight="1">
      <c r="D157" s="1566"/>
      <c r="E157" s="1566"/>
      <c r="F157" s="1566"/>
      <c r="I157" s="488"/>
    </row>
    <row r="158" spans="2:9" ht="13.7" customHeight="1">
      <c r="D158" s="1566"/>
      <c r="E158" s="1566"/>
      <c r="F158" s="1566"/>
      <c r="I158" s="488"/>
    </row>
    <row r="159" spans="2:9" ht="13.7" customHeight="1">
      <c r="D159" s="1566"/>
      <c r="E159" s="1566"/>
      <c r="F159" s="1566"/>
      <c r="I159" s="488"/>
    </row>
    <row r="160" spans="2:9" ht="13.7" customHeight="1">
      <c r="D160" s="1566"/>
      <c r="E160" s="1566"/>
      <c r="F160" s="1566"/>
      <c r="I160" s="488"/>
    </row>
    <row r="161" spans="1:9" ht="13.7" customHeight="1">
      <c r="D161" s="1566"/>
      <c r="E161" s="1566"/>
      <c r="F161" s="1566"/>
      <c r="I161" s="488"/>
    </row>
    <row r="162" spans="1:9" ht="13.7" customHeight="1">
      <c r="D162" s="1566"/>
      <c r="E162" s="1566"/>
      <c r="F162" s="1566"/>
      <c r="I162" s="488"/>
    </row>
    <row r="163" spans="1:9" ht="13.7" customHeight="1">
      <c r="D163" s="1566"/>
      <c r="E163" s="1566"/>
      <c r="F163" s="1566"/>
      <c r="I163" s="488"/>
    </row>
    <row r="164" spans="1:9" ht="13.7" customHeight="1">
      <c r="D164" s="1566"/>
      <c r="E164" s="1566"/>
      <c r="F164" s="1566"/>
      <c r="I164" s="488"/>
    </row>
    <row r="165" spans="1:9" ht="13.7" customHeight="1">
      <c r="D165" s="1566"/>
      <c r="E165" s="1566"/>
      <c r="F165" s="1566"/>
      <c r="I165" s="488"/>
    </row>
    <row r="166" spans="1:9" ht="13.7" customHeight="1">
      <c r="D166" s="1566"/>
      <c r="E166" s="1566"/>
      <c r="F166" s="1566"/>
      <c r="I166" s="488"/>
    </row>
    <row r="167" spans="1:9" ht="13.7" customHeight="1">
      <c r="D167" s="1566"/>
      <c r="E167" s="1566"/>
      <c r="F167" s="1566"/>
      <c r="I167" s="488"/>
    </row>
    <row r="168" spans="1:9" ht="13.7" customHeight="1">
      <c r="D168" s="1566"/>
      <c r="E168" s="1566"/>
      <c r="F168" s="1566"/>
      <c r="I168" s="488"/>
    </row>
    <row r="169" spans="1:9" ht="13.7" customHeight="1">
      <c r="D169" s="1589" t="s">
        <v>2027</v>
      </c>
      <c r="E169" s="1589"/>
      <c r="F169" s="1589"/>
      <c r="G169" s="505"/>
      <c r="I169" s="488"/>
    </row>
    <row r="170" spans="1:9" ht="13.7" customHeight="1">
      <c r="D170" s="1576"/>
      <c r="E170" s="1576"/>
      <c r="F170" s="1576"/>
      <c r="G170" s="1576"/>
      <c r="I170" s="488"/>
    </row>
    <row r="171" spans="1:9" ht="14.45" customHeight="1">
      <c r="A171" s="487"/>
      <c r="B171" s="483" t="s">
        <v>306</v>
      </c>
      <c r="C171" s="474"/>
      <c r="D171" s="1538" t="s">
        <v>2163</v>
      </c>
      <c r="E171" s="1538"/>
      <c r="F171" s="1538"/>
      <c r="G171" s="474"/>
      <c r="I171" s="488"/>
    </row>
    <row r="172" spans="1:9" ht="14.45" customHeight="1">
      <c r="A172" s="487"/>
      <c r="B172" s="487"/>
      <c r="C172" s="474"/>
      <c r="D172" s="1538"/>
      <c r="E172" s="1538"/>
      <c r="F172" s="1538"/>
      <c r="G172" s="474"/>
      <c r="I172" s="488"/>
    </row>
    <row r="173" spans="1:9" ht="14.45" customHeight="1">
      <c r="A173" s="487"/>
      <c r="B173" s="487"/>
      <c r="C173" s="474"/>
      <c r="D173" s="1538"/>
      <c r="E173" s="1538"/>
      <c r="F173" s="1538"/>
      <c r="G173" s="474"/>
      <c r="I173" s="488"/>
    </row>
    <row r="174" spans="1:9" ht="14.45" customHeight="1">
      <c r="A174" s="487"/>
      <c r="B174" s="487"/>
      <c r="C174" s="474"/>
      <c r="D174" s="1538"/>
      <c r="E174" s="1538"/>
      <c r="F174" s="1538"/>
      <c r="G174" s="474"/>
      <c r="I174" s="488"/>
    </row>
    <row r="175" spans="1:9" ht="13.7" customHeight="1">
      <c r="A175" s="487"/>
      <c r="B175" s="487"/>
      <c r="C175" s="474"/>
      <c r="D175" s="1538"/>
      <c r="E175" s="1538"/>
      <c r="F175" s="1538"/>
      <c r="G175" s="474"/>
      <c r="I175" s="488"/>
    </row>
    <row r="176" spans="1:9" ht="13.7" customHeight="1">
      <c r="A176" s="487"/>
      <c r="B176" s="487"/>
      <c r="C176" s="474"/>
      <c r="D176" s="474"/>
      <c r="E176" s="474"/>
      <c r="F176" s="474"/>
      <c r="G176" s="474"/>
      <c r="I176" s="488"/>
    </row>
    <row r="177" spans="1:9" ht="13.7" customHeight="1">
      <c r="A177" s="487"/>
      <c r="B177" s="483" t="s">
        <v>306</v>
      </c>
      <c r="C177" s="474"/>
      <c r="D177" s="1538" t="s">
        <v>1103</v>
      </c>
      <c r="E177" s="1538"/>
      <c r="F177" s="1538"/>
      <c r="G177" s="474"/>
      <c r="I177" s="488"/>
    </row>
    <row r="178" spans="1:9" ht="13.7" customHeight="1">
      <c r="A178" s="487"/>
      <c r="B178" s="487"/>
      <c r="C178" s="474"/>
      <c r="D178" s="1538"/>
      <c r="E178" s="1538"/>
      <c r="F178" s="1538"/>
      <c r="G178" s="474"/>
      <c r="I178" s="488"/>
    </row>
    <row r="179" spans="1:9" ht="13.7" customHeight="1">
      <c r="A179" s="487"/>
      <c r="B179" s="487"/>
      <c r="C179" s="474"/>
      <c r="D179" s="1538"/>
      <c r="E179" s="1538"/>
      <c r="F179" s="1538"/>
      <c r="G179" s="474"/>
      <c r="I179" s="488"/>
    </row>
    <row r="180" spans="1:9" ht="13.7" customHeight="1">
      <c r="A180" s="487"/>
      <c r="B180" s="487"/>
      <c r="C180" s="474"/>
      <c r="D180" s="1538"/>
      <c r="E180" s="1538"/>
      <c r="F180" s="1538"/>
      <c r="G180" s="474"/>
      <c r="I180" s="488"/>
    </row>
    <row r="181" spans="1:9" ht="13.7" customHeight="1">
      <c r="D181" s="444"/>
      <c r="E181" s="444"/>
      <c r="F181" s="444"/>
      <c r="I181" s="488"/>
    </row>
    <row r="182" spans="1:9" ht="13.7" hidden="1" customHeight="1">
      <c r="B182" s="483" t="s">
        <v>306</v>
      </c>
      <c r="D182" s="1582" t="s">
        <v>2006</v>
      </c>
      <c r="E182" s="1582"/>
      <c r="F182" s="1582"/>
      <c r="I182" s="488"/>
    </row>
    <row r="183" spans="1:9" ht="13.7" hidden="1" customHeight="1">
      <c r="D183" s="1582"/>
      <c r="E183" s="1582"/>
      <c r="F183" s="1582"/>
      <c r="I183" s="488"/>
    </row>
    <row r="184" spans="1:9" ht="13.7" hidden="1" customHeight="1">
      <c r="D184" s="1582"/>
      <c r="E184" s="1582"/>
      <c r="F184" s="1582"/>
      <c r="I184" s="488"/>
    </row>
    <row r="185" spans="1:9" ht="13.7" customHeight="1">
      <c r="A185" s="488"/>
      <c r="B185" s="488"/>
      <c r="E185" s="444"/>
      <c r="F185" s="444"/>
      <c r="I185" s="488"/>
    </row>
    <row r="186" spans="1:9">
      <c r="A186" s="1567" t="s">
        <v>2007</v>
      </c>
      <c r="B186" s="1567"/>
      <c r="C186" s="1567"/>
      <c r="D186" s="1567"/>
      <c r="E186" s="1567"/>
      <c r="F186" s="1567"/>
      <c r="G186" s="1567"/>
      <c r="H186" s="1020"/>
      <c r="I186" s="1142"/>
    </row>
    <row r="187" spans="1:9" ht="12" customHeight="1">
      <c r="D187" s="444"/>
      <c r="E187" s="444"/>
      <c r="F187" s="444"/>
      <c r="I187" s="488"/>
    </row>
    <row r="188" spans="1:9">
      <c r="B188" s="1572" t="s">
        <v>445</v>
      </c>
      <c r="C188" s="1572"/>
      <c r="D188" s="1572"/>
      <c r="E188" s="1572"/>
      <c r="F188" s="1572"/>
      <c r="I188" s="488"/>
    </row>
    <row r="189" spans="1:9">
      <c r="B189" s="390" t="s">
        <v>1845</v>
      </c>
      <c r="C189" s="390"/>
      <c r="D189" s="390"/>
      <c r="E189" s="390"/>
      <c r="F189" s="390"/>
      <c r="I189" s="488"/>
    </row>
    <row r="190" spans="1:9" ht="12" customHeight="1">
      <c r="A190" s="480"/>
      <c r="B190" s="480"/>
      <c r="C190" s="480"/>
      <c r="I190" s="488"/>
    </row>
    <row r="191" spans="1:9">
      <c r="A191" s="1567" t="s">
        <v>1042</v>
      </c>
      <c r="B191" s="1567"/>
      <c r="C191" s="1567"/>
      <c r="D191" s="1567"/>
      <c r="E191" s="1567"/>
      <c r="F191" s="1567"/>
      <c r="G191" s="1567"/>
      <c r="H191" s="1020"/>
      <c r="I191" s="1142"/>
    </row>
    <row r="192" spans="1:9" ht="12" customHeight="1">
      <c r="A192" s="402"/>
      <c r="B192" s="402"/>
      <c r="E192" s="402"/>
      <c r="I192" s="488"/>
    </row>
    <row r="193" spans="1:9" ht="13.7" customHeight="1">
      <c r="A193" s="402"/>
      <c r="B193" s="402"/>
      <c r="D193" s="1586" t="s">
        <v>1731</v>
      </c>
      <c r="E193" s="1586"/>
      <c r="F193" s="1586"/>
      <c r="I193" s="488"/>
    </row>
    <row r="194" spans="1:9">
      <c r="A194" s="402"/>
      <c r="B194" s="402"/>
      <c r="D194" s="1586"/>
      <c r="E194" s="1586"/>
      <c r="F194" s="1586"/>
      <c r="I194" s="488"/>
    </row>
    <row r="195" spans="1:9">
      <c r="A195" s="402"/>
      <c r="B195" s="402"/>
      <c r="D195" s="1572" t="s">
        <v>1192</v>
      </c>
      <c r="E195" s="1572"/>
      <c r="F195" s="1572"/>
      <c r="I195" s="488"/>
    </row>
    <row r="196" spans="1:9">
      <c r="A196" s="402"/>
      <c r="B196" s="402"/>
      <c r="D196" s="390"/>
      <c r="E196" s="390"/>
      <c r="F196" s="390"/>
      <c r="I196" s="488"/>
    </row>
    <row r="197" spans="1:9">
      <c r="A197" s="402"/>
      <c r="B197" s="483" t="s">
        <v>306</v>
      </c>
      <c r="D197" s="1556" t="s">
        <v>1732</v>
      </c>
      <c r="E197" s="1556"/>
      <c r="F197" s="1556"/>
      <c r="I197" s="488"/>
    </row>
    <row r="198" spans="1:9">
      <c r="A198" s="402"/>
      <c r="B198" s="402"/>
      <c r="D198" s="1547" t="s">
        <v>1871</v>
      </c>
      <c r="E198" s="1547"/>
      <c r="F198" s="1547"/>
      <c r="I198" s="488"/>
    </row>
    <row r="199" spans="1:9">
      <c r="A199" s="402"/>
      <c r="B199" s="402"/>
      <c r="D199" s="96" t="s">
        <v>1733</v>
      </c>
      <c r="E199" s="1594" t="s">
        <v>1894</v>
      </c>
      <c r="F199" s="1594"/>
      <c r="I199" s="488"/>
    </row>
    <row r="200" spans="1:9">
      <c r="A200" s="402"/>
      <c r="B200" s="402"/>
      <c r="D200" s="3"/>
      <c r="E200" s="3"/>
      <c r="F200" s="3"/>
      <c r="I200" s="488"/>
    </row>
    <row r="201" spans="1:9">
      <c r="A201" s="402"/>
      <c r="B201" s="483" t="s">
        <v>306</v>
      </c>
      <c r="D201" s="1547" t="s">
        <v>1734</v>
      </c>
      <c r="E201" s="1547"/>
      <c r="F201" s="1547"/>
      <c r="I201" s="488"/>
    </row>
    <row r="202" spans="1:9">
      <c r="A202" s="402"/>
      <c r="B202" s="402"/>
      <c r="D202" s="1556" t="s">
        <v>1871</v>
      </c>
      <c r="E202" s="1556"/>
      <c r="F202" s="1556"/>
      <c r="I202" s="488"/>
    </row>
    <row r="203" spans="1:9">
      <c r="A203" s="402"/>
      <c r="B203" s="402"/>
      <c r="D203" s="57" t="s">
        <v>1735</v>
      </c>
      <c r="E203" s="1594" t="s">
        <v>1895</v>
      </c>
      <c r="F203" s="1594"/>
      <c r="I203" s="488"/>
    </row>
    <row r="204" spans="1:9">
      <c r="A204" s="402"/>
      <c r="B204" s="402"/>
      <c r="D204" s="3"/>
      <c r="E204" s="3"/>
      <c r="F204" s="3"/>
      <c r="I204" s="488"/>
    </row>
    <row r="205" spans="1:9">
      <c r="A205" s="402"/>
      <c r="B205" s="483" t="s">
        <v>306</v>
      </c>
      <c r="D205" s="1547" t="s">
        <v>1736</v>
      </c>
      <c r="E205" s="1547"/>
      <c r="F205" s="1547"/>
      <c r="I205" s="488"/>
    </row>
    <row r="206" spans="1:9">
      <c r="A206" s="402"/>
      <c r="B206" s="402"/>
      <c r="D206" s="1556" t="s">
        <v>1871</v>
      </c>
      <c r="E206" s="1556"/>
      <c r="F206" s="1556"/>
      <c r="I206" s="488"/>
    </row>
    <row r="207" spans="1:9">
      <c r="A207" s="402"/>
      <c r="B207" s="402"/>
      <c r="D207" s="57" t="s">
        <v>1733</v>
      </c>
      <c r="E207" s="1594" t="s">
        <v>1896</v>
      </c>
      <c r="F207" s="1594"/>
      <c r="I207" s="488"/>
    </row>
    <row r="208" spans="1:9">
      <c r="A208" s="402"/>
      <c r="B208" s="402"/>
      <c r="D208" s="390"/>
      <c r="E208" s="390"/>
      <c r="F208" s="390"/>
      <c r="I208" s="488"/>
    </row>
    <row r="209" spans="1:9" ht="14.25" customHeight="1">
      <c r="A209" s="482"/>
      <c r="B209" s="483" t="s">
        <v>306</v>
      </c>
      <c r="D209" s="384" t="s">
        <v>1864</v>
      </c>
      <c r="E209" s="383"/>
      <c r="F209" s="383"/>
      <c r="I209" s="488"/>
    </row>
    <row r="210" spans="1:9" ht="14.25">
      <c r="A210" s="482"/>
      <c r="B210" s="482"/>
      <c r="D210" s="1556" t="s">
        <v>1871</v>
      </c>
      <c r="E210" s="1556"/>
      <c r="F210" s="1556"/>
      <c r="I210" s="488"/>
    </row>
    <row r="211" spans="1:9">
      <c r="D211" s="383"/>
      <c r="E211" s="1594" t="s">
        <v>1897</v>
      </c>
      <c r="F211" s="1594"/>
      <c r="I211" s="488"/>
    </row>
    <row r="212" spans="1:9">
      <c r="D212" s="445"/>
      <c r="I212" s="488"/>
    </row>
    <row r="213" spans="1:9">
      <c r="B213" s="483" t="s">
        <v>306</v>
      </c>
      <c r="D213" s="1547" t="s">
        <v>1737</v>
      </c>
      <c r="E213" s="1547"/>
      <c r="F213" s="1547"/>
      <c r="I213" s="488"/>
    </row>
    <row r="214" spans="1:9">
      <c r="D214" s="1556" t="s">
        <v>1871</v>
      </c>
      <c r="E214" s="1556"/>
      <c r="F214" s="1556"/>
      <c r="I214" s="488"/>
    </row>
    <row r="215" spans="1:9">
      <c r="D215" s="57" t="s">
        <v>1733</v>
      </c>
      <c r="E215" s="1594" t="s">
        <v>1898</v>
      </c>
      <c r="F215" s="1594"/>
      <c r="I215" s="488"/>
    </row>
    <row r="216" spans="1:9">
      <c r="D216" s="449"/>
      <c r="E216" s="449"/>
      <c r="F216" s="449"/>
      <c r="I216" s="488"/>
    </row>
    <row r="217" spans="1:9" ht="14.25">
      <c r="A217" s="482"/>
      <c r="B217" s="483" t="s">
        <v>306</v>
      </c>
      <c r="D217" s="1566" t="s">
        <v>1213</v>
      </c>
      <c r="E217" s="1566"/>
      <c r="F217" s="1566"/>
      <c r="I217" s="488"/>
    </row>
    <row r="218" spans="1:9" ht="14.45" customHeight="1">
      <c r="A218" s="482"/>
      <c r="B218" s="400"/>
      <c r="D218" s="1566"/>
      <c r="E218" s="1566"/>
      <c r="F218" s="1566"/>
      <c r="I218" s="488"/>
    </row>
    <row r="219" spans="1:9" ht="14.25">
      <c r="A219" s="482"/>
      <c r="D219" s="1566"/>
      <c r="E219" s="1566"/>
      <c r="F219" s="1566"/>
      <c r="I219" s="488"/>
    </row>
    <row r="220" spans="1:9" ht="14.25">
      <c r="A220" s="482"/>
      <c r="D220" s="1566"/>
      <c r="E220" s="1566"/>
      <c r="F220" s="1566"/>
      <c r="I220" s="488"/>
    </row>
    <row r="221" spans="1:9">
      <c r="D221" s="449"/>
      <c r="E221" s="449"/>
      <c r="F221" s="449"/>
      <c r="I221" s="488"/>
    </row>
    <row r="222" spans="1:9">
      <c r="A222" s="1567" t="s">
        <v>1043</v>
      </c>
      <c r="B222" s="1567"/>
      <c r="C222" s="1567"/>
      <c r="D222" s="1567"/>
      <c r="E222" s="1567"/>
      <c r="F222" s="1567"/>
      <c r="G222" s="1567"/>
      <c r="H222" s="1020"/>
      <c r="I222" s="1142"/>
    </row>
    <row r="223" spans="1:9" ht="12" customHeight="1">
      <c r="D223" s="444"/>
      <c r="E223" s="444"/>
      <c r="F223" s="444"/>
      <c r="I223" s="488"/>
    </row>
    <row r="224" spans="1:9">
      <c r="C224" s="484"/>
      <c r="D224" s="1569" t="s">
        <v>207</v>
      </c>
      <c r="E224" s="1569"/>
      <c r="F224" s="1569"/>
      <c r="I224" s="488"/>
    </row>
    <row r="225" spans="1:9">
      <c r="A225" s="480"/>
      <c r="B225" s="480"/>
      <c r="C225" s="480"/>
      <c r="D225" s="1568" t="s">
        <v>1117</v>
      </c>
      <c r="E225" s="1568"/>
      <c r="F225" s="1568"/>
      <c r="I225" s="488"/>
    </row>
    <row r="226" spans="1:9" ht="12" customHeight="1">
      <c r="A226" s="488"/>
      <c r="B226" s="488"/>
      <c r="C226" s="488"/>
      <c r="I226" s="488"/>
    </row>
    <row r="227" spans="1:9" ht="13.7" customHeight="1">
      <c r="A227" s="488"/>
      <c r="C227" s="488"/>
      <c r="D227" s="1569" t="s">
        <v>545</v>
      </c>
      <c r="E227" s="1569"/>
      <c r="F227" s="1569"/>
      <c r="I227" s="488"/>
    </row>
    <row r="228" spans="1:9" ht="14.25">
      <c r="A228" s="482"/>
      <c r="B228" s="483" t="s">
        <v>306</v>
      </c>
      <c r="D228" s="1566" t="s">
        <v>1738</v>
      </c>
      <c r="E228" s="1566"/>
      <c r="F228" s="1566"/>
      <c r="I228" s="488"/>
    </row>
    <row r="229" spans="1:9" ht="14.25" customHeight="1">
      <c r="A229" s="482"/>
      <c r="B229" s="482"/>
      <c r="D229" s="1566"/>
      <c r="E229" s="1566"/>
      <c r="F229" s="1566"/>
      <c r="I229" s="488"/>
    </row>
    <row r="230" spans="1:9" ht="14.25" customHeight="1">
      <c r="A230" s="482"/>
      <c r="B230" s="482"/>
      <c r="D230" s="1566"/>
      <c r="E230" s="1566"/>
      <c r="F230" s="1566"/>
      <c r="I230" s="488"/>
    </row>
    <row r="231" spans="1:9" ht="14.25">
      <c r="A231" s="482"/>
      <c r="B231" s="482"/>
      <c r="D231" s="1566"/>
      <c r="E231" s="1566"/>
      <c r="F231" s="1566"/>
      <c r="I231" s="488"/>
    </row>
    <row r="232" spans="1:9" ht="14.25">
      <c r="A232" s="482"/>
      <c r="B232" s="482"/>
      <c r="D232" s="443"/>
      <c r="E232" s="443"/>
      <c r="F232" s="443"/>
      <c r="I232" s="488"/>
    </row>
    <row r="233" spans="1:9" ht="14.25">
      <c r="A233" s="482"/>
      <c r="B233" s="483" t="s">
        <v>306</v>
      </c>
      <c r="D233" s="1566" t="s">
        <v>1739</v>
      </c>
      <c r="E233" s="1566"/>
      <c r="F233" s="1566"/>
      <c r="I233" s="488"/>
    </row>
    <row r="234" spans="1:9" ht="14.25">
      <c r="A234" s="482"/>
      <c r="B234" s="482"/>
      <c r="D234" s="1566"/>
      <c r="E234" s="1566"/>
      <c r="F234" s="1566"/>
      <c r="I234" s="488"/>
    </row>
    <row r="235" spans="1:9" ht="14.25">
      <c r="A235" s="482"/>
      <c r="B235" s="482"/>
      <c r="D235" s="1566"/>
      <c r="E235" s="1566"/>
      <c r="F235" s="1566"/>
      <c r="I235" s="488"/>
    </row>
    <row r="236" spans="1:9" ht="14.25">
      <c r="A236" s="482"/>
      <c r="B236" s="482"/>
      <c r="D236" s="1566"/>
      <c r="E236" s="1566"/>
      <c r="F236" s="1566"/>
      <c r="I236" s="488"/>
    </row>
    <row r="237" spans="1:9" ht="14.25" customHeight="1">
      <c r="A237" s="482"/>
      <c r="B237" s="482"/>
      <c r="D237" s="1566"/>
      <c r="E237" s="1566"/>
      <c r="F237" s="1566"/>
      <c r="I237" s="488"/>
    </row>
    <row r="238" spans="1:9" ht="14.25" customHeight="1">
      <c r="A238" s="482"/>
      <c r="B238" s="482"/>
      <c r="D238" s="443"/>
      <c r="E238" s="443"/>
      <c r="F238" s="443"/>
      <c r="I238" s="488"/>
    </row>
    <row r="239" spans="1:9" ht="14.25">
      <c r="A239" s="482"/>
      <c r="B239" s="482"/>
      <c r="D239" s="1566" t="s">
        <v>1115</v>
      </c>
      <c r="E239" s="1566"/>
      <c r="F239" s="1566"/>
      <c r="I239" s="488"/>
    </row>
    <row r="240" spans="1:9" ht="14.25">
      <c r="A240" s="482"/>
      <c r="B240" s="482"/>
      <c r="D240" s="1566"/>
      <c r="E240" s="1566"/>
      <c r="F240" s="1566"/>
      <c r="I240" s="488"/>
    </row>
    <row r="241" spans="1:9" ht="14.25">
      <c r="A241" s="482"/>
      <c r="B241" s="482"/>
      <c r="D241" s="1566"/>
      <c r="E241" s="1566"/>
      <c r="F241" s="1566"/>
      <c r="I241" s="488"/>
    </row>
    <row r="242" spans="1:9" ht="14.25">
      <c r="A242" s="482"/>
      <c r="B242" s="482"/>
      <c r="D242" s="1566"/>
      <c r="E242" s="1566"/>
      <c r="F242" s="1566"/>
      <c r="I242" s="488"/>
    </row>
    <row r="243" spans="1:9" ht="14.25">
      <c r="A243" s="482"/>
      <c r="B243" s="482"/>
      <c r="D243" s="1566"/>
      <c r="E243" s="1566"/>
      <c r="F243" s="1566"/>
      <c r="I243" s="488"/>
    </row>
    <row r="244" spans="1:9" ht="14.25">
      <c r="A244" s="482"/>
      <c r="B244" s="482"/>
      <c r="D244" s="444"/>
      <c r="E244" s="444"/>
      <c r="F244" s="444"/>
      <c r="I244" s="488"/>
    </row>
    <row r="245" spans="1:9" ht="14.25">
      <c r="A245" s="482"/>
      <c r="B245" s="483" t="s">
        <v>306</v>
      </c>
      <c r="D245" s="1566" t="s">
        <v>2008</v>
      </c>
      <c r="E245" s="1566"/>
      <c r="F245" s="1566"/>
      <c r="I245" s="488"/>
    </row>
    <row r="246" spans="1:9" ht="14.25">
      <c r="A246" s="482"/>
      <c r="B246" s="482"/>
      <c r="D246" s="1566"/>
      <c r="E246" s="1566"/>
      <c r="F246" s="1566"/>
      <c r="I246" s="488"/>
    </row>
    <row r="247" spans="1:9" ht="14.25">
      <c r="A247" s="482"/>
      <c r="B247" s="482"/>
      <c r="D247" s="1566"/>
      <c r="E247" s="1566"/>
      <c r="F247" s="1566"/>
      <c r="I247" s="488"/>
    </row>
    <row r="248" spans="1:9" ht="14.25">
      <c r="A248" s="482"/>
      <c r="B248" s="482"/>
      <c r="E248" s="1028" t="s">
        <v>1865</v>
      </c>
      <c r="I248" s="488"/>
    </row>
    <row r="249" spans="1:9" ht="14.25">
      <c r="A249" s="482"/>
      <c r="B249" s="482"/>
      <c r="D249" s="444"/>
      <c r="E249" s="444"/>
      <c r="F249" s="444"/>
      <c r="I249" s="488"/>
    </row>
    <row r="250" spans="1:9" ht="14.45" customHeight="1">
      <c r="A250" s="482"/>
      <c r="B250" s="483" t="s">
        <v>306</v>
      </c>
      <c r="D250" s="1566" t="s">
        <v>2009</v>
      </c>
      <c r="E250" s="1566"/>
      <c r="F250" s="1566"/>
      <c r="I250" s="488"/>
    </row>
    <row r="251" spans="1:9" ht="14.25">
      <c r="A251" s="482"/>
      <c r="B251" s="482"/>
      <c r="D251" s="1566"/>
      <c r="E251" s="1566"/>
      <c r="F251" s="1566"/>
      <c r="I251" s="488"/>
    </row>
    <row r="252" spans="1:9" ht="14.25">
      <c r="A252" s="482"/>
      <c r="B252" s="482"/>
      <c r="D252" s="1566"/>
      <c r="E252" s="1566"/>
      <c r="F252" s="1566"/>
      <c r="I252" s="488"/>
    </row>
    <row r="253" spans="1:9" ht="14.25">
      <c r="A253" s="482"/>
      <c r="B253" s="482"/>
      <c r="D253" s="1566"/>
      <c r="E253" s="1566"/>
      <c r="F253" s="1566"/>
      <c r="I253" s="488"/>
    </row>
    <row r="254" spans="1:9" ht="14.25">
      <c r="A254" s="482"/>
      <c r="B254" s="482"/>
      <c r="D254" s="1566"/>
      <c r="E254" s="1566"/>
      <c r="F254" s="1566"/>
      <c r="I254" s="488"/>
    </row>
    <row r="255" spans="1:9" ht="14.25">
      <c r="A255" s="482"/>
      <c r="B255" s="482"/>
      <c r="D255" s="443"/>
      <c r="E255" s="443"/>
      <c r="F255" s="443"/>
      <c r="I255" s="488"/>
    </row>
    <row r="256" spans="1:9" ht="14.25">
      <c r="A256" s="482"/>
      <c r="B256" s="483" t="s">
        <v>306</v>
      </c>
      <c r="D256" s="390" t="s">
        <v>2010</v>
      </c>
      <c r="E256" s="443"/>
      <c r="F256" s="443"/>
      <c r="I256" s="488"/>
    </row>
    <row r="257" spans="1:9" ht="14.25">
      <c r="A257" s="482"/>
      <c r="B257" s="482"/>
      <c r="E257" s="1028" t="s">
        <v>1866</v>
      </c>
      <c r="I257" s="488"/>
    </row>
    <row r="258" spans="1:9">
      <c r="D258" s="444"/>
      <c r="E258" s="444"/>
      <c r="F258" s="444"/>
      <c r="I258" s="488"/>
    </row>
    <row r="259" spans="1:9" ht="14.25">
      <c r="A259" s="482"/>
      <c r="B259" s="483" t="s">
        <v>306</v>
      </c>
      <c r="D259" s="1566" t="s">
        <v>1116</v>
      </c>
      <c r="E259" s="1566"/>
      <c r="F259" s="1566"/>
      <c r="I259" s="488"/>
    </row>
    <row r="260" spans="1:9" ht="14.25">
      <c r="A260" s="482"/>
      <c r="B260" s="482"/>
      <c r="D260" s="1566"/>
      <c r="E260" s="1566"/>
      <c r="F260" s="1566"/>
      <c r="I260" s="488"/>
    </row>
    <row r="261" spans="1:9">
      <c r="D261" s="489"/>
      <c r="I261" s="488"/>
    </row>
    <row r="262" spans="1:9">
      <c r="A262" s="1567" t="s">
        <v>1044</v>
      </c>
      <c r="B262" s="1567"/>
      <c r="C262" s="1567"/>
      <c r="D262" s="1567"/>
      <c r="E262" s="1567"/>
      <c r="F262" s="1567"/>
      <c r="G262" s="1567"/>
      <c r="H262" s="1020"/>
      <c r="I262" s="1142"/>
    </row>
    <row r="263" spans="1:9">
      <c r="D263" s="489"/>
      <c r="I263" s="488"/>
    </row>
    <row r="264" spans="1:9">
      <c r="C264" s="484"/>
      <c r="D264" s="1569" t="s">
        <v>1118</v>
      </c>
      <c r="E264" s="1569"/>
      <c r="F264" s="1569"/>
      <c r="I264" s="488"/>
    </row>
    <row r="265" spans="1:9">
      <c r="A265" s="480"/>
      <c r="B265" s="480"/>
      <c r="C265" s="480"/>
      <c r="D265" s="444"/>
      <c r="E265" s="444"/>
      <c r="F265" s="444"/>
      <c r="I265" s="488"/>
    </row>
    <row r="266" spans="1:9">
      <c r="A266" s="481"/>
      <c r="B266" s="481"/>
      <c r="C266" s="481"/>
      <c r="D266" s="1569" t="s">
        <v>268</v>
      </c>
      <c r="E266" s="1569"/>
      <c r="F266" s="1569"/>
      <c r="I266" s="488"/>
    </row>
    <row r="267" spans="1:9" ht="14.45" customHeight="1">
      <c r="A267" s="482"/>
      <c r="B267" s="483" t="s">
        <v>306</v>
      </c>
      <c r="D267" s="1566" t="s">
        <v>1193</v>
      </c>
      <c r="E267" s="1566"/>
      <c r="F267" s="1566"/>
      <c r="I267" s="488"/>
    </row>
    <row r="268" spans="1:9">
      <c r="D268" s="1566"/>
      <c r="E268" s="1566"/>
      <c r="F268" s="1566"/>
      <c r="I268" s="488"/>
    </row>
    <row r="269" spans="1:9">
      <c r="E269" s="1028" t="s">
        <v>1867</v>
      </c>
      <c r="I269" s="488"/>
    </row>
    <row r="270" spans="1:9">
      <c r="D270" s="444"/>
      <c r="E270" s="444"/>
      <c r="F270" s="444"/>
      <c r="I270" s="488"/>
    </row>
    <row r="271" spans="1:9" ht="14.45" customHeight="1">
      <c r="A271" s="482"/>
      <c r="B271" s="483" t="s">
        <v>306</v>
      </c>
      <c r="D271" s="1566" t="s">
        <v>2011</v>
      </c>
      <c r="E271" s="1566"/>
      <c r="F271" s="1566"/>
      <c r="I271" s="488"/>
    </row>
    <row r="272" spans="1:9">
      <c r="D272" s="1566"/>
      <c r="E272" s="1566"/>
      <c r="F272" s="1566"/>
      <c r="I272" s="488"/>
    </row>
    <row r="273" spans="1:9">
      <c r="D273" s="1566"/>
      <c r="E273" s="1566"/>
      <c r="F273" s="1566"/>
      <c r="I273" s="488"/>
    </row>
    <row r="274" spans="1:9">
      <c r="D274" s="1566"/>
      <c r="E274" s="1566"/>
      <c r="F274" s="1566"/>
      <c r="I274" s="488"/>
    </row>
    <row r="275" spans="1:9">
      <c r="D275" s="1566"/>
      <c r="E275" s="1566"/>
      <c r="F275" s="1566"/>
      <c r="I275" s="488"/>
    </row>
    <row r="276" spans="1:9">
      <c r="D276" s="1566"/>
      <c r="E276" s="1566"/>
      <c r="F276" s="1566"/>
      <c r="I276" s="488"/>
    </row>
    <row r="277" spans="1:9">
      <c r="D277" s="444"/>
      <c r="E277" s="444"/>
      <c r="F277" s="444"/>
      <c r="I277" s="488"/>
    </row>
    <row r="278" spans="1:9" ht="14.25">
      <c r="A278" s="482"/>
      <c r="B278" s="483" t="s">
        <v>306</v>
      </c>
      <c r="D278" s="1566" t="s">
        <v>1119</v>
      </c>
      <c r="E278" s="1566"/>
      <c r="F278" s="1566"/>
      <c r="I278" s="488"/>
    </row>
    <row r="279" spans="1:9">
      <c r="D279" s="1566"/>
      <c r="E279" s="1566"/>
      <c r="F279" s="1566"/>
      <c r="I279" s="488"/>
    </row>
    <row r="280" spans="1:9">
      <c r="D280" s="1566"/>
      <c r="E280" s="1566"/>
      <c r="F280" s="1566"/>
      <c r="I280" s="488"/>
    </row>
    <row r="281" spans="1:9">
      <c r="D281" s="490"/>
      <c r="E281" s="444"/>
      <c r="F281" s="444"/>
      <c r="I281" s="488"/>
    </row>
    <row r="282" spans="1:9">
      <c r="A282" s="1567" t="s">
        <v>1045</v>
      </c>
      <c r="B282" s="1567"/>
      <c r="C282" s="1567"/>
      <c r="D282" s="1567"/>
      <c r="E282" s="1567"/>
      <c r="F282" s="1567"/>
      <c r="G282" s="1567"/>
      <c r="H282" s="1020"/>
      <c r="I282" s="1142"/>
    </row>
    <row r="283" spans="1:9">
      <c r="D283" s="490"/>
      <c r="E283" s="444"/>
      <c r="F283" s="444"/>
      <c r="I283" s="488"/>
    </row>
    <row r="284" spans="1:9">
      <c r="C284" s="480"/>
      <c r="D284" s="1586" t="s">
        <v>1120</v>
      </c>
      <c r="E284" s="1586"/>
      <c r="F284" s="1586"/>
      <c r="I284" s="488"/>
    </row>
    <row r="285" spans="1:9">
      <c r="C285" s="480"/>
      <c r="D285" s="1586"/>
      <c r="E285" s="1586"/>
      <c r="F285" s="1586"/>
      <c r="I285" s="488"/>
    </row>
    <row r="286" spans="1:9">
      <c r="A286" s="481"/>
      <c r="B286" s="481"/>
      <c r="C286" s="481"/>
      <c r="D286" s="402"/>
      <c r="I286" s="488"/>
    </row>
    <row r="287" spans="1:9">
      <c r="C287" s="481"/>
      <c r="D287" s="1569" t="s">
        <v>208</v>
      </c>
      <c r="E287" s="1569"/>
      <c r="F287" s="1569"/>
      <c r="I287" s="488"/>
    </row>
    <row r="288" spans="1:9" ht="15.75" customHeight="1">
      <c r="A288" s="482"/>
      <c r="B288" s="482"/>
      <c r="D288" s="1595" t="s">
        <v>1121</v>
      </c>
      <c r="E288" s="1595"/>
      <c r="F288" s="1595"/>
      <c r="I288" s="488"/>
    </row>
    <row r="289" spans="1:9">
      <c r="E289" s="444"/>
      <c r="F289" s="444"/>
      <c r="I289" s="488"/>
    </row>
    <row r="290" spans="1:9" ht="14.25">
      <c r="A290" s="482"/>
      <c r="B290" s="483" t="s">
        <v>306</v>
      </c>
      <c r="D290" s="1566" t="s">
        <v>1122</v>
      </c>
      <c r="E290" s="1566"/>
      <c r="F290" s="1566"/>
      <c r="I290" s="488"/>
    </row>
    <row r="291" spans="1:9" ht="14.25">
      <c r="A291" s="482"/>
      <c r="B291" s="482"/>
      <c r="D291" s="1566"/>
      <c r="E291" s="1566"/>
      <c r="F291" s="1566"/>
      <c r="I291" s="488"/>
    </row>
    <row r="292" spans="1:9">
      <c r="D292" s="444"/>
      <c r="E292" s="444"/>
      <c r="F292" s="444"/>
      <c r="I292" s="488"/>
    </row>
    <row r="293" spans="1:9" ht="14.25">
      <c r="A293" s="482"/>
      <c r="B293" s="483" t="s">
        <v>306</v>
      </c>
      <c r="D293" s="1566" t="s">
        <v>1123</v>
      </c>
      <c r="E293" s="1566"/>
      <c r="F293" s="1566"/>
      <c r="I293" s="488"/>
    </row>
    <row r="294" spans="1:9" ht="14.25">
      <c r="A294" s="482"/>
      <c r="B294" s="482"/>
      <c r="D294" s="1566"/>
      <c r="E294" s="1566"/>
      <c r="F294" s="1566"/>
      <c r="I294" s="488"/>
    </row>
    <row r="295" spans="1:9" ht="14.25">
      <c r="A295" s="482"/>
      <c r="B295" s="482"/>
      <c r="D295" s="1566"/>
      <c r="E295" s="1566"/>
      <c r="F295" s="1566"/>
      <c r="I295" s="488"/>
    </row>
    <row r="296" spans="1:9">
      <c r="D296" s="444"/>
      <c r="E296" s="444"/>
      <c r="F296" s="444"/>
      <c r="I296" s="488"/>
    </row>
    <row r="297" spans="1:9" ht="14.25">
      <c r="A297" s="482"/>
      <c r="B297" s="483" t="s">
        <v>306</v>
      </c>
      <c r="D297" s="1566" t="s">
        <v>1124</v>
      </c>
      <c r="E297" s="1566"/>
      <c r="F297" s="1566"/>
      <c r="I297" s="488"/>
    </row>
    <row r="298" spans="1:9" ht="14.25">
      <c r="A298" s="482"/>
      <c r="B298" s="482"/>
      <c r="D298" s="1566"/>
      <c r="E298" s="1566"/>
      <c r="F298" s="1566"/>
      <c r="I298" s="488"/>
    </row>
    <row r="299" spans="1:9">
      <c r="A299" s="488"/>
      <c r="B299" s="488"/>
      <c r="E299" s="444"/>
      <c r="F299" s="444"/>
      <c r="I299" s="488"/>
    </row>
    <row r="300" spans="1:9">
      <c r="A300" s="1567" t="s">
        <v>1046</v>
      </c>
      <c r="B300" s="1567"/>
      <c r="C300" s="1567"/>
      <c r="D300" s="1567"/>
      <c r="E300" s="1567"/>
      <c r="F300" s="1567"/>
      <c r="G300" s="1567"/>
      <c r="H300" s="1020"/>
      <c r="I300" s="1142"/>
    </row>
    <row r="301" spans="1:9">
      <c r="A301" s="488"/>
      <c r="B301" s="488"/>
      <c r="D301" s="444"/>
      <c r="E301" s="444"/>
      <c r="F301" s="444"/>
      <c r="I301" s="488"/>
    </row>
    <row r="302" spans="1:9">
      <c r="C302" s="488"/>
      <c r="D302" s="1569" t="s">
        <v>681</v>
      </c>
      <c r="E302" s="1569"/>
      <c r="F302" s="1569"/>
      <c r="I302" s="488"/>
    </row>
    <row r="303" spans="1:9">
      <c r="C303" s="488"/>
      <c r="D303" s="1568" t="s">
        <v>1125</v>
      </c>
      <c r="E303" s="1568"/>
      <c r="F303" s="1568"/>
      <c r="I303" s="488"/>
    </row>
    <row r="304" spans="1:9">
      <c r="C304" s="488"/>
      <c r="D304" s="491"/>
      <c r="I304" s="488"/>
    </row>
    <row r="305" spans="1:9">
      <c r="B305" s="483" t="s">
        <v>306</v>
      </c>
      <c r="D305" s="1568" t="s">
        <v>1126</v>
      </c>
      <c r="E305" s="1568"/>
      <c r="F305" s="1568"/>
      <c r="I305" s="488"/>
    </row>
    <row r="306" spans="1:9" ht="14.25">
      <c r="A306" s="482"/>
      <c r="B306" s="482"/>
      <c r="D306" s="492"/>
      <c r="E306" s="493"/>
      <c r="F306" s="493"/>
      <c r="I306" s="488"/>
    </row>
    <row r="307" spans="1:9" ht="13.7" customHeight="1">
      <c r="B307" s="483" t="s">
        <v>306</v>
      </c>
      <c r="D307" s="1579" t="s">
        <v>1216</v>
      </c>
      <c r="E307" s="1579"/>
      <c r="F307" s="1579"/>
      <c r="I307" s="488"/>
    </row>
    <row r="308" spans="1:9" ht="14.25">
      <c r="A308" s="482"/>
      <c r="B308" s="482"/>
      <c r="D308" s="1579"/>
      <c r="E308" s="1579"/>
      <c r="F308" s="1579"/>
      <c r="I308" s="488"/>
    </row>
    <row r="309" spans="1:9" ht="14.25">
      <c r="A309" s="482"/>
      <c r="B309" s="482"/>
      <c r="D309" s="1579"/>
      <c r="E309" s="1579"/>
      <c r="F309" s="1579"/>
      <c r="I309" s="488"/>
    </row>
    <row r="310" spans="1:9" ht="14.25">
      <c r="A310" s="482"/>
      <c r="B310" s="482"/>
      <c r="D310" s="1579"/>
      <c r="E310" s="1579"/>
      <c r="F310" s="1579"/>
      <c r="I310" s="488"/>
    </row>
    <row r="311" spans="1:9" ht="14.25">
      <c r="A311" s="482"/>
      <c r="B311" s="482"/>
      <c r="D311" s="1579"/>
      <c r="E311" s="1579"/>
      <c r="F311" s="1579"/>
      <c r="I311" s="488"/>
    </row>
    <row r="312" spans="1:9" ht="14.25">
      <c r="A312" s="482"/>
      <c r="B312" s="482"/>
      <c r="D312" s="492"/>
      <c r="E312" s="493"/>
      <c r="F312" s="493"/>
      <c r="I312" s="488"/>
    </row>
    <row r="313" spans="1:9" ht="13.7" customHeight="1">
      <c r="B313" s="483" t="s">
        <v>306</v>
      </c>
      <c r="D313" s="1579" t="s">
        <v>1127</v>
      </c>
      <c r="E313" s="1579"/>
      <c r="F313" s="1579"/>
      <c r="I313" s="488"/>
    </row>
    <row r="314" spans="1:9">
      <c r="D314" s="1579"/>
      <c r="E314" s="1579"/>
      <c r="F314" s="1579"/>
      <c r="I314" s="488"/>
    </row>
    <row r="315" spans="1:9" ht="14.25">
      <c r="A315" s="482"/>
      <c r="B315" s="482"/>
      <c r="D315" s="492"/>
      <c r="E315" s="493"/>
      <c r="F315" s="493"/>
      <c r="I315" s="488"/>
    </row>
    <row r="316" spans="1:9">
      <c r="B316" s="483" t="s">
        <v>306</v>
      </c>
      <c r="D316" s="1568" t="s">
        <v>1128</v>
      </c>
      <c r="E316" s="1568"/>
      <c r="F316" s="1568"/>
      <c r="I316" s="488"/>
    </row>
    <row r="317" spans="1:9">
      <c r="E317" s="444"/>
      <c r="F317" s="444"/>
      <c r="I317" s="488"/>
    </row>
    <row r="318" spans="1:9" ht="14.25">
      <c r="A318" s="482"/>
      <c r="B318" s="483" t="s">
        <v>306</v>
      </c>
      <c r="D318" s="1566" t="s">
        <v>2194</v>
      </c>
      <c r="E318" s="1566"/>
      <c r="F318" s="1566"/>
      <c r="I318" s="488"/>
    </row>
    <row r="319" spans="1:9" ht="14.25">
      <c r="A319" s="482"/>
      <c r="B319" s="482"/>
      <c r="D319" s="1566"/>
      <c r="E319" s="1566"/>
      <c r="F319" s="1566"/>
      <c r="I319" s="488"/>
    </row>
    <row r="320" spans="1:9" ht="14.25">
      <c r="A320" s="482"/>
      <c r="B320" s="482"/>
      <c r="D320" s="1566"/>
      <c r="E320" s="1566"/>
      <c r="F320" s="1566"/>
      <c r="I320" s="488"/>
    </row>
    <row r="321" spans="1:9" ht="14.25">
      <c r="A321" s="482"/>
      <c r="B321" s="482"/>
      <c r="D321" s="1566"/>
      <c r="E321" s="1566"/>
      <c r="F321" s="1566"/>
      <c r="I321" s="488"/>
    </row>
    <row r="322" spans="1:9" ht="14.25">
      <c r="A322" s="482"/>
      <c r="B322" s="482"/>
      <c r="D322" s="1566"/>
      <c r="E322" s="1566"/>
      <c r="F322" s="1566"/>
      <c r="I322" s="488"/>
    </row>
    <row r="323" spans="1:9" ht="14.25">
      <c r="A323" s="482"/>
      <c r="B323" s="482"/>
      <c r="D323" s="1566"/>
      <c r="E323" s="1566"/>
      <c r="F323" s="1566"/>
      <c r="I323" s="488"/>
    </row>
    <row r="324" spans="1:9" ht="14.25">
      <c r="A324" s="482"/>
      <c r="B324" s="482"/>
      <c r="D324" s="1566"/>
      <c r="E324" s="1566"/>
      <c r="F324" s="1566"/>
      <c r="I324" s="488"/>
    </row>
    <row r="325" spans="1:9" ht="14.25">
      <c r="A325" s="482"/>
      <c r="B325" s="482"/>
      <c r="D325" s="1566"/>
      <c r="E325" s="1566"/>
      <c r="F325" s="1566"/>
      <c r="I325" s="488"/>
    </row>
    <row r="326" spans="1:9" ht="14.25">
      <c r="A326" s="482"/>
      <c r="B326" s="482"/>
      <c r="D326" s="1566"/>
      <c r="E326" s="1566"/>
      <c r="F326" s="1566"/>
      <c r="I326" s="488"/>
    </row>
    <row r="327" spans="1:9" ht="14.25">
      <c r="A327" s="482"/>
      <c r="B327" s="482"/>
      <c r="D327" s="1566"/>
      <c r="E327" s="1566"/>
      <c r="F327" s="1566"/>
      <c r="I327" s="488"/>
    </row>
    <row r="328" spans="1:9" ht="14.25">
      <c r="A328" s="482"/>
      <c r="B328" s="482"/>
      <c r="D328" s="1566"/>
      <c r="E328" s="1566"/>
      <c r="F328" s="1566"/>
      <c r="I328" s="488"/>
    </row>
    <row r="329" spans="1:9" ht="14.25">
      <c r="A329" s="482"/>
      <c r="B329" s="482"/>
      <c r="D329" s="1566"/>
      <c r="E329" s="1566"/>
      <c r="F329" s="1566"/>
      <c r="I329" s="488"/>
    </row>
    <row r="330" spans="1:9" ht="14.25">
      <c r="A330" s="482"/>
      <c r="B330" s="482"/>
      <c r="D330" s="1566"/>
      <c r="E330" s="1566"/>
      <c r="F330" s="1566"/>
      <c r="I330" s="488"/>
    </row>
    <row r="331" spans="1:9" ht="14.25">
      <c r="A331" s="482"/>
      <c r="B331" s="482"/>
      <c r="D331" s="1566"/>
      <c r="E331" s="1566"/>
      <c r="F331" s="1566"/>
      <c r="I331" s="488"/>
    </row>
    <row r="332" spans="1:9" ht="14.25">
      <c r="A332" s="482"/>
      <c r="B332" s="482"/>
      <c r="D332" s="1566"/>
      <c r="E332" s="1566"/>
      <c r="F332" s="1566"/>
      <c r="I332" s="488"/>
    </row>
    <row r="333" spans="1:9">
      <c r="D333" s="444"/>
      <c r="E333" s="444"/>
      <c r="F333" s="444"/>
      <c r="I333" s="488"/>
    </row>
    <row r="334" spans="1:9" ht="14.25">
      <c r="A334" s="482"/>
      <c r="B334" s="483" t="s">
        <v>306</v>
      </c>
      <c r="D334" s="1566" t="s">
        <v>1129</v>
      </c>
      <c r="E334" s="1566"/>
      <c r="F334" s="1566"/>
      <c r="I334" s="488"/>
    </row>
    <row r="335" spans="1:9">
      <c r="D335" s="1566"/>
      <c r="E335" s="1566"/>
      <c r="F335" s="1566"/>
      <c r="I335" s="488"/>
    </row>
    <row r="336" spans="1:9">
      <c r="D336" s="1566"/>
      <c r="E336" s="1566"/>
      <c r="F336" s="1566"/>
      <c r="I336" s="488"/>
    </row>
    <row r="337" spans="1:9">
      <c r="D337" s="1566"/>
      <c r="E337" s="1566"/>
      <c r="F337" s="1566"/>
      <c r="I337" s="488"/>
    </row>
    <row r="338" spans="1:9">
      <c r="D338" s="1566"/>
      <c r="E338" s="1566"/>
      <c r="F338" s="1566"/>
      <c r="I338" s="488"/>
    </row>
    <row r="339" spans="1:9">
      <c r="D339" s="1566"/>
      <c r="E339" s="1566"/>
      <c r="F339" s="1566"/>
      <c r="I339" s="488"/>
    </row>
    <row r="340" spans="1:9">
      <c r="D340" s="1566"/>
      <c r="E340" s="1566"/>
      <c r="F340" s="1566"/>
      <c r="I340" s="488"/>
    </row>
    <row r="341" spans="1:9">
      <c r="D341" s="1566"/>
      <c r="E341" s="1566"/>
      <c r="F341" s="1566"/>
      <c r="I341" s="488"/>
    </row>
    <row r="342" spans="1:9">
      <c r="D342" s="1566"/>
      <c r="E342" s="1566"/>
      <c r="F342" s="1566"/>
      <c r="I342" s="488"/>
    </row>
    <row r="343" spans="1:9">
      <c r="D343" s="444"/>
      <c r="E343" s="444"/>
      <c r="F343" s="444"/>
      <c r="I343" s="488"/>
    </row>
    <row r="344" spans="1:9" ht="14.25" customHeight="1">
      <c r="A344" s="482"/>
      <c r="B344" s="483" t="s">
        <v>306</v>
      </c>
      <c r="D344" s="1566" t="s">
        <v>1872</v>
      </c>
      <c r="E344" s="1566"/>
      <c r="F344" s="1566"/>
      <c r="I344" s="488"/>
    </row>
    <row r="345" spans="1:9">
      <c r="D345" s="1566"/>
      <c r="E345" s="1566"/>
      <c r="F345" s="1566"/>
      <c r="I345" s="488"/>
    </row>
    <row r="346" spans="1:9">
      <c r="D346" s="1566"/>
      <c r="E346" s="1566"/>
      <c r="F346" s="1566"/>
      <c r="I346" s="488"/>
    </row>
    <row r="347" spans="1:9">
      <c r="D347" s="1566"/>
      <c r="E347" s="1566"/>
      <c r="F347" s="1566"/>
      <c r="I347" s="488"/>
    </row>
    <row r="348" spans="1:9">
      <c r="D348" s="384" t="s">
        <v>1871</v>
      </c>
      <c r="E348" s="383"/>
      <c r="F348" s="383"/>
      <c r="I348" s="488"/>
    </row>
    <row r="349" spans="1:9">
      <c r="D349" s="383"/>
      <c r="E349" s="96" t="s">
        <v>1868</v>
      </c>
      <c r="G349" s="96"/>
      <c r="I349" s="488"/>
    </row>
    <row r="350" spans="1:9">
      <c r="D350" s="443"/>
      <c r="E350" s="443"/>
      <c r="F350" s="443"/>
      <c r="I350" s="488"/>
    </row>
    <row r="351" spans="1:9" ht="13.5" thickBot="1">
      <c r="A351" s="1014"/>
      <c r="B351" s="1014"/>
      <c r="C351" s="1014"/>
      <c r="D351" s="1577" t="s">
        <v>976</v>
      </c>
      <c r="E351" s="1577"/>
      <c r="F351" s="1577"/>
      <c r="G351" s="1019"/>
      <c r="H351" s="1019"/>
      <c r="I351" s="1145"/>
    </row>
    <row r="352" spans="1:9" ht="13.5" thickTop="1">
      <c r="D352" s="1587" t="s">
        <v>2195</v>
      </c>
      <c r="E352" s="1587"/>
      <c r="F352" s="1587"/>
      <c r="I352" s="488"/>
    </row>
    <row r="353" spans="1:9">
      <c r="D353" s="444"/>
      <c r="E353" s="444"/>
      <c r="F353" s="444"/>
      <c r="I353" s="488"/>
    </row>
    <row r="354" spans="1:9">
      <c r="A354" s="474"/>
      <c r="B354" s="474"/>
      <c r="C354" s="474"/>
      <c r="D354" s="445"/>
      <c r="E354" s="445"/>
      <c r="F354" s="444"/>
      <c r="I354" s="488"/>
    </row>
    <row r="355" spans="1:9" ht="14.25">
      <c r="A355" s="482"/>
      <c r="B355" s="483" t="s">
        <v>306</v>
      </c>
      <c r="C355" s="485"/>
      <c r="D355" s="1568" t="s">
        <v>1870</v>
      </c>
      <c r="E355" s="1568"/>
      <c r="F355" s="1568"/>
      <c r="I355" s="488"/>
    </row>
    <row r="356" spans="1:9" ht="12.75" customHeight="1">
      <c r="D356" s="1029"/>
      <c r="E356" s="96" t="s">
        <v>1869</v>
      </c>
      <c r="F356" s="1029"/>
      <c r="I356" s="488"/>
    </row>
    <row r="357" spans="1:9">
      <c r="D357" s="1566" t="s">
        <v>1236</v>
      </c>
      <c r="E357" s="1566"/>
      <c r="F357" s="1566"/>
      <c r="I357" s="488"/>
    </row>
    <row r="358" spans="1:9">
      <c r="D358" s="1566"/>
      <c r="E358" s="1566"/>
      <c r="F358" s="1566"/>
      <c r="I358" s="488"/>
    </row>
    <row r="359" spans="1:9">
      <c r="D359" s="1566"/>
      <c r="E359" s="1566"/>
      <c r="F359" s="1566"/>
      <c r="I359" s="488"/>
    </row>
    <row r="360" spans="1:9" ht="14.25">
      <c r="A360" s="482"/>
      <c r="B360" s="483" t="s">
        <v>306</v>
      </c>
      <c r="C360" s="474"/>
      <c r="D360" s="1576" t="s">
        <v>2012</v>
      </c>
      <c r="E360" s="1576"/>
      <c r="F360" s="1576"/>
      <c r="I360" s="478"/>
    </row>
    <row r="361" spans="1:9">
      <c r="A361" s="474"/>
      <c r="B361" s="474"/>
      <c r="C361" s="474"/>
      <c r="D361" s="445"/>
      <c r="E361" s="445"/>
      <c r="F361" s="444"/>
      <c r="I361" s="488"/>
    </row>
    <row r="362" spans="1:9">
      <c r="A362" s="474"/>
      <c r="B362" s="483" t="s">
        <v>306</v>
      </c>
      <c r="C362" s="474"/>
      <c r="D362" s="1538" t="s">
        <v>2013</v>
      </c>
      <c r="E362" s="1538"/>
      <c r="F362" s="1538"/>
      <c r="I362" s="488"/>
    </row>
    <row r="363" spans="1:9">
      <c r="A363" s="474"/>
      <c r="B363" s="474"/>
      <c r="C363" s="474"/>
      <c r="D363" s="1538"/>
      <c r="E363" s="1538"/>
      <c r="F363" s="1538"/>
      <c r="I363" s="488"/>
    </row>
    <row r="364" spans="1:9">
      <c r="A364" s="474"/>
      <c r="B364" s="474"/>
      <c r="C364" s="474"/>
      <c r="D364" s="1538"/>
      <c r="E364" s="1538"/>
      <c r="F364" s="1538"/>
      <c r="I364" s="488"/>
    </row>
    <row r="365" spans="1:9">
      <c r="A365" s="474"/>
      <c r="B365" s="474"/>
      <c r="C365" s="474"/>
      <c r="D365" s="1538"/>
      <c r="E365" s="1538"/>
      <c r="F365" s="1538"/>
      <c r="I365" s="488"/>
    </row>
    <row r="366" spans="1:9">
      <c r="A366" s="474"/>
      <c r="B366" s="474"/>
      <c r="C366" s="474"/>
      <c r="D366" s="1538"/>
      <c r="E366" s="1538"/>
      <c r="F366" s="1538"/>
      <c r="I366" s="488"/>
    </row>
    <row r="367" spans="1:9">
      <c r="A367" s="474"/>
      <c r="B367" s="474"/>
      <c r="C367" s="474"/>
      <c r="D367" s="1538"/>
      <c r="E367" s="1538"/>
      <c r="F367" s="1538"/>
      <c r="I367" s="488"/>
    </row>
    <row r="368" spans="1:9">
      <c r="A368" s="474"/>
      <c r="B368" s="474"/>
      <c r="C368" s="474"/>
      <c r="D368" s="1538"/>
      <c r="E368" s="1538"/>
      <c r="F368" s="1538"/>
      <c r="I368" s="488"/>
    </row>
    <row r="369" spans="1:9">
      <c r="A369" s="474"/>
      <c r="B369" s="474"/>
      <c r="C369" s="474"/>
      <c r="D369" s="1538"/>
      <c r="E369" s="1538"/>
      <c r="F369" s="1538"/>
      <c r="I369" s="488"/>
    </row>
    <row r="370" spans="1:9">
      <c r="A370" s="474"/>
      <c r="B370" s="474"/>
      <c r="C370" s="474"/>
      <c r="D370" s="1538"/>
      <c r="E370" s="1538"/>
      <c r="F370" s="1538"/>
      <c r="I370" s="488"/>
    </row>
    <row r="371" spans="1:9">
      <c r="A371" s="474"/>
      <c r="B371" s="474"/>
      <c r="C371" s="474"/>
      <c r="D371" s="1538"/>
      <c r="E371" s="1538"/>
      <c r="F371" s="1538"/>
      <c r="I371" s="488"/>
    </row>
    <row r="372" spans="1:9">
      <c r="A372" s="474"/>
      <c r="B372" s="474"/>
      <c r="C372" s="474"/>
      <c r="D372" s="1538"/>
      <c r="E372" s="1538"/>
      <c r="F372" s="1538"/>
      <c r="I372" s="488"/>
    </row>
    <row r="373" spans="1:9">
      <c r="A373" s="474"/>
      <c r="B373" s="474"/>
      <c r="C373" s="474"/>
      <c r="D373" s="1538"/>
      <c r="E373" s="1538"/>
      <c r="F373" s="1538"/>
      <c r="I373" s="488"/>
    </row>
    <row r="374" spans="1:9">
      <c r="A374" s="474"/>
      <c r="B374" s="474"/>
      <c r="C374" s="474"/>
      <c r="D374" s="449"/>
      <c r="E374" s="449"/>
      <c r="F374" s="449"/>
      <c r="I374" s="488"/>
    </row>
    <row r="375" spans="1:9" ht="12.6" customHeight="1">
      <c r="A375" s="474"/>
      <c r="B375" s="483" t="s">
        <v>306</v>
      </c>
      <c r="C375" s="474"/>
      <c r="D375" s="1546" t="s">
        <v>1218</v>
      </c>
      <c r="E375" s="1546"/>
      <c r="F375" s="1546"/>
      <c r="I375" s="488"/>
    </row>
    <row r="376" spans="1:9">
      <c r="A376" s="474"/>
      <c r="B376" s="474"/>
      <c r="C376" s="474"/>
      <c r="D376" s="1546"/>
      <c r="E376" s="1546"/>
      <c r="F376" s="1546"/>
      <c r="I376" s="488"/>
    </row>
    <row r="377" spans="1:9">
      <c r="A377" s="474"/>
      <c r="B377" s="474"/>
      <c r="C377" s="474"/>
      <c r="D377" s="1546"/>
      <c r="E377" s="1546"/>
      <c r="F377" s="1546"/>
      <c r="I377" s="488"/>
    </row>
    <row r="378" spans="1:9">
      <c r="A378" s="474"/>
      <c r="B378" s="474"/>
      <c r="C378" s="474"/>
      <c r="D378" s="1546"/>
      <c r="E378" s="1546"/>
      <c r="F378" s="1546"/>
      <c r="I378" s="488"/>
    </row>
    <row r="379" spans="1:9">
      <c r="A379" s="474"/>
      <c r="B379" s="474"/>
      <c r="C379" s="474"/>
      <c r="D379" s="522"/>
      <c r="E379" s="522"/>
      <c r="F379" s="522"/>
      <c r="I379" s="488"/>
    </row>
    <row r="380" spans="1:9">
      <c r="A380" s="474"/>
      <c r="B380" s="483" t="s">
        <v>306</v>
      </c>
      <c r="C380" s="474"/>
      <c r="D380" s="400" t="s">
        <v>1807</v>
      </c>
      <c r="E380" s="522"/>
      <c r="F380" s="522"/>
      <c r="I380" s="488"/>
    </row>
    <row r="381" spans="1:9">
      <c r="A381" s="474"/>
      <c r="B381" s="474"/>
      <c r="C381" s="474"/>
      <c r="D381" s="400" t="s">
        <v>1808</v>
      </c>
      <c r="E381" s="522"/>
      <c r="F381" s="522"/>
      <c r="I381" s="488"/>
    </row>
    <row r="382" spans="1:9">
      <c r="A382" s="474"/>
      <c r="B382" s="474"/>
      <c r="C382" s="474"/>
      <c r="D382" s="400" t="s">
        <v>1809</v>
      </c>
      <c r="E382" s="522"/>
      <c r="F382" s="522"/>
      <c r="I382" s="488"/>
    </row>
    <row r="383" spans="1:9">
      <c r="A383" s="474"/>
      <c r="B383" s="474"/>
      <c r="C383" s="474"/>
      <c r="D383" s="400" t="s">
        <v>1810</v>
      </c>
      <c r="E383" s="522"/>
      <c r="F383" s="522"/>
      <c r="I383" s="488"/>
    </row>
    <row r="384" spans="1:9">
      <c r="A384" s="474"/>
      <c r="B384" s="474"/>
      <c r="C384" s="474"/>
      <c r="D384" s="400" t="s">
        <v>1811</v>
      </c>
      <c r="E384" s="522"/>
      <c r="F384" s="522"/>
      <c r="I384" s="488"/>
    </row>
    <row r="385" spans="1:9">
      <c r="A385" s="474"/>
      <c r="B385" s="474"/>
      <c r="C385" s="474"/>
      <c r="D385" s="400" t="s">
        <v>1812</v>
      </c>
      <c r="E385" s="522"/>
      <c r="F385" s="522"/>
      <c r="I385" s="488"/>
    </row>
    <row r="386" spans="1:9">
      <c r="A386" s="474"/>
      <c r="B386" s="474"/>
      <c r="C386" s="474"/>
      <c r="E386" s="445"/>
      <c r="F386" s="444"/>
      <c r="I386" s="488"/>
    </row>
    <row r="387" spans="1:9" ht="14.25">
      <c r="A387" s="482"/>
      <c r="B387" s="483" t="s">
        <v>306</v>
      </c>
      <c r="C387" s="474"/>
      <c r="D387" s="1538" t="s">
        <v>1130</v>
      </c>
      <c r="E387" s="1538"/>
      <c r="F387" s="1538"/>
      <c r="I387" s="488"/>
    </row>
    <row r="388" spans="1:9">
      <c r="A388" s="474"/>
      <c r="B388" s="474"/>
      <c r="C388" s="474"/>
      <c r="D388" s="1538"/>
      <c r="E388" s="1538"/>
      <c r="F388" s="1538"/>
      <c r="I388" s="488"/>
    </row>
    <row r="389" spans="1:9">
      <c r="A389" s="474"/>
      <c r="B389" s="474"/>
      <c r="C389" s="474"/>
      <c r="D389" s="1538"/>
      <c r="E389" s="1538"/>
      <c r="F389" s="1538"/>
      <c r="I389" s="488"/>
    </row>
    <row r="390" spans="1:9">
      <c r="A390" s="474"/>
      <c r="B390" s="474"/>
      <c r="C390" s="474"/>
      <c r="D390" s="1538"/>
      <c r="E390" s="1538"/>
      <c r="F390" s="1538"/>
      <c r="I390" s="488"/>
    </row>
    <row r="391" spans="1:9">
      <c r="A391" s="474"/>
      <c r="B391" s="474"/>
      <c r="C391" s="474"/>
      <c r="D391" s="445"/>
      <c r="E391" s="445"/>
      <c r="F391" s="444"/>
      <c r="I391" s="488"/>
    </row>
    <row r="392" spans="1:9">
      <c r="A392" s="474"/>
      <c r="B392" s="474"/>
      <c r="C392" s="474"/>
      <c r="D392" s="1538" t="s">
        <v>1131</v>
      </c>
      <c r="E392" s="1538"/>
      <c r="F392" s="1538"/>
      <c r="I392" s="488"/>
    </row>
    <row r="393" spans="1:9">
      <c r="A393" s="474"/>
      <c r="B393" s="474"/>
      <c r="C393" s="474"/>
      <c r="D393" s="1538"/>
      <c r="E393" s="1538"/>
      <c r="F393" s="1538"/>
      <c r="I393" s="488"/>
    </row>
    <row r="394" spans="1:9">
      <c r="A394" s="474"/>
      <c r="B394" s="474"/>
      <c r="C394" s="474"/>
      <c r="D394" s="1538"/>
      <c r="E394" s="1538"/>
      <c r="F394" s="1538"/>
      <c r="I394" s="488"/>
    </row>
    <row r="395" spans="1:9">
      <c r="A395" s="474"/>
      <c r="B395" s="474"/>
      <c r="C395" s="474"/>
      <c r="D395" s="1538"/>
      <c r="E395" s="1538"/>
      <c r="F395" s="1538"/>
      <c r="I395" s="488"/>
    </row>
    <row r="396" spans="1:9" ht="18" customHeight="1">
      <c r="A396" s="474"/>
      <c r="B396" s="474"/>
      <c r="C396" s="474"/>
      <c r="D396" s="1538"/>
      <c r="E396" s="1538"/>
      <c r="F396" s="1538"/>
      <c r="I396" s="488"/>
    </row>
    <row r="397" spans="1:9">
      <c r="A397" s="474"/>
      <c r="B397" s="474"/>
      <c r="C397" s="474"/>
      <c r="D397" s="1538"/>
      <c r="E397" s="1538"/>
      <c r="F397" s="1538"/>
      <c r="I397" s="488"/>
    </row>
    <row r="398" spans="1:9">
      <c r="A398" s="474"/>
      <c r="B398" s="474"/>
      <c r="C398" s="474"/>
      <c r="D398" s="1538"/>
      <c r="E398" s="1538"/>
      <c r="F398" s="1538"/>
      <c r="I398" s="488"/>
    </row>
    <row r="399" spans="1:9">
      <c r="A399" s="474"/>
      <c r="B399" s="474"/>
      <c r="C399" s="474"/>
      <c r="D399" s="1538"/>
      <c r="E399" s="1538"/>
      <c r="F399" s="1538"/>
      <c r="I399" s="488"/>
    </row>
    <row r="400" spans="1:9" ht="8.25" customHeight="1">
      <c r="A400" s="474"/>
      <c r="B400" s="474"/>
      <c r="C400" s="474"/>
      <c r="D400" s="1538"/>
      <c r="E400" s="1538"/>
      <c r="F400" s="1538"/>
      <c r="I400" s="488"/>
    </row>
    <row r="401" spans="1:9" ht="13.7" customHeight="1">
      <c r="A401" s="474"/>
      <c r="B401" s="474"/>
      <c r="C401" s="474"/>
      <c r="D401" s="1538" t="s">
        <v>1132</v>
      </c>
      <c r="E401" s="1538"/>
      <c r="F401" s="1538"/>
      <c r="I401" s="488"/>
    </row>
    <row r="402" spans="1:9">
      <c r="A402" s="474"/>
      <c r="B402" s="474"/>
      <c r="C402" s="474"/>
      <c r="D402" s="1538"/>
      <c r="E402" s="1538"/>
      <c r="F402" s="1538"/>
      <c r="I402" s="488"/>
    </row>
    <row r="403" spans="1:9">
      <c r="A403" s="474"/>
      <c r="B403" s="474"/>
      <c r="C403" s="474"/>
      <c r="D403" s="1538"/>
      <c r="E403" s="1538"/>
      <c r="F403" s="1538"/>
      <c r="I403" s="488"/>
    </row>
    <row r="404" spans="1:9">
      <c r="A404" s="474"/>
      <c r="B404" s="474"/>
      <c r="C404" s="474"/>
      <c r="D404" s="1538"/>
      <c r="E404" s="1538"/>
      <c r="F404" s="1538"/>
      <c r="I404" s="488"/>
    </row>
    <row r="405" spans="1:9">
      <c r="A405" s="474"/>
      <c r="B405" s="474"/>
      <c r="C405" s="474"/>
      <c r="D405" s="1538"/>
      <c r="E405" s="1538"/>
      <c r="F405" s="1538"/>
      <c r="I405" s="488"/>
    </row>
    <row r="406" spans="1:9">
      <c r="A406" s="474"/>
      <c r="B406" s="474"/>
      <c r="C406" s="474"/>
      <c r="D406" s="1538"/>
      <c r="E406" s="1538"/>
      <c r="F406" s="1538"/>
      <c r="I406" s="488"/>
    </row>
    <row r="407" spans="1:9">
      <c r="A407" s="474"/>
      <c r="B407" s="474"/>
      <c r="C407" s="474"/>
      <c r="D407" s="1538"/>
      <c r="E407" s="1538"/>
      <c r="F407" s="1538"/>
      <c r="I407" s="488"/>
    </row>
    <row r="408" spans="1:9">
      <c r="A408" s="474"/>
      <c r="B408" s="474"/>
      <c r="C408" s="474"/>
      <c r="D408" s="1538"/>
      <c r="E408" s="1538"/>
      <c r="F408" s="1538"/>
      <c r="I408" s="488"/>
    </row>
    <row r="409" spans="1:9">
      <c r="A409" s="474"/>
      <c r="B409" s="474"/>
      <c r="C409" s="474"/>
      <c r="D409" s="1538"/>
      <c r="E409" s="1538"/>
      <c r="F409" s="1538"/>
      <c r="I409" s="488"/>
    </row>
    <row r="410" spans="1:9">
      <c r="A410" s="474"/>
      <c r="B410" s="474"/>
      <c r="C410" s="474"/>
      <c r="D410" s="1538"/>
      <c r="E410" s="1538"/>
      <c r="F410" s="1538"/>
      <c r="I410" s="488"/>
    </row>
    <row r="411" spans="1:9">
      <c r="A411" s="474"/>
      <c r="B411" s="474"/>
      <c r="C411" s="474"/>
      <c r="D411" s="1538"/>
      <c r="E411" s="1538"/>
      <c r="F411" s="1538"/>
      <c r="I411" s="488"/>
    </row>
    <row r="412" spans="1:9">
      <c r="A412" s="474"/>
      <c r="B412" s="474"/>
      <c r="C412" s="474"/>
      <c r="D412" s="1538"/>
      <c r="E412" s="1538"/>
      <c r="F412" s="1538"/>
      <c r="I412" s="488"/>
    </row>
    <row r="413" spans="1:9">
      <c r="A413" s="474"/>
      <c r="B413" s="474"/>
      <c r="C413" s="494"/>
      <c r="D413" s="1538"/>
      <c r="E413" s="1538"/>
      <c r="F413" s="1538"/>
      <c r="I413" s="488"/>
    </row>
    <row r="414" spans="1:9">
      <c r="A414" s="474"/>
      <c r="B414" s="474"/>
      <c r="C414" s="494"/>
      <c r="D414" s="1538"/>
      <c r="E414" s="1538"/>
      <c r="F414" s="1538"/>
      <c r="I414" s="488"/>
    </row>
    <row r="415" spans="1:9">
      <c r="A415" s="474"/>
      <c r="B415" s="474"/>
      <c r="C415" s="474"/>
      <c r="D415" s="1538"/>
      <c r="E415" s="1538"/>
      <c r="F415" s="1538"/>
      <c r="I415" s="488"/>
    </row>
    <row r="416" spans="1:9">
      <c r="A416" s="474"/>
      <c r="B416" s="474"/>
      <c r="C416" s="494"/>
      <c r="D416" s="1538"/>
      <c r="E416" s="1538"/>
      <c r="F416" s="1538"/>
      <c r="I416" s="488"/>
    </row>
    <row r="417" spans="1:9">
      <c r="A417" s="474"/>
      <c r="B417" s="474"/>
      <c r="C417" s="494"/>
      <c r="D417" s="1538"/>
      <c r="E417" s="1538"/>
      <c r="F417" s="1538"/>
      <c r="I417" s="488"/>
    </row>
    <row r="418" spans="1:9">
      <c r="A418" s="474"/>
      <c r="B418" s="474"/>
      <c r="C418" s="494"/>
      <c r="D418" s="1538"/>
      <c r="E418" s="1538"/>
      <c r="F418" s="1538"/>
      <c r="I418" s="488"/>
    </row>
    <row r="419" spans="1:9">
      <c r="A419" s="474"/>
      <c r="B419" s="474"/>
      <c r="C419" s="474"/>
      <c r="D419" s="445"/>
      <c r="E419" s="445"/>
      <c r="F419" s="444"/>
      <c r="I419" s="488"/>
    </row>
    <row r="420" spans="1:9">
      <c r="A420" s="474"/>
      <c r="B420" s="483" t="s">
        <v>306</v>
      </c>
      <c r="C420" s="474"/>
      <c r="D420" s="1538" t="s">
        <v>1133</v>
      </c>
      <c r="E420" s="1538"/>
      <c r="F420" s="1538"/>
      <c r="I420" s="488"/>
    </row>
    <row r="421" spans="1:9">
      <c r="A421" s="474"/>
      <c r="B421" s="474"/>
      <c r="C421" s="474"/>
      <c r="D421" s="1538"/>
      <c r="E421" s="1538"/>
      <c r="F421" s="1538"/>
      <c r="I421" s="488"/>
    </row>
    <row r="422" spans="1:9">
      <c r="A422" s="474"/>
      <c r="B422" s="474"/>
      <c r="C422" s="474"/>
      <c r="D422" s="449"/>
      <c r="E422" s="449"/>
      <c r="F422" s="449"/>
      <c r="I422" s="488"/>
    </row>
    <row r="423" spans="1:9" ht="14.45" customHeight="1">
      <c r="A423" s="482"/>
      <c r="B423" s="483" t="s">
        <v>306</v>
      </c>
      <c r="D423" s="1538" t="s">
        <v>1852</v>
      </c>
      <c r="E423" s="1538"/>
      <c r="F423" s="1538"/>
      <c r="I423" s="488"/>
    </row>
    <row r="424" spans="1:9" ht="14.45" customHeight="1">
      <c r="A424" s="482"/>
      <c r="D424" s="1538"/>
      <c r="E424" s="1538"/>
      <c r="F424" s="1538"/>
      <c r="I424" s="488"/>
    </row>
    <row r="425" spans="1:9" ht="14.45" customHeight="1">
      <c r="A425" s="482"/>
      <c r="D425" s="1538"/>
      <c r="E425" s="1538"/>
      <c r="F425" s="1538"/>
      <c r="I425" s="488"/>
    </row>
    <row r="426" spans="1:9" ht="14.45" customHeight="1">
      <c r="A426" s="482"/>
      <c r="D426" s="1538"/>
      <c r="E426" s="1538"/>
      <c r="F426" s="1538"/>
      <c r="I426" s="488"/>
    </row>
    <row r="427" spans="1:9" ht="14.45" customHeight="1">
      <c r="A427" s="482"/>
      <c r="D427" s="1538"/>
      <c r="E427" s="1538"/>
      <c r="F427" s="1538"/>
      <c r="I427" s="488"/>
    </row>
    <row r="428" spans="1:9" ht="14.45" customHeight="1">
      <c r="A428" s="482"/>
      <c r="D428" s="383"/>
      <c r="E428" s="383"/>
      <c r="F428" s="383"/>
      <c r="I428" s="488"/>
    </row>
    <row r="429" spans="1:9" ht="13.7" customHeight="1">
      <c r="A429" s="482"/>
      <c r="B429" s="483" t="s">
        <v>306</v>
      </c>
      <c r="C429" s="474"/>
      <c r="D429" s="1538" t="s">
        <v>1237</v>
      </c>
      <c r="E429" s="1538"/>
      <c r="F429" s="1538"/>
      <c r="I429" s="488"/>
    </row>
    <row r="430" spans="1:9" ht="14.25">
      <c r="A430" s="495"/>
      <c r="B430" s="495"/>
      <c r="C430" s="474"/>
      <c r="D430" s="1538"/>
      <c r="E430" s="1538"/>
      <c r="F430" s="1538"/>
      <c r="I430" s="488"/>
    </row>
    <row r="431" spans="1:9" ht="14.25">
      <c r="A431" s="495"/>
      <c r="B431" s="495"/>
      <c r="C431" s="474"/>
      <c r="D431" s="1538"/>
      <c r="E431" s="1538"/>
      <c r="F431" s="1538"/>
      <c r="I431" s="488"/>
    </row>
    <row r="432" spans="1:9" ht="14.25">
      <c r="A432" s="495"/>
      <c r="B432" s="495"/>
      <c r="C432" s="474"/>
      <c r="D432" s="1538"/>
      <c r="E432" s="1538"/>
      <c r="F432" s="1538"/>
      <c r="I432" s="488"/>
    </row>
    <row r="433" spans="1:9" ht="15.75" customHeight="1">
      <c r="A433" s="495"/>
      <c r="B433" s="495"/>
      <c r="C433" s="474"/>
      <c r="D433" s="1597" t="s">
        <v>2599</v>
      </c>
      <c r="E433" s="1538"/>
      <c r="F433" s="1538"/>
      <c r="I433" s="488"/>
    </row>
    <row r="434" spans="1:9">
      <c r="D434" s="444"/>
      <c r="E434" s="444"/>
      <c r="F434" s="444"/>
      <c r="I434" s="488"/>
    </row>
    <row r="435" spans="1:9" ht="14.25">
      <c r="A435" s="482"/>
      <c r="B435" s="483" t="s">
        <v>306</v>
      </c>
      <c r="C435" s="485"/>
      <c r="D435" s="1566" t="s">
        <v>2014</v>
      </c>
      <c r="E435" s="1566"/>
      <c r="F435" s="1566"/>
      <c r="I435" s="488"/>
    </row>
    <row r="436" spans="1:9" ht="14.25">
      <c r="A436" s="482"/>
      <c r="B436" s="482"/>
      <c r="D436" s="1566"/>
      <c r="E436" s="1566"/>
      <c r="F436" s="1566"/>
      <c r="I436" s="488"/>
    </row>
    <row r="437" spans="1:9">
      <c r="D437" s="1566"/>
      <c r="E437" s="1566"/>
      <c r="F437" s="1566"/>
      <c r="I437" s="488"/>
    </row>
    <row r="438" spans="1:9">
      <c r="D438" s="1566"/>
      <c r="E438" s="1566"/>
      <c r="F438" s="1566"/>
      <c r="I438" s="488"/>
    </row>
    <row r="439" spans="1:9">
      <c r="D439" s="1566"/>
      <c r="E439" s="1566"/>
      <c r="F439" s="1566"/>
      <c r="I439" s="488"/>
    </row>
    <row r="440" spans="1:9">
      <c r="D440" s="1566"/>
      <c r="E440" s="1566"/>
      <c r="F440" s="1566"/>
      <c r="I440" s="488"/>
    </row>
    <row r="441" spans="1:9">
      <c r="D441" s="1566"/>
      <c r="E441" s="1566"/>
      <c r="F441" s="1566"/>
      <c r="I441" s="488"/>
    </row>
    <row r="442" spans="1:9">
      <c r="D442" s="1566"/>
      <c r="E442" s="1566"/>
      <c r="F442" s="1566"/>
      <c r="I442" s="488"/>
    </row>
    <row r="443" spans="1:9">
      <c r="D443" s="1566"/>
      <c r="E443" s="1566"/>
      <c r="F443" s="1566"/>
      <c r="I443" s="488"/>
    </row>
    <row r="444" spans="1:9">
      <c r="D444" s="1566"/>
      <c r="E444" s="1566"/>
      <c r="F444" s="1566"/>
      <c r="I444" s="488"/>
    </row>
    <row r="445" spans="1:9">
      <c r="D445" s="1566"/>
      <c r="E445" s="1566"/>
      <c r="F445" s="1566"/>
      <c r="I445" s="488"/>
    </row>
    <row r="446" spans="1:9">
      <c r="D446" s="1566"/>
      <c r="E446" s="1566"/>
      <c r="F446" s="1566"/>
      <c r="I446" s="488"/>
    </row>
    <row r="447" spans="1:9">
      <c r="D447" s="1566"/>
      <c r="E447" s="1566"/>
      <c r="F447" s="1566"/>
      <c r="I447" s="488"/>
    </row>
    <row r="448" spans="1:9">
      <c r="A448" s="400"/>
      <c r="B448" s="400"/>
      <c r="C448" s="400"/>
      <c r="D448" s="1566"/>
      <c r="E448" s="1566"/>
      <c r="F448" s="1566"/>
      <c r="I448" s="488"/>
    </row>
    <row r="449" spans="1:9">
      <c r="A449" s="400"/>
      <c r="B449" s="400"/>
      <c r="C449" s="400"/>
      <c r="D449" s="1566"/>
      <c r="E449" s="1566"/>
      <c r="F449" s="1566"/>
      <c r="I449" s="488"/>
    </row>
    <row r="450" spans="1:9">
      <c r="A450" s="400"/>
      <c r="B450" s="400"/>
      <c r="C450" s="400"/>
      <c r="D450" s="1566"/>
      <c r="E450" s="1566"/>
      <c r="F450" s="1566"/>
      <c r="I450" s="488"/>
    </row>
    <row r="451" spans="1:9">
      <c r="A451" s="400"/>
      <c r="B451" s="400"/>
      <c r="C451" s="400"/>
      <c r="D451" s="1566"/>
      <c r="E451" s="1566"/>
      <c r="F451" s="1566"/>
      <c r="I451" s="488"/>
    </row>
    <row r="452" spans="1:9">
      <c r="A452" s="400"/>
      <c r="B452" s="400"/>
      <c r="C452" s="400"/>
      <c r="D452" s="1566"/>
      <c r="E452" s="1566"/>
      <c r="F452" s="1566"/>
      <c r="I452" s="488"/>
    </row>
    <row r="453" spans="1:9">
      <c r="A453" s="400"/>
      <c r="B453" s="400"/>
      <c r="C453" s="400"/>
      <c r="D453" s="1566"/>
      <c r="E453" s="1566"/>
      <c r="F453" s="1566"/>
      <c r="I453" s="488"/>
    </row>
    <row r="454" spans="1:9">
      <c r="A454" s="400"/>
      <c r="B454" s="400"/>
      <c r="C454" s="400"/>
      <c r="D454" s="1566"/>
      <c r="E454" s="1566"/>
      <c r="F454" s="1566"/>
      <c r="I454" s="488"/>
    </row>
    <row r="455" spans="1:9">
      <c r="A455" s="400"/>
      <c r="B455" s="400"/>
      <c r="C455" s="400"/>
      <c r="D455" s="1566"/>
      <c r="E455" s="1566"/>
      <c r="F455" s="1566"/>
      <c r="I455" s="488"/>
    </row>
    <row r="456" spans="1:9">
      <c r="A456" s="400"/>
      <c r="B456" s="400"/>
      <c r="C456" s="400"/>
      <c r="D456" s="1566"/>
      <c r="E456" s="1566"/>
      <c r="F456" s="1566"/>
      <c r="I456" s="488"/>
    </row>
    <row r="457" spans="1:9">
      <c r="A457" s="400"/>
      <c r="B457" s="400"/>
      <c r="C457" s="400"/>
      <c r="D457" s="1566"/>
      <c r="E457" s="1566"/>
      <c r="F457" s="1566"/>
      <c r="I457" s="488"/>
    </row>
    <row r="458" spans="1:9">
      <c r="A458" s="400"/>
      <c r="B458" s="400"/>
      <c r="C458" s="400"/>
      <c r="D458" s="1566"/>
      <c r="E458" s="1566"/>
      <c r="F458" s="1566"/>
      <c r="I458" s="488"/>
    </row>
    <row r="459" spans="1:9">
      <c r="A459" s="400"/>
      <c r="B459" s="400"/>
      <c r="C459" s="400"/>
      <c r="D459" s="1566"/>
      <c r="E459" s="1566"/>
      <c r="F459" s="1566"/>
      <c r="I459" s="488"/>
    </row>
    <row r="460" spans="1:9">
      <c r="A460" s="400"/>
      <c r="B460" s="400"/>
      <c r="C460" s="400"/>
      <c r="D460" s="1566"/>
      <c r="E460" s="1566"/>
      <c r="F460" s="1566"/>
      <c r="I460" s="488"/>
    </row>
    <row r="461" spans="1:9">
      <c r="A461" s="400"/>
      <c r="B461" s="400"/>
      <c r="C461" s="400"/>
      <c r="D461" s="1566"/>
      <c r="E461" s="1566"/>
      <c r="F461" s="1566"/>
      <c r="I461" s="488"/>
    </row>
    <row r="462" spans="1:9">
      <c r="A462" s="400"/>
      <c r="B462" s="400"/>
      <c r="C462" s="400"/>
      <c r="D462" s="1566"/>
      <c r="E462" s="1566"/>
      <c r="F462" s="1566"/>
      <c r="I462" s="488"/>
    </row>
    <row r="463" spans="1:9">
      <c r="A463" s="400"/>
      <c r="B463" s="400"/>
      <c r="C463" s="400"/>
      <c r="D463" s="1566"/>
      <c r="E463" s="1566"/>
      <c r="F463" s="1566"/>
      <c r="I463" s="488"/>
    </row>
    <row r="464" spans="1:9">
      <c r="D464" s="1566"/>
      <c r="E464" s="1566"/>
      <c r="F464" s="1566"/>
      <c r="I464" s="488"/>
    </row>
    <row r="465" spans="1:9" ht="40.700000000000003" customHeight="1">
      <c r="D465" s="1566"/>
      <c r="E465" s="1566"/>
      <c r="F465" s="1566"/>
      <c r="I465" s="488"/>
    </row>
    <row r="466" spans="1:9">
      <c r="D466" s="444"/>
      <c r="E466" s="444"/>
      <c r="F466" s="444"/>
      <c r="I466" s="488"/>
    </row>
    <row r="467" spans="1:9" ht="14.25">
      <c r="A467" s="482"/>
      <c r="B467" s="483" t="s">
        <v>306</v>
      </c>
      <c r="C467" s="485"/>
      <c r="D467" s="1566" t="s">
        <v>1134</v>
      </c>
      <c r="E467" s="1566"/>
      <c r="F467" s="1566"/>
      <c r="I467" s="488"/>
    </row>
    <row r="468" spans="1:9">
      <c r="D468" s="1566"/>
      <c r="E468" s="1566"/>
      <c r="F468" s="1566"/>
      <c r="I468" s="488"/>
    </row>
    <row r="469" spans="1:9">
      <c r="D469" s="1566"/>
      <c r="E469" s="1566"/>
      <c r="F469" s="1566"/>
      <c r="I469" s="488"/>
    </row>
    <row r="470" spans="1:9">
      <c r="D470" s="443"/>
      <c r="E470" s="443"/>
      <c r="F470" s="443"/>
      <c r="I470" s="488"/>
    </row>
    <row r="471" spans="1:9" ht="14.25">
      <c r="B471" s="483" t="s">
        <v>306</v>
      </c>
      <c r="C471" s="482"/>
      <c r="D471" s="1566" t="s">
        <v>1194</v>
      </c>
      <c r="E471" s="1566"/>
      <c r="F471" s="1566"/>
      <c r="I471" s="488"/>
    </row>
    <row r="472" spans="1:9">
      <c r="D472" s="1566"/>
      <c r="E472" s="1566"/>
      <c r="F472" s="1566"/>
      <c r="I472" s="488"/>
    </row>
    <row r="473" spans="1:9">
      <c r="D473" s="444"/>
      <c r="E473" s="444"/>
      <c r="F473" s="444"/>
      <c r="I473" s="488"/>
    </row>
    <row r="474" spans="1:9" ht="14.25">
      <c r="B474" s="483" t="s">
        <v>306</v>
      </c>
      <c r="C474" s="482"/>
      <c r="D474" s="1566" t="s">
        <v>1135</v>
      </c>
      <c r="E474" s="1566"/>
      <c r="F474" s="1566"/>
      <c r="I474" s="488"/>
    </row>
    <row r="475" spans="1:9">
      <c r="D475" s="1566"/>
      <c r="E475" s="1566"/>
      <c r="F475" s="1566"/>
      <c r="I475" s="488"/>
    </row>
    <row r="476" spans="1:9">
      <c r="D476" s="1566"/>
      <c r="E476" s="1566"/>
      <c r="F476" s="1566"/>
      <c r="I476" s="488"/>
    </row>
    <row r="477" spans="1:9">
      <c r="D477" s="1566"/>
      <c r="E477" s="1566"/>
      <c r="F477" s="1566"/>
      <c r="I477" s="488"/>
    </row>
    <row r="478" spans="1:9">
      <c r="B478" s="483" t="s">
        <v>306</v>
      </c>
      <c r="D478" s="1566"/>
      <c r="E478" s="1566"/>
      <c r="F478" s="1566"/>
      <c r="I478" s="488"/>
    </row>
    <row r="479" spans="1:9">
      <c r="A479" s="400"/>
      <c r="B479" s="400"/>
      <c r="C479" s="400"/>
      <c r="D479" s="1566"/>
      <c r="E479" s="1566"/>
      <c r="F479" s="1566"/>
      <c r="I479" s="488"/>
    </row>
    <row r="480" spans="1:9">
      <c r="A480" s="400"/>
      <c r="C480" s="400"/>
      <c r="D480" s="1566"/>
      <c r="E480" s="1566"/>
      <c r="F480" s="1566"/>
      <c r="I480" s="488"/>
    </row>
    <row r="481" spans="1:9">
      <c r="A481" s="400"/>
      <c r="B481" s="483" t="s">
        <v>306</v>
      </c>
      <c r="C481" s="400"/>
      <c r="D481" s="1566"/>
      <c r="E481" s="1566"/>
      <c r="F481" s="1566"/>
      <c r="I481" s="488"/>
    </row>
    <row r="482" spans="1:9">
      <c r="A482" s="400"/>
      <c r="B482" s="400"/>
      <c r="C482" s="400"/>
      <c r="D482" s="1566"/>
      <c r="E482" s="1566"/>
      <c r="F482" s="1566"/>
      <c r="I482" s="488"/>
    </row>
    <row r="483" spans="1:9">
      <c r="A483" s="400"/>
      <c r="C483" s="400"/>
      <c r="D483" s="1566"/>
      <c r="E483" s="1566"/>
      <c r="F483" s="1566"/>
      <c r="I483" s="488"/>
    </row>
    <row r="484" spans="1:9">
      <c r="A484" s="400"/>
      <c r="C484" s="400"/>
      <c r="D484" s="1566"/>
      <c r="E484" s="1566"/>
      <c r="F484" s="1566"/>
      <c r="I484" s="488"/>
    </row>
    <row r="485" spans="1:9">
      <c r="A485" s="400"/>
      <c r="C485" s="400"/>
      <c r="D485" s="1566"/>
      <c r="E485" s="1566"/>
      <c r="F485" s="1566"/>
      <c r="I485" s="488"/>
    </row>
    <row r="486" spans="1:9">
      <c r="A486" s="400"/>
      <c r="B486" s="483" t="s">
        <v>306</v>
      </c>
      <c r="C486" s="400"/>
      <c r="D486" s="1566"/>
      <c r="E486" s="1566"/>
      <c r="F486" s="1566"/>
      <c r="I486" s="488"/>
    </row>
    <row r="487" spans="1:9">
      <c r="A487" s="400"/>
      <c r="C487" s="400"/>
      <c r="D487" s="1566"/>
      <c r="E487" s="1566"/>
      <c r="F487" s="1566"/>
      <c r="I487" s="488"/>
    </row>
    <row r="488" spans="1:9">
      <c r="A488" s="400"/>
      <c r="B488" s="483" t="s">
        <v>306</v>
      </c>
      <c r="C488" s="400"/>
      <c r="D488" s="1566" t="s">
        <v>1136</v>
      </c>
      <c r="E488" s="1566"/>
      <c r="F488" s="1566"/>
      <c r="I488" s="488"/>
    </row>
    <row r="489" spans="1:9">
      <c r="A489" s="400"/>
      <c r="B489" s="400"/>
      <c r="C489" s="400"/>
      <c r="D489" s="1566"/>
      <c r="E489" s="1566"/>
      <c r="F489" s="1566"/>
      <c r="I489" s="488"/>
    </row>
    <row r="490" spans="1:9">
      <c r="A490" s="400"/>
      <c r="B490" s="400"/>
      <c r="C490" s="400"/>
      <c r="D490" s="1566"/>
      <c r="E490" s="1566"/>
      <c r="F490" s="1566"/>
      <c r="I490" s="488"/>
    </row>
    <row r="491" spans="1:9">
      <c r="A491" s="400"/>
      <c r="B491" s="400"/>
      <c r="C491" s="400"/>
      <c r="D491" s="1566"/>
      <c r="E491" s="1566"/>
      <c r="F491" s="1566"/>
      <c r="I491" s="488"/>
    </row>
    <row r="492" spans="1:9">
      <c r="D492" s="1566"/>
      <c r="E492" s="1566"/>
      <c r="F492" s="1566"/>
      <c r="I492" s="488"/>
    </row>
    <row r="493" spans="1:9">
      <c r="D493" s="444"/>
      <c r="E493" s="444"/>
      <c r="F493" s="444"/>
      <c r="I493" s="488"/>
    </row>
    <row r="494" spans="1:9">
      <c r="B494" s="483" t="s">
        <v>306</v>
      </c>
      <c r="D494" s="1568" t="s">
        <v>1137</v>
      </c>
      <c r="E494" s="1568"/>
      <c r="F494" s="1568"/>
      <c r="I494" s="488"/>
    </row>
    <row r="495" spans="1:9">
      <c r="A495" s="444"/>
      <c r="B495" s="444"/>
      <c r="I495" s="488"/>
    </row>
    <row r="496" spans="1:9">
      <c r="A496" s="1567" t="s">
        <v>1047</v>
      </c>
      <c r="B496" s="1567"/>
      <c r="C496" s="1567"/>
      <c r="D496" s="1567"/>
      <c r="E496" s="1567"/>
      <c r="F496" s="1567"/>
      <c r="G496" s="1567"/>
      <c r="H496" s="1020"/>
      <c r="I496" s="1142"/>
    </row>
    <row r="497" spans="1:9">
      <c r="A497" s="444"/>
      <c r="B497" s="444"/>
      <c r="I497" s="488"/>
    </row>
    <row r="498" spans="1:9">
      <c r="D498" s="1596" t="s">
        <v>880</v>
      </c>
      <c r="E498" s="1596"/>
      <c r="F498" s="1596"/>
      <c r="I498" s="488"/>
    </row>
    <row r="499" spans="1:9" ht="14.25">
      <c r="A499" s="482"/>
      <c r="B499" s="482"/>
      <c r="D499" s="1576" t="s">
        <v>1138</v>
      </c>
      <c r="E499" s="1576"/>
      <c r="F499" s="1576"/>
      <c r="I499" s="488"/>
    </row>
    <row r="500" spans="1:9" ht="14.25">
      <c r="A500" s="482"/>
      <c r="B500" s="482"/>
      <c r="D500" s="445"/>
      <c r="I500" s="488"/>
    </row>
    <row r="501" spans="1:9" ht="14.25">
      <c r="A501" s="482"/>
      <c r="B501" s="483" t="s">
        <v>306</v>
      </c>
      <c r="D501" s="1538" t="s">
        <v>1139</v>
      </c>
      <c r="E501" s="1538"/>
      <c r="F501" s="1538"/>
      <c r="I501" s="488"/>
    </row>
    <row r="502" spans="1:9" ht="14.25">
      <c r="A502" s="482"/>
      <c r="B502" s="482"/>
      <c r="D502" s="1538"/>
      <c r="E502" s="1538"/>
      <c r="F502" s="1538"/>
      <c r="I502" s="488"/>
    </row>
    <row r="503" spans="1:9" ht="14.25">
      <c r="A503" s="482"/>
      <c r="B503" s="482"/>
      <c r="D503" s="444"/>
      <c r="I503" s="488"/>
    </row>
    <row r="504" spans="1:9" ht="12.75" customHeight="1">
      <c r="B504" s="483" t="s">
        <v>306</v>
      </c>
      <c r="D504" s="1582" t="s">
        <v>1270</v>
      </c>
      <c r="E504" s="1582"/>
      <c r="F504" s="1582"/>
      <c r="I504" s="488"/>
    </row>
    <row r="505" spans="1:9" ht="14.25">
      <c r="A505" s="482"/>
      <c r="D505" s="1582"/>
      <c r="E505" s="1582"/>
      <c r="F505" s="1582"/>
      <c r="I505" s="488"/>
    </row>
    <row r="506" spans="1:9" ht="14.25">
      <c r="A506" s="482"/>
      <c r="B506" s="482"/>
      <c r="D506" s="1582"/>
      <c r="E506" s="1582"/>
      <c r="F506" s="1582"/>
      <c r="I506" s="488"/>
    </row>
    <row r="507" spans="1:9" ht="14.25">
      <c r="A507" s="482"/>
      <c r="B507" s="482"/>
      <c r="D507" s="1582"/>
      <c r="E507" s="1582"/>
      <c r="F507" s="1582"/>
      <c r="I507" s="488"/>
    </row>
    <row r="508" spans="1:9" ht="14.25">
      <c r="A508" s="482"/>
      <c r="D508" s="518"/>
      <c r="E508" s="518"/>
      <c r="F508" s="518"/>
      <c r="I508" s="488"/>
    </row>
    <row r="509" spans="1:9" ht="14.25">
      <c r="A509" s="482"/>
      <c r="B509" s="483" t="s">
        <v>306</v>
      </c>
      <c r="D509" s="1568" t="s">
        <v>1140</v>
      </c>
      <c r="E509" s="1568"/>
      <c r="F509" s="1568"/>
      <c r="I509" s="488"/>
    </row>
    <row r="510" spans="1:9" ht="14.25">
      <c r="A510" s="482"/>
      <c r="B510" s="482"/>
      <c r="D510" s="444"/>
      <c r="I510" s="488"/>
    </row>
    <row r="511" spans="1:9" ht="14.25">
      <c r="A511" s="482"/>
      <c r="B511" s="483" t="s">
        <v>306</v>
      </c>
      <c r="D511" s="1566" t="s">
        <v>1141</v>
      </c>
      <c r="E511" s="1566"/>
      <c r="F511" s="1566"/>
      <c r="I511" s="488"/>
    </row>
    <row r="512" spans="1:9" ht="14.25">
      <c r="A512" s="482"/>
      <c r="D512" s="1566"/>
      <c r="E512" s="1566"/>
      <c r="F512" s="1566"/>
      <c r="I512" s="488"/>
    </row>
    <row r="513" spans="1:9">
      <c r="A513" s="488"/>
      <c r="B513" s="488"/>
      <c r="D513" s="445"/>
      <c r="I513" s="488"/>
    </row>
    <row r="514" spans="1:9">
      <c r="A514" s="488"/>
      <c r="B514" s="483" t="s">
        <v>306</v>
      </c>
      <c r="D514" s="1568" t="s">
        <v>1142</v>
      </c>
      <c r="E514" s="1568"/>
      <c r="F514" s="1568"/>
      <c r="I514" s="488"/>
    </row>
    <row r="515" spans="1:9">
      <c r="D515" s="444"/>
      <c r="E515" s="444"/>
      <c r="F515" s="444"/>
      <c r="I515" s="488"/>
    </row>
    <row r="516" spans="1:9">
      <c r="B516" s="483" t="s">
        <v>306</v>
      </c>
      <c r="D516" s="1566" t="s">
        <v>2217</v>
      </c>
      <c r="E516" s="1566"/>
      <c r="F516" s="1566"/>
      <c r="I516" s="488"/>
    </row>
    <row r="517" spans="1:9">
      <c r="D517" s="1566"/>
      <c r="E517" s="1566"/>
      <c r="F517" s="1566"/>
      <c r="I517" s="488"/>
    </row>
    <row r="518" spans="1:9">
      <c r="D518" s="1566"/>
      <c r="E518" s="1566"/>
      <c r="F518" s="1566"/>
      <c r="I518" s="488"/>
    </row>
    <row r="519" spans="1:9">
      <c r="D519" s="444"/>
      <c r="E519" s="444"/>
      <c r="F519" s="444"/>
      <c r="I519" s="488"/>
    </row>
    <row r="520" spans="1:9" ht="14.25">
      <c r="A520" s="482"/>
      <c r="B520" s="482"/>
      <c r="D520" s="444"/>
      <c r="I520" s="488"/>
    </row>
    <row r="521" spans="1:9">
      <c r="A521" s="1567" t="s">
        <v>1048</v>
      </c>
      <c r="B521" s="1567"/>
      <c r="C521" s="1567"/>
      <c r="D521" s="1567"/>
      <c r="E521" s="1567"/>
      <c r="F521" s="1567"/>
      <c r="G521" s="1567"/>
      <c r="H521" s="1020"/>
      <c r="I521" s="1142"/>
    </row>
    <row r="522" spans="1:9" ht="12" customHeight="1">
      <c r="A522" s="482"/>
      <c r="B522" s="482"/>
      <c r="D522" s="444"/>
      <c r="I522" s="488"/>
    </row>
    <row r="523" spans="1:9">
      <c r="C523" s="480"/>
      <c r="D523" s="1569" t="s">
        <v>792</v>
      </c>
      <c r="E523" s="1569"/>
      <c r="F523" s="1569"/>
      <c r="I523" s="488"/>
    </row>
    <row r="524" spans="1:9">
      <c r="C524" s="480"/>
      <c r="D524" s="504" t="s">
        <v>1196</v>
      </c>
      <c r="E524" s="504"/>
      <c r="F524" s="504"/>
      <c r="I524" s="488"/>
    </row>
    <row r="525" spans="1:9">
      <c r="C525" s="480"/>
      <c r="D525" s="504" t="s">
        <v>1197</v>
      </c>
      <c r="E525" s="504"/>
      <c r="F525" s="504"/>
      <c r="I525" s="488"/>
    </row>
    <row r="526" spans="1:9">
      <c r="C526" s="480"/>
      <c r="D526" s="479"/>
      <c r="E526" s="479"/>
      <c r="F526" s="479"/>
      <c r="I526" s="488"/>
    </row>
    <row r="527" spans="1:9" ht="13.7" customHeight="1">
      <c r="A527" s="481"/>
      <c r="B527" s="483" t="s">
        <v>306</v>
      </c>
      <c r="C527" s="481"/>
      <c r="D527" s="1538" t="s">
        <v>2015</v>
      </c>
      <c r="E527" s="1538"/>
      <c r="F527" s="1538"/>
      <c r="I527" s="488"/>
    </row>
    <row r="528" spans="1:9">
      <c r="A528" s="481"/>
      <c r="B528" s="481"/>
      <c r="C528" s="481"/>
      <c r="D528" s="1538"/>
      <c r="E528" s="1538"/>
      <c r="F528" s="1538"/>
      <c r="I528" s="488"/>
    </row>
    <row r="529" spans="1:9">
      <c r="A529" s="481"/>
      <c r="B529" s="481"/>
      <c r="C529" s="481"/>
      <c r="D529" s="449"/>
      <c r="E529" s="449"/>
      <c r="F529" s="449"/>
      <c r="I529" s="478"/>
    </row>
    <row r="530" spans="1:9" ht="12.75" customHeight="1">
      <c r="A530" s="481"/>
      <c r="B530" s="483" t="s">
        <v>306</v>
      </c>
      <c r="D530" s="384" t="s">
        <v>1873</v>
      </c>
      <c r="E530" s="383"/>
      <c r="F530" s="383"/>
      <c r="I530" s="488"/>
    </row>
    <row r="531" spans="1:9">
      <c r="A531" s="481"/>
      <c r="B531" s="481"/>
      <c r="C531" s="481"/>
      <c r="D531" s="383"/>
      <c r="E531" s="96" t="s">
        <v>1874</v>
      </c>
      <c r="I531" s="488"/>
    </row>
    <row r="532" spans="1:9">
      <c r="A532" s="481"/>
      <c r="B532" s="481"/>
      <c r="D532" s="1546" t="s">
        <v>2016</v>
      </c>
      <c r="E532" s="1546"/>
      <c r="F532" s="1546"/>
      <c r="I532" s="488"/>
    </row>
    <row r="533" spans="1:9">
      <c r="A533" s="481"/>
      <c r="B533" s="481"/>
      <c r="D533" s="1546"/>
      <c r="E533" s="1546"/>
      <c r="F533" s="1546"/>
      <c r="I533" s="488"/>
    </row>
    <row r="534" spans="1:9">
      <c r="A534" s="481"/>
      <c r="B534" s="481"/>
      <c r="C534" s="481"/>
      <c r="D534" s="1546"/>
      <c r="E534" s="1546"/>
      <c r="F534" s="1546"/>
      <c r="I534" s="488"/>
    </row>
    <row r="535" spans="1:9">
      <c r="A535" s="481"/>
      <c r="B535" s="481"/>
      <c r="C535" s="481"/>
      <c r="D535" s="496"/>
      <c r="F535" s="444"/>
      <c r="I535" s="488"/>
    </row>
    <row r="536" spans="1:9" ht="13.35" customHeight="1">
      <c r="A536" s="481"/>
      <c r="B536" s="483" t="s">
        <v>306</v>
      </c>
      <c r="C536" s="481"/>
      <c r="D536" s="1566" t="s">
        <v>2623</v>
      </c>
      <c r="E536" s="1566"/>
      <c r="F536" s="1566"/>
      <c r="I536" s="488"/>
    </row>
    <row r="537" spans="1:9" ht="13.35" customHeight="1">
      <c r="A537" s="481"/>
      <c r="B537" s="481"/>
      <c r="C537" s="481"/>
      <c r="D537" s="1566"/>
      <c r="E537" s="1566"/>
      <c r="F537" s="1566"/>
      <c r="I537" s="488"/>
    </row>
    <row r="538" spans="1:9">
      <c r="A538" s="481"/>
      <c r="B538" s="481"/>
      <c r="C538" s="481"/>
      <c r="D538" s="1566"/>
      <c r="E538" s="1566"/>
      <c r="F538" s="1566"/>
      <c r="I538" s="488"/>
    </row>
    <row r="539" spans="1:9" ht="12" customHeight="1">
      <c r="A539" s="444"/>
      <c r="B539" s="444"/>
      <c r="C539" s="485"/>
      <c r="D539" s="444"/>
      <c r="F539" s="446"/>
      <c r="I539" s="488"/>
    </row>
    <row r="540" spans="1:9">
      <c r="A540" s="1567" t="s">
        <v>1049</v>
      </c>
      <c r="B540" s="1567"/>
      <c r="C540" s="1567"/>
      <c r="D540" s="1567"/>
      <c r="E540" s="1567"/>
      <c r="F540" s="1567"/>
      <c r="G540" s="1567"/>
      <c r="H540" s="1020"/>
      <c r="I540" s="1142"/>
    </row>
    <row r="541" spans="1:9">
      <c r="A541" s="444"/>
      <c r="B541" s="444"/>
      <c r="C541" s="485"/>
      <c r="F541" s="446"/>
      <c r="I541" s="488"/>
    </row>
    <row r="542" spans="1:9">
      <c r="B542" s="1572" t="s">
        <v>445</v>
      </c>
      <c r="C542" s="1572"/>
      <c r="D542" s="1572"/>
      <c r="E542" s="1572"/>
      <c r="F542" s="1572"/>
      <c r="I542" s="488"/>
    </row>
    <row r="543" spans="1:9">
      <c r="A543" s="444"/>
      <c r="B543" s="444"/>
      <c r="C543" s="485"/>
      <c r="D543" s="444"/>
      <c r="F543" s="444"/>
      <c r="I543" s="488"/>
    </row>
    <row r="544" spans="1:9">
      <c r="A544" s="1570" t="s">
        <v>1050</v>
      </c>
      <c r="B544" s="1570"/>
      <c r="C544" s="1570"/>
      <c r="D544" s="1570"/>
      <c r="E544" s="1570"/>
      <c r="F544" s="1570"/>
      <c r="G544" s="1570"/>
      <c r="H544" s="1020"/>
      <c r="I544" s="1142"/>
    </row>
    <row r="545" spans="1:9">
      <c r="A545" s="444"/>
      <c r="B545" s="444"/>
      <c r="C545" s="485"/>
      <c r="D545" s="444"/>
      <c r="F545" s="444"/>
      <c r="I545" s="488"/>
    </row>
    <row r="546" spans="1:9">
      <c r="C546" s="485"/>
      <c r="D546" s="1569" t="s">
        <v>682</v>
      </c>
      <c r="E546" s="1569"/>
      <c r="F546" s="1569"/>
      <c r="I546" s="488"/>
    </row>
    <row r="547" spans="1:9">
      <c r="C547" s="485"/>
      <c r="D547" s="1568" t="s">
        <v>1078</v>
      </c>
      <c r="E547" s="1568"/>
      <c r="F547" s="1568"/>
      <c r="I547" s="488"/>
    </row>
    <row r="548" spans="1:9">
      <c r="C548" s="485"/>
      <c r="D548" s="444"/>
      <c r="E548" s="444"/>
      <c r="F548" s="444"/>
      <c r="I548" s="488"/>
    </row>
    <row r="549" spans="1:9" ht="13.7" customHeight="1">
      <c r="A549" s="482"/>
      <c r="B549" s="483" t="s">
        <v>306</v>
      </c>
      <c r="C549" s="485"/>
      <c r="D549" s="1568" t="s">
        <v>881</v>
      </c>
      <c r="E549" s="1568"/>
      <c r="F549" s="1568"/>
      <c r="I549" s="488"/>
    </row>
    <row r="550" spans="1:9" ht="13.7" customHeight="1">
      <c r="A550" s="485"/>
      <c r="B550" s="485"/>
      <c r="C550" s="485"/>
      <c r="D550" s="444"/>
      <c r="I550" s="488"/>
    </row>
    <row r="551" spans="1:9" ht="14.25">
      <c r="A551" s="482"/>
      <c r="B551" s="483" t="s">
        <v>306</v>
      </c>
      <c r="C551" s="485"/>
      <c r="D551" s="1566" t="s">
        <v>1079</v>
      </c>
      <c r="E551" s="1566"/>
      <c r="F551" s="1566"/>
      <c r="I551" s="488"/>
    </row>
    <row r="552" spans="1:9">
      <c r="A552" s="485"/>
      <c r="B552" s="485"/>
      <c r="C552" s="485"/>
      <c r="D552" s="1566"/>
      <c r="E552" s="1566"/>
      <c r="F552" s="1566"/>
      <c r="I552" s="488"/>
    </row>
    <row r="553" spans="1:9">
      <c r="A553" s="485"/>
      <c r="B553" s="485"/>
      <c r="C553" s="485"/>
      <c r="D553" s="444"/>
      <c r="E553" s="444"/>
      <c r="F553" s="444"/>
      <c r="I553" s="488"/>
    </row>
    <row r="554" spans="1:9" ht="14.25">
      <c r="A554" s="482"/>
      <c r="B554" s="483" t="s">
        <v>306</v>
      </c>
      <c r="C554" s="485"/>
      <c r="D554" s="1566" t="s">
        <v>1080</v>
      </c>
      <c r="E554" s="1566"/>
      <c r="F554" s="1566"/>
      <c r="I554" s="488"/>
    </row>
    <row r="555" spans="1:9">
      <c r="A555" s="485"/>
      <c r="B555" s="485"/>
      <c r="C555" s="485"/>
      <c r="D555" s="1566"/>
      <c r="E555" s="1566"/>
      <c r="F555" s="1566"/>
      <c r="I555" s="488"/>
    </row>
    <row r="556" spans="1:9">
      <c r="A556" s="485"/>
      <c r="B556" s="485"/>
      <c r="C556" s="485"/>
      <c r="D556" s="444"/>
      <c r="E556" s="444"/>
      <c r="F556" s="444"/>
      <c r="I556" s="488"/>
    </row>
    <row r="557" spans="1:9" ht="14.25">
      <c r="A557" s="482"/>
      <c r="B557" s="483" t="s">
        <v>306</v>
      </c>
      <c r="C557" s="485"/>
      <c r="D557" s="1566" t="s">
        <v>1081</v>
      </c>
      <c r="E557" s="1566"/>
      <c r="F557" s="1566"/>
      <c r="I557" s="488"/>
    </row>
    <row r="558" spans="1:9">
      <c r="A558" s="485"/>
      <c r="B558" s="485"/>
      <c r="C558" s="485"/>
      <c r="D558" s="1566"/>
      <c r="E558" s="1566"/>
      <c r="F558" s="1566"/>
      <c r="I558" s="488"/>
    </row>
    <row r="559" spans="1:9">
      <c r="A559" s="485"/>
      <c r="B559" s="485"/>
      <c r="C559" s="485"/>
      <c r="D559" s="444"/>
      <c r="E559" s="444"/>
      <c r="F559" s="444"/>
      <c r="I559" s="488"/>
    </row>
    <row r="560" spans="1:9" ht="14.25">
      <c r="A560" s="482"/>
      <c r="B560" s="483" t="s">
        <v>306</v>
      </c>
      <c r="C560" s="485"/>
      <c r="D560" s="1566" t="s">
        <v>1082</v>
      </c>
      <c r="E560" s="1566"/>
      <c r="F560" s="1566"/>
      <c r="I560" s="488"/>
    </row>
    <row r="561" spans="1:9">
      <c r="A561" s="485"/>
      <c r="B561" s="485"/>
      <c r="C561" s="485"/>
      <c r="D561" s="1566"/>
      <c r="E561" s="1566"/>
      <c r="F561" s="1566"/>
      <c r="I561" s="488"/>
    </row>
    <row r="562" spans="1:9">
      <c r="A562" s="485"/>
      <c r="B562" s="485"/>
      <c r="C562" s="485"/>
      <c r="D562" s="1566"/>
      <c r="E562" s="1566"/>
      <c r="F562" s="1566"/>
      <c r="I562" s="488"/>
    </row>
    <row r="563" spans="1:9">
      <c r="A563" s="485"/>
      <c r="B563" s="485"/>
      <c r="C563" s="485"/>
      <c r="D563" s="444"/>
      <c r="E563" s="444"/>
      <c r="F563" s="444"/>
      <c r="I563" s="488"/>
    </row>
    <row r="564" spans="1:9" ht="14.25">
      <c r="A564" s="482"/>
      <c r="B564" s="483" t="s">
        <v>306</v>
      </c>
      <c r="C564" s="485"/>
      <c r="D564" s="1566" t="s">
        <v>2196</v>
      </c>
      <c r="E564" s="1566"/>
      <c r="F564" s="1566"/>
      <c r="I564" s="488"/>
    </row>
    <row r="565" spans="1:9">
      <c r="A565" s="485"/>
      <c r="B565" s="485"/>
      <c r="C565" s="485"/>
      <c r="D565" s="1566"/>
      <c r="E565" s="1566"/>
      <c r="F565" s="1566"/>
      <c r="I565" s="488"/>
    </row>
    <row r="566" spans="1:9">
      <c r="A566" s="485"/>
      <c r="B566" s="485"/>
      <c r="C566" s="485"/>
      <c r="D566" s="444"/>
      <c r="E566" s="444"/>
      <c r="F566" s="444"/>
      <c r="I566" s="488"/>
    </row>
    <row r="567" spans="1:9" ht="14.25">
      <c r="A567" s="482"/>
      <c r="B567" s="483" t="s">
        <v>306</v>
      </c>
      <c r="C567" s="485"/>
      <c r="D567" s="1566" t="s">
        <v>1083</v>
      </c>
      <c r="E567" s="1566"/>
      <c r="F567" s="1566"/>
      <c r="I567" s="488"/>
    </row>
    <row r="568" spans="1:9">
      <c r="A568" s="485"/>
      <c r="B568" s="485"/>
      <c r="C568" s="485"/>
      <c r="D568" s="1566"/>
      <c r="E568" s="1566"/>
      <c r="F568" s="1566"/>
      <c r="I568" s="488"/>
    </row>
    <row r="569" spans="1:9">
      <c r="A569" s="485"/>
      <c r="B569" s="485"/>
      <c r="C569" s="485"/>
      <c r="D569" s="444"/>
      <c r="E569" s="444"/>
      <c r="F569" s="444"/>
      <c r="I569" s="488"/>
    </row>
    <row r="570" spans="1:9" ht="14.25">
      <c r="A570" s="482"/>
      <c r="B570" s="483" t="s">
        <v>306</v>
      </c>
      <c r="C570" s="485"/>
      <c r="D570" s="1568" t="s">
        <v>1084</v>
      </c>
      <c r="E570" s="1568"/>
      <c r="F570" s="1568"/>
      <c r="I570" s="488"/>
    </row>
    <row r="571" spans="1:9">
      <c r="A571" s="488"/>
      <c r="B571" s="488"/>
      <c r="C571" s="485"/>
      <c r="D571" s="1568" t="s">
        <v>1876</v>
      </c>
      <c r="E571" s="1568"/>
      <c r="F571" s="1568"/>
      <c r="I571" s="488"/>
    </row>
    <row r="572" spans="1:9">
      <c r="A572" s="488"/>
      <c r="B572" s="488"/>
      <c r="C572" s="485"/>
      <c r="E572" s="96" t="s">
        <v>1875</v>
      </c>
      <c r="F572" s="402"/>
      <c r="I572" s="488"/>
    </row>
    <row r="573" spans="1:9" ht="14.25">
      <c r="A573" s="482"/>
      <c r="B573" s="482"/>
      <c r="C573" s="485"/>
      <c r="E573" s="444"/>
      <c r="F573" s="444"/>
      <c r="I573" s="488"/>
    </row>
    <row r="574" spans="1:9" ht="14.25">
      <c r="A574" s="482"/>
      <c r="B574" s="483" t="s">
        <v>306</v>
      </c>
      <c r="C574" s="485"/>
      <c r="D574" s="1568" t="s">
        <v>1085</v>
      </c>
      <c r="E574" s="1568"/>
      <c r="F574" s="1568"/>
      <c r="I574" s="488"/>
    </row>
    <row r="575" spans="1:9">
      <c r="C575" s="485"/>
      <c r="D575" s="1566" t="s">
        <v>1086</v>
      </c>
      <c r="E575" s="1566"/>
      <c r="F575" s="1566"/>
      <c r="I575" s="488"/>
    </row>
    <row r="576" spans="1:9">
      <c r="A576" s="485"/>
      <c r="B576" s="485"/>
      <c r="C576" s="485"/>
      <c r="D576" s="1566"/>
      <c r="E576" s="1566"/>
      <c r="F576" s="1566"/>
      <c r="I576" s="488"/>
    </row>
    <row r="577" spans="1:9">
      <c r="A577" s="485"/>
      <c r="B577" s="485"/>
      <c r="C577" s="485"/>
      <c r="D577" s="1566"/>
      <c r="E577" s="1566"/>
      <c r="F577" s="1566"/>
      <c r="I577" s="488"/>
    </row>
    <row r="578" spans="1:9">
      <c r="A578" s="485"/>
      <c r="B578" s="485"/>
      <c r="C578" s="485"/>
      <c r="D578" s="444"/>
      <c r="E578" s="444"/>
      <c r="F578" s="444"/>
      <c r="I578" s="488"/>
    </row>
    <row r="579" spans="1:9" ht="14.25">
      <c r="A579" s="482"/>
      <c r="B579" s="483" t="s">
        <v>306</v>
      </c>
      <c r="C579" s="485"/>
      <c r="D579" s="1566" t="s">
        <v>2017</v>
      </c>
      <c r="E579" s="1566"/>
      <c r="F579" s="1566"/>
      <c r="I579" s="488"/>
    </row>
    <row r="580" spans="1:9" ht="14.25">
      <c r="A580" s="482"/>
      <c r="B580" s="482"/>
      <c r="C580" s="485"/>
      <c r="D580" s="1566"/>
      <c r="E580" s="1566"/>
      <c r="F580" s="1566"/>
      <c r="I580" s="488"/>
    </row>
    <row r="581" spans="1:9" ht="14.25">
      <c r="A581" s="482"/>
      <c r="B581" s="482"/>
      <c r="C581" s="485"/>
      <c r="D581" s="1566"/>
      <c r="E581" s="1566"/>
      <c r="F581" s="1566"/>
      <c r="I581" s="488"/>
    </row>
    <row r="582" spans="1:9" ht="14.25">
      <c r="A582" s="482"/>
      <c r="B582" s="482"/>
      <c r="C582" s="485"/>
      <c r="D582" s="1566"/>
      <c r="E582" s="1566"/>
      <c r="F582" s="1566"/>
      <c r="I582" s="488"/>
    </row>
    <row r="583" spans="1:9" ht="14.25">
      <c r="A583" s="482"/>
      <c r="B583" s="482"/>
      <c r="C583" s="485"/>
      <c r="D583" s="444"/>
      <c r="E583" s="444"/>
      <c r="F583" s="444"/>
      <c r="I583" s="488"/>
    </row>
    <row r="584" spans="1:9">
      <c r="A584" s="1567" t="s">
        <v>1051</v>
      </c>
      <c r="B584" s="1567"/>
      <c r="C584" s="1567"/>
      <c r="D584" s="1567"/>
      <c r="E584" s="1567"/>
      <c r="F584" s="1567"/>
      <c r="G584" s="1567"/>
      <c r="H584" s="1020"/>
      <c r="I584" s="1142"/>
    </row>
    <row r="585" spans="1:9">
      <c r="A585" s="485"/>
      <c r="B585" s="485"/>
      <c r="C585" s="485"/>
      <c r="E585" s="444"/>
      <c r="F585" s="444"/>
      <c r="I585" s="488"/>
    </row>
    <row r="586" spans="1:9" ht="12.75" customHeight="1">
      <c r="C586" s="480"/>
      <c r="D586" s="1586" t="s">
        <v>209</v>
      </c>
      <c r="E586" s="1586"/>
      <c r="F586" s="1586"/>
      <c r="I586" s="488"/>
    </row>
    <row r="587" spans="1:9">
      <c r="A587" s="481"/>
      <c r="B587" s="481"/>
      <c r="C587" s="481"/>
      <c r="D587" s="1582" t="s">
        <v>1064</v>
      </c>
      <c r="E587" s="1582"/>
      <c r="F587" s="1582"/>
      <c r="I587" s="488"/>
    </row>
    <row r="588" spans="1:9">
      <c r="A588" s="400"/>
      <c r="B588" s="400"/>
      <c r="C588" s="481"/>
      <c r="D588" s="497"/>
      <c r="I588" s="488"/>
    </row>
    <row r="589" spans="1:9">
      <c r="A589" s="481"/>
      <c r="B589" s="483" t="s">
        <v>306</v>
      </c>
      <c r="D589" s="1582" t="s">
        <v>885</v>
      </c>
      <c r="E589" s="1582"/>
      <c r="F589" s="1582"/>
      <c r="I589" s="488"/>
    </row>
    <row r="590" spans="1:9">
      <c r="A590" s="488"/>
      <c r="B590" s="488"/>
      <c r="D590" s="474"/>
      <c r="I590" s="488"/>
    </row>
    <row r="591" spans="1:9">
      <c r="A591" s="488"/>
      <c r="B591" s="483" t="s">
        <v>306</v>
      </c>
      <c r="D591" s="1582" t="s">
        <v>2018</v>
      </c>
      <c r="E591" s="1582"/>
      <c r="F591" s="1582"/>
      <c r="I591" s="488"/>
    </row>
    <row r="592" spans="1:9">
      <c r="A592" s="488"/>
      <c r="B592" s="488"/>
      <c r="D592" s="1582"/>
      <c r="E592" s="1582"/>
      <c r="F592" s="1582"/>
      <c r="I592" s="488"/>
    </row>
    <row r="593" spans="1:9">
      <c r="A593" s="488"/>
      <c r="B593" s="488"/>
      <c r="D593" s="1582"/>
      <c r="E593" s="1582"/>
      <c r="F593" s="1582"/>
      <c r="I593" s="488"/>
    </row>
    <row r="594" spans="1:9">
      <c r="A594" s="488"/>
      <c r="B594" s="488"/>
      <c r="D594" s="1582"/>
      <c r="E594" s="1582"/>
      <c r="F594" s="1582"/>
      <c r="I594" s="488"/>
    </row>
    <row r="595" spans="1:9">
      <c r="A595" s="488"/>
      <c r="B595" s="483" t="s">
        <v>306</v>
      </c>
      <c r="D595" s="1582" t="s">
        <v>1065</v>
      </c>
      <c r="E595" s="1582"/>
      <c r="F595" s="1582"/>
      <c r="I595" s="488"/>
    </row>
    <row r="596" spans="1:9">
      <c r="A596" s="488"/>
      <c r="B596" s="488"/>
      <c r="D596" s="1582"/>
      <c r="E596" s="1582"/>
      <c r="F596" s="1582"/>
      <c r="I596" s="488"/>
    </row>
    <row r="597" spans="1:9">
      <c r="A597" s="488"/>
      <c r="B597" s="488"/>
      <c r="D597" s="1582"/>
      <c r="E597" s="1582"/>
      <c r="F597" s="1582"/>
      <c r="I597" s="488"/>
    </row>
    <row r="598" spans="1:9">
      <c r="A598" s="488"/>
      <c r="B598" s="488"/>
      <c r="D598" s="1582"/>
      <c r="E598" s="1582"/>
      <c r="F598" s="1582"/>
      <c r="I598" s="488"/>
    </row>
    <row r="599" spans="1:9">
      <c r="A599" s="488"/>
      <c r="B599" s="488"/>
      <c r="D599" s="438"/>
      <c r="E599" s="438"/>
      <c r="F599" s="438"/>
      <c r="I599" s="488"/>
    </row>
    <row r="600" spans="1:9">
      <c r="A600" s="488"/>
      <c r="B600" s="483" t="s">
        <v>306</v>
      </c>
      <c r="D600" s="1582" t="s">
        <v>2019</v>
      </c>
      <c r="E600" s="1582"/>
      <c r="F600" s="1582"/>
      <c r="I600" s="488"/>
    </row>
    <row r="601" spans="1:9">
      <c r="A601" s="488"/>
      <c r="B601" s="488"/>
      <c r="D601" s="1582"/>
      <c r="E601" s="1582"/>
      <c r="F601" s="1582"/>
      <c r="I601" s="488"/>
    </row>
    <row r="602" spans="1:9">
      <c r="A602" s="488"/>
      <c r="B602" s="488"/>
      <c r="D602" s="497"/>
      <c r="I602" s="488"/>
    </row>
    <row r="603" spans="1:9">
      <c r="A603" s="488"/>
      <c r="B603" s="483" t="s">
        <v>306</v>
      </c>
      <c r="D603" s="1582" t="s">
        <v>1066</v>
      </c>
      <c r="E603" s="1582"/>
      <c r="F603" s="1582"/>
      <c r="I603" s="488"/>
    </row>
    <row r="604" spans="1:9">
      <c r="A604" s="488"/>
      <c r="B604" s="488"/>
      <c r="D604" s="1582"/>
      <c r="E604" s="1582"/>
      <c r="F604" s="1582"/>
      <c r="I604" s="488"/>
    </row>
    <row r="605" spans="1:9" ht="14.25">
      <c r="A605" s="482"/>
      <c r="B605" s="482"/>
      <c r="D605" s="497"/>
      <c r="I605" s="488"/>
    </row>
    <row r="606" spans="1:9">
      <c r="A606" s="1567" t="s">
        <v>1052</v>
      </c>
      <c r="B606" s="1567"/>
      <c r="C606" s="1567"/>
      <c r="D606" s="1567"/>
      <c r="E606" s="1567"/>
      <c r="F606" s="1567"/>
      <c r="G606" s="1567"/>
      <c r="H606" s="1020"/>
      <c r="I606" s="1142"/>
    </row>
    <row r="607" spans="1:9">
      <c r="I607" s="488"/>
    </row>
    <row r="608" spans="1:9">
      <c r="D608" s="1569" t="s">
        <v>1104</v>
      </c>
      <c r="E608" s="1569"/>
      <c r="F608" s="1569"/>
      <c r="I608" s="488"/>
    </row>
    <row r="609" spans="1:9">
      <c r="D609" s="1548" t="s">
        <v>1105</v>
      </c>
      <c r="E609" s="1548"/>
      <c r="F609" s="1548"/>
      <c r="I609" s="488"/>
    </row>
    <row r="610" spans="1:9">
      <c r="D610" s="442"/>
      <c r="I610" s="488"/>
    </row>
    <row r="611" spans="1:9" ht="14.25" customHeight="1">
      <c r="A611" s="482"/>
      <c r="B611" s="483" t="s">
        <v>306</v>
      </c>
      <c r="D611" s="1583" t="s">
        <v>1877</v>
      </c>
      <c r="E611" s="1583"/>
      <c r="F611" s="1583"/>
      <c r="I611" s="488"/>
    </row>
    <row r="612" spans="1:9">
      <c r="D612" s="1583"/>
      <c r="E612" s="1583"/>
      <c r="F612" s="1583"/>
      <c r="I612" s="488"/>
    </row>
    <row r="613" spans="1:9">
      <c r="D613" s="383"/>
      <c r="E613" s="1028" t="s">
        <v>1878</v>
      </c>
      <c r="F613" s="383"/>
      <c r="I613" s="488"/>
    </row>
    <row r="614" spans="1:9">
      <c r="I614" s="488"/>
    </row>
    <row r="615" spans="1:9">
      <c r="A615" s="1567" t="s">
        <v>1053</v>
      </c>
      <c r="B615" s="1567"/>
      <c r="C615" s="1567"/>
      <c r="D615" s="1567"/>
      <c r="E615" s="1567"/>
      <c r="F615" s="1567"/>
      <c r="G615" s="1567"/>
      <c r="H615" s="1020"/>
      <c r="I615" s="1142"/>
    </row>
    <row r="616" spans="1:9">
      <c r="A616" s="444"/>
      <c r="B616" s="444"/>
      <c r="I616" s="488"/>
    </row>
    <row r="617" spans="1:9">
      <c r="A617" s="480"/>
      <c r="B617" s="480"/>
      <c r="C617" s="480"/>
      <c r="D617" s="1578" t="s">
        <v>1106</v>
      </c>
      <c r="E617" s="1578"/>
      <c r="F617" s="1578"/>
      <c r="I617" s="488"/>
    </row>
    <row r="618" spans="1:9">
      <c r="A618" s="480"/>
      <c r="B618" s="480"/>
      <c r="C618" s="480"/>
      <c r="D618" s="1578"/>
      <c r="E618" s="1578"/>
      <c r="F618" s="1578"/>
      <c r="I618" s="488"/>
    </row>
    <row r="619" spans="1:9">
      <c r="C619" s="481"/>
      <c r="D619" s="1548" t="s">
        <v>1107</v>
      </c>
      <c r="E619" s="1548"/>
      <c r="F619" s="1548"/>
      <c r="I619" s="488"/>
    </row>
    <row r="620" spans="1:9">
      <c r="C620" s="481"/>
      <c r="D620" s="442"/>
      <c r="E620" s="442"/>
      <c r="F620" s="442"/>
      <c r="I620" s="488"/>
    </row>
    <row r="621" spans="1:9">
      <c r="B621" s="483" t="s">
        <v>306</v>
      </c>
      <c r="C621" s="481"/>
      <c r="D621" s="1547" t="s">
        <v>2590</v>
      </c>
      <c r="E621" s="1547"/>
      <c r="F621" s="1547"/>
      <c r="I621" s="488"/>
    </row>
    <row r="622" spans="1:9">
      <c r="C622" s="481"/>
      <c r="D622" s="442"/>
      <c r="E622" s="442"/>
      <c r="F622" s="442"/>
      <c r="I622" s="488"/>
    </row>
    <row r="623" spans="1:9" ht="12.75" customHeight="1">
      <c r="A623" s="488"/>
      <c r="B623" s="483" t="s">
        <v>306</v>
      </c>
      <c r="D623" s="1565" t="s">
        <v>1108</v>
      </c>
      <c r="E623" s="1565"/>
      <c r="F623" s="1565"/>
      <c r="I623" s="488"/>
    </row>
    <row r="624" spans="1:9">
      <c r="D624" s="1565"/>
      <c r="E624" s="1565"/>
      <c r="F624" s="1565"/>
      <c r="I624" s="488"/>
    </row>
    <row r="625" spans="1:9">
      <c r="I625" s="488"/>
    </row>
    <row r="626" spans="1:9">
      <c r="B626" s="483" t="s">
        <v>306</v>
      </c>
      <c r="D626" s="1565" t="s">
        <v>1109</v>
      </c>
      <c r="E626" s="1565"/>
      <c r="F626" s="1565"/>
      <c r="I626" s="488"/>
    </row>
    <row r="627" spans="1:9">
      <c r="C627" s="498"/>
      <c r="D627" s="1565"/>
      <c r="E627" s="1565"/>
      <c r="F627" s="1565"/>
      <c r="I627" s="488"/>
    </row>
    <row r="628" spans="1:9">
      <c r="C628" s="498"/>
      <c r="I628" s="488"/>
    </row>
    <row r="629" spans="1:9">
      <c r="B629" s="483" t="s">
        <v>306</v>
      </c>
      <c r="C629" s="498"/>
      <c r="D629" s="1565" t="s">
        <v>1110</v>
      </c>
      <c r="E629" s="1565"/>
      <c r="F629" s="1565"/>
      <c r="I629" s="488"/>
    </row>
    <row r="630" spans="1:9">
      <c r="C630" s="498"/>
      <c r="D630" s="1565"/>
      <c r="E630" s="1565"/>
      <c r="F630" s="1565"/>
      <c r="I630" s="498"/>
    </row>
    <row r="631" spans="1:9">
      <c r="C631" s="498"/>
      <c r="I631" s="488"/>
    </row>
    <row r="632" spans="1:9">
      <c r="B632" s="483" t="s">
        <v>306</v>
      </c>
      <c r="C632" s="498"/>
      <c r="D632" s="1547" t="s">
        <v>2539</v>
      </c>
      <c r="E632" s="1547"/>
      <c r="F632" s="1547"/>
      <c r="I632" s="488"/>
    </row>
    <row r="633" spans="1:9">
      <c r="C633" s="498"/>
      <c r="I633" s="488"/>
    </row>
    <row r="634" spans="1:9">
      <c r="A634" s="1567" t="s">
        <v>1054</v>
      </c>
      <c r="B634" s="1567"/>
      <c r="C634" s="1567"/>
      <c r="D634" s="1567"/>
      <c r="E634" s="1567"/>
      <c r="F634" s="1567"/>
      <c r="G634" s="1567"/>
      <c r="H634" s="1020"/>
      <c r="I634" s="1142"/>
    </row>
    <row r="635" spans="1:9">
      <c r="A635" s="480"/>
      <c r="B635" s="480"/>
      <c r="C635" s="480"/>
      <c r="I635" s="488"/>
    </row>
    <row r="636" spans="1:9">
      <c r="C636" s="488"/>
      <c r="D636" s="1569" t="s">
        <v>1111</v>
      </c>
      <c r="E636" s="1569"/>
      <c r="F636" s="1569"/>
      <c r="I636" s="488"/>
    </row>
    <row r="637" spans="1:9">
      <c r="A637" s="488"/>
      <c r="B637" s="488"/>
      <c r="D637" s="402"/>
      <c r="I637" s="488"/>
    </row>
    <row r="638" spans="1:9" ht="14.25" customHeight="1">
      <c r="A638" s="482"/>
      <c r="B638" s="483" t="s">
        <v>306</v>
      </c>
      <c r="D638" s="1583" t="s">
        <v>2020</v>
      </c>
      <c r="E638" s="1583"/>
      <c r="F638" s="1583"/>
      <c r="I638" s="488"/>
    </row>
    <row r="639" spans="1:9">
      <c r="D639" s="1583"/>
      <c r="E639" s="1583"/>
      <c r="F639" s="1583"/>
      <c r="I639" s="488"/>
    </row>
    <row r="640" spans="1:9">
      <c r="D640" s="383"/>
      <c r="E640" s="1028" t="s">
        <v>1880</v>
      </c>
      <c r="F640" s="383"/>
      <c r="I640" s="488"/>
    </row>
    <row r="641" spans="1:9">
      <c r="D641" s="1566" t="s">
        <v>1879</v>
      </c>
      <c r="E641" s="1566"/>
      <c r="F641" s="1566"/>
      <c r="I641" s="488"/>
    </row>
    <row r="642" spans="1:9">
      <c r="D642" s="1566"/>
      <c r="E642" s="1566"/>
      <c r="F642" s="1566"/>
      <c r="I642" s="488"/>
    </row>
    <row r="643" spans="1:9">
      <c r="D643" s="1566"/>
      <c r="E643" s="1566"/>
      <c r="F643" s="1566"/>
      <c r="I643" s="488"/>
    </row>
    <row r="644" spans="1:9">
      <c r="D644" s="443"/>
      <c r="E644" s="443"/>
      <c r="F644" s="443"/>
      <c r="I644" s="488"/>
    </row>
    <row r="645" spans="1:9" ht="14.25">
      <c r="A645" s="482"/>
      <c r="B645" s="483" t="s">
        <v>306</v>
      </c>
      <c r="D645" s="1566" t="s">
        <v>1112</v>
      </c>
      <c r="E645" s="1566"/>
      <c r="F645" s="1566"/>
      <c r="I645" s="488"/>
    </row>
    <row r="646" spans="1:9">
      <c r="A646" s="485"/>
      <c r="B646" s="485"/>
      <c r="C646" s="485"/>
      <c r="D646" s="1566"/>
      <c r="E646" s="1566"/>
      <c r="F646" s="1566"/>
      <c r="I646" s="488"/>
    </row>
    <row r="647" spans="1:9">
      <c r="A647" s="485"/>
      <c r="B647" s="485"/>
      <c r="C647" s="485"/>
      <c r="D647" s="444"/>
      <c r="E647" s="444"/>
      <c r="F647" s="444"/>
      <c r="I647" s="488"/>
    </row>
    <row r="648" spans="1:9" ht="14.25">
      <c r="A648" s="482"/>
      <c r="B648" s="483" t="s">
        <v>306</v>
      </c>
      <c r="C648" s="485"/>
      <c r="D648" s="1566" t="s">
        <v>1222</v>
      </c>
      <c r="E648" s="1566"/>
      <c r="F648" s="1566"/>
      <c r="I648" s="488"/>
    </row>
    <row r="649" spans="1:9" ht="14.25">
      <c r="A649" s="482"/>
      <c r="B649" s="482"/>
      <c r="C649" s="485"/>
      <c r="D649" s="1566"/>
      <c r="E649" s="1566"/>
      <c r="F649" s="1566"/>
      <c r="I649" s="488"/>
    </row>
    <row r="650" spans="1:9" ht="14.25">
      <c r="A650" s="482"/>
      <c r="B650" s="482"/>
      <c r="C650" s="485"/>
      <c r="D650" s="1566"/>
      <c r="E650" s="1566"/>
      <c r="F650" s="1566"/>
      <c r="I650" s="488"/>
    </row>
    <row r="651" spans="1:9">
      <c r="A651" s="485"/>
      <c r="B651" s="483" t="s">
        <v>306</v>
      </c>
      <c r="C651" s="485"/>
      <c r="D651" s="1568" t="s">
        <v>1113</v>
      </c>
      <c r="E651" s="1568"/>
      <c r="F651" s="1568"/>
      <c r="I651" s="488"/>
    </row>
    <row r="652" spans="1:9">
      <c r="A652" s="485"/>
      <c r="B652" s="485"/>
      <c r="C652" s="485"/>
      <c r="D652" s="444"/>
      <c r="E652" s="444"/>
      <c r="F652" s="444"/>
      <c r="I652" s="488"/>
    </row>
    <row r="653" spans="1:9">
      <c r="A653" s="1567" t="s">
        <v>1055</v>
      </c>
      <c r="B653" s="1567"/>
      <c r="C653" s="1567"/>
      <c r="D653" s="1567"/>
      <c r="E653" s="1567"/>
      <c r="F653" s="1567"/>
      <c r="G653" s="1567"/>
      <c r="H653" s="1020"/>
      <c r="I653" s="1142"/>
    </row>
    <row r="654" spans="1:9">
      <c r="A654" s="444"/>
      <c r="B654" s="444"/>
      <c r="C654" s="485"/>
      <c r="D654" s="444"/>
      <c r="E654" s="444"/>
      <c r="F654" s="444"/>
      <c r="I654" s="488"/>
    </row>
    <row r="655" spans="1:9">
      <c r="C655" s="480"/>
      <c r="D655" s="1569" t="s">
        <v>1143</v>
      </c>
      <c r="E655" s="1569"/>
      <c r="F655" s="1569"/>
      <c r="I655" s="488"/>
    </row>
    <row r="656" spans="1:9">
      <c r="A656" s="481"/>
      <c r="B656" s="481"/>
      <c r="C656" s="481"/>
      <c r="D656" s="1568" t="s">
        <v>1144</v>
      </c>
      <c r="E656" s="1568"/>
      <c r="F656" s="1568"/>
      <c r="I656" s="488"/>
    </row>
    <row r="657" spans="1:9">
      <c r="A657" s="481"/>
      <c r="B657" s="481"/>
      <c r="C657" s="481"/>
      <c r="D657" s="444"/>
      <c r="E657" s="444"/>
      <c r="F657" s="444"/>
      <c r="I657" s="488"/>
    </row>
    <row r="658" spans="1:9" ht="12.75" customHeight="1">
      <c r="B658" s="483" t="s">
        <v>306</v>
      </c>
      <c r="C658" s="485"/>
      <c r="D658" s="1566" t="s">
        <v>1278</v>
      </c>
      <c r="E658" s="1566"/>
      <c r="F658" s="1566"/>
      <c r="I658" s="488"/>
    </row>
    <row r="659" spans="1:9">
      <c r="D659" s="1566"/>
      <c r="E659" s="1566"/>
      <c r="F659" s="1566"/>
      <c r="I659" s="488"/>
    </row>
    <row r="660" spans="1:9">
      <c r="D660" s="1566"/>
      <c r="E660" s="1566"/>
      <c r="F660" s="1566"/>
      <c r="I660" s="488"/>
    </row>
    <row r="661" spans="1:9">
      <c r="D661" s="1566"/>
      <c r="E661" s="1566"/>
      <c r="F661" s="1566"/>
      <c r="I661" s="488"/>
    </row>
    <row r="662" spans="1:9" ht="14.45" customHeight="1">
      <c r="A662" s="482"/>
      <c r="B662" s="482"/>
      <c r="C662" s="485"/>
      <c r="D662" s="383"/>
      <c r="E662" s="383"/>
      <c r="F662" s="383"/>
      <c r="I662" s="488"/>
    </row>
    <row r="663" spans="1:9" ht="12.75" customHeight="1">
      <c r="A663" s="481"/>
      <c r="B663" s="483" t="s">
        <v>306</v>
      </c>
      <c r="C663" s="485"/>
      <c r="D663" s="1566" t="s">
        <v>1280</v>
      </c>
      <c r="E663" s="1566"/>
      <c r="F663" s="1566"/>
      <c r="I663" s="488"/>
    </row>
    <row r="664" spans="1:9" ht="14.25">
      <c r="A664" s="481"/>
      <c r="B664" s="482"/>
      <c r="C664" s="485"/>
      <c r="D664" s="1566"/>
      <c r="E664" s="1566"/>
      <c r="F664" s="1566"/>
      <c r="I664" s="488"/>
    </row>
    <row r="665" spans="1:9" ht="14.25">
      <c r="A665" s="481"/>
      <c r="B665" s="482"/>
      <c r="C665" s="485"/>
      <c r="D665" s="1566"/>
      <c r="E665" s="1566"/>
      <c r="F665" s="1566"/>
      <c r="I665" s="488"/>
    </row>
    <row r="666" spans="1:9" ht="14.25">
      <c r="A666" s="481"/>
      <c r="B666" s="482"/>
      <c r="C666" s="485"/>
      <c r="D666" s="1566"/>
      <c r="E666" s="1566"/>
      <c r="F666" s="1566"/>
      <c r="I666" s="488"/>
    </row>
    <row r="667" spans="1:9" ht="14.25">
      <c r="A667" s="481"/>
      <c r="B667" s="482"/>
      <c r="C667" s="485"/>
      <c r="D667" s="1566"/>
      <c r="E667" s="1566"/>
      <c r="F667" s="1566"/>
      <c r="I667" s="488"/>
    </row>
    <row r="668" spans="1:9" ht="14.25" customHeight="1">
      <c r="A668" s="481"/>
      <c r="B668" s="482"/>
      <c r="C668" s="485"/>
      <c r="F668" s="384"/>
      <c r="I668" s="488"/>
    </row>
    <row r="669" spans="1:9" ht="12.75" customHeight="1">
      <c r="A669" s="481"/>
      <c r="B669" s="483" t="s">
        <v>306</v>
      </c>
      <c r="C669" s="485"/>
      <c r="D669" s="1566" t="s">
        <v>1279</v>
      </c>
      <c r="E669" s="1566"/>
      <c r="F669" s="1566"/>
      <c r="I669" s="488"/>
    </row>
    <row r="670" spans="1:9" ht="14.25">
      <c r="A670" s="481"/>
      <c r="B670" s="482"/>
      <c r="C670" s="485"/>
      <c r="D670" s="1566"/>
      <c r="E670" s="1566"/>
      <c r="F670" s="1566"/>
      <c r="I670" s="488"/>
    </row>
    <row r="671" spans="1:9" ht="14.25">
      <c r="A671" s="482"/>
      <c r="B671" s="482"/>
      <c r="C671" s="485"/>
      <c r="D671" s="1566"/>
      <c r="E671" s="1566"/>
      <c r="F671" s="1566"/>
      <c r="I671" s="488"/>
    </row>
    <row r="672" spans="1:9" ht="14.25">
      <c r="A672" s="482"/>
      <c r="B672" s="482"/>
      <c r="C672" s="485"/>
      <c r="D672" s="1566"/>
      <c r="E672" s="1566"/>
      <c r="F672" s="1566"/>
      <c r="I672" s="488"/>
    </row>
    <row r="673" spans="1:11" ht="14.25">
      <c r="A673" s="482"/>
      <c r="B673" s="482"/>
      <c r="C673" s="485"/>
      <c r="D673" s="443"/>
      <c r="E673" s="443"/>
      <c r="F673" s="443"/>
      <c r="I673" s="488"/>
    </row>
    <row r="674" spans="1:11" ht="12.75" customHeight="1">
      <c r="A674" s="481"/>
      <c r="B674" s="483" t="s">
        <v>306</v>
      </c>
      <c r="C674" s="485"/>
      <c r="D674" s="1566" t="s">
        <v>2021</v>
      </c>
      <c r="E674" s="1566"/>
      <c r="F674" s="1566"/>
      <c r="I674" s="488"/>
    </row>
    <row r="675" spans="1:11" ht="12.75" customHeight="1">
      <c r="A675" s="481"/>
      <c r="B675" s="482"/>
      <c r="C675" s="485"/>
      <c r="D675" s="1566"/>
      <c r="E675" s="1566"/>
      <c r="F675" s="1566"/>
      <c r="I675" s="488"/>
    </row>
    <row r="676" spans="1:11" ht="12.75" customHeight="1">
      <c r="A676" s="481"/>
      <c r="B676" s="482"/>
      <c r="C676" s="485"/>
      <c r="D676" s="1566"/>
      <c r="E676" s="1566"/>
      <c r="F676" s="1566"/>
      <c r="I676" s="488"/>
    </row>
    <row r="677" spans="1:11" ht="12.75" customHeight="1">
      <c r="A677" s="481"/>
      <c r="B677" s="482"/>
      <c r="C677" s="485"/>
      <c r="D677" s="1566"/>
      <c r="E677" s="1566"/>
      <c r="F677" s="1566"/>
      <c r="I677" s="488"/>
    </row>
    <row r="678" spans="1:11" ht="12.75" customHeight="1">
      <c r="A678" s="481"/>
      <c r="B678" s="482"/>
      <c r="C678" s="485"/>
      <c r="D678" s="1566"/>
      <c r="E678" s="1566"/>
      <c r="F678" s="1566"/>
      <c r="I678" s="488"/>
    </row>
    <row r="679" spans="1:11" ht="12.75" customHeight="1">
      <c r="A679" s="481"/>
      <c r="B679" s="482"/>
      <c r="C679" s="485"/>
      <c r="D679" s="1566"/>
      <c r="E679" s="1566"/>
      <c r="F679" s="1566"/>
      <c r="I679" s="488"/>
    </row>
    <row r="680" spans="1:11" ht="12.75" customHeight="1">
      <c r="A680" s="481"/>
      <c r="B680" s="482"/>
      <c r="C680" s="485"/>
      <c r="D680" s="1566"/>
      <c r="E680" s="1566"/>
      <c r="F680" s="1566"/>
      <c r="I680" s="488"/>
    </row>
    <row r="681" spans="1:11" ht="12.75" customHeight="1">
      <c r="A681" s="481"/>
      <c r="B681" s="482"/>
      <c r="C681" s="485"/>
      <c r="D681" s="1566"/>
      <c r="E681" s="1566"/>
      <c r="F681" s="1566"/>
      <c r="I681" s="488"/>
    </row>
    <row r="682" spans="1:11" ht="12.75" customHeight="1">
      <c r="A682" s="481"/>
      <c r="B682" s="482"/>
      <c r="C682" s="485"/>
      <c r="D682" s="1566"/>
      <c r="E682" s="1566"/>
      <c r="F682" s="1566"/>
      <c r="I682" s="488"/>
    </row>
    <row r="683" spans="1:11">
      <c r="A683" s="485"/>
      <c r="B683" s="485"/>
      <c r="C683" s="485"/>
      <c r="D683" s="444"/>
      <c r="E683" s="444"/>
      <c r="F683" s="444"/>
      <c r="I683" s="488"/>
    </row>
    <row r="684" spans="1:11">
      <c r="A684" s="1567" t="s">
        <v>1056</v>
      </c>
      <c r="B684" s="1567"/>
      <c r="C684" s="1567"/>
      <c r="D684" s="1567"/>
      <c r="E684" s="1567"/>
      <c r="F684" s="1567"/>
      <c r="G684" s="1567"/>
      <c r="H684" s="1022"/>
      <c r="I684" s="1146"/>
      <c r="J684" s="499"/>
      <c r="K684" s="499"/>
    </row>
    <row r="685" spans="1:11">
      <c r="A685" s="446"/>
      <c r="B685" s="446"/>
      <c r="C685" s="446"/>
      <c r="D685" s="446"/>
      <c r="E685" s="446"/>
      <c r="F685" s="446"/>
      <c r="G685" s="446"/>
      <c r="H685" s="499"/>
      <c r="I685" s="481"/>
      <c r="J685" s="499"/>
      <c r="K685" s="499"/>
    </row>
    <row r="686" spans="1:11">
      <c r="C686" s="480"/>
      <c r="D686" s="1569" t="s">
        <v>99</v>
      </c>
      <c r="E686" s="1569"/>
      <c r="F686" s="1569"/>
      <c r="H686" s="499"/>
      <c r="I686" s="481"/>
      <c r="J686" s="499"/>
      <c r="K686" s="499"/>
    </row>
    <row r="687" spans="1:11">
      <c r="A687" s="480"/>
      <c r="B687" s="480"/>
      <c r="C687" s="480"/>
      <c r="D687" s="1569" t="s">
        <v>123</v>
      </c>
      <c r="E687" s="1569"/>
      <c r="F687" s="1569"/>
      <c r="H687" s="499"/>
      <c r="I687" s="481"/>
      <c r="J687" s="499"/>
      <c r="K687" s="499"/>
    </row>
    <row r="688" spans="1:11">
      <c r="A688" s="481"/>
      <c r="B688" s="481"/>
      <c r="C688" s="481"/>
      <c r="D688" s="1568" t="s">
        <v>1073</v>
      </c>
      <c r="E688" s="1568"/>
      <c r="F688" s="1568"/>
      <c r="H688" s="499"/>
      <c r="I688" s="481"/>
      <c r="J688" s="499"/>
      <c r="K688" s="499"/>
    </row>
    <row r="689" spans="1:11">
      <c r="A689" s="481"/>
      <c r="B689" s="481"/>
      <c r="C689" s="481"/>
      <c r="H689" s="499"/>
      <c r="I689" s="481"/>
      <c r="J689" s="499"/>
      <c r="K689" s="499"/>
    </row>
    <row r="690" spans="1:11" ht="14.25">
      <c r="A690" s="482"/>
      <c r="B690" s="483" t="s">
        <v>306</v>
      </c>
      <c r="C690" s="481"/>
      <c r="D690" s="1568" t="s">
        <v>882</v>
      </c>
      <c r="E690" s="1568"/>
      <c r="F690" s="1568"/>
      <c r="H690" s="499"/>
      <c r="I690" s="481"/>
      <c r="J690" s="499"/>
      <c r="K690" s="499"/>
    </row>
    <row r="691" spans="1:11">
      <c r="A691" s="481"/>
      <c r="B691" s="481"/>
      <c r="C691" s="481"/>
      <c r="D691" s="1568" t="s">
        <v>891</v>
      </c>
      <c r="E691" s="1568"/>
      <c r="F691" s="1568"/>
      <c r="H691" s="499"/>
      <c r="I691" s="481"/>
      <c r="J691" s="499"/>
      <c r="K691" s="499"/>
    </row>
    <row r="692" spans="1:11" ht="12.75" customHeight="1">
      <c r="A692" s="481"/>
      <c r="B692" s="481"/>
      <c r="C692" s="481"/>
      <c r="E692" s="1028" t="s">
        <v>1882</v>
      </c>
      <c r="F692" s="418"/>
      <c r="H692" s="499"/>
      <c r="I692" s="481"/>
      <c r="J692" s="499"/>
      <c r="K692" s="499"/>
    </row>
    <row r="693" spans="1:11">
      <c r="A693" s="481"/>
      <c r="B693" s="481"/>
      <c r="C693" s="481"/>
      <c r="E693" s="499" t="s">
        <v>1881</v>
      </c>
      <c r="F693" s="418"/>
      <c r="I693" s="481"/>
      <c r="J693" s="499"/>
      <c r="K693" s="499"/>
    </row>
    <row r="694" spans="1:11">
      <c r="A694" s="481"/>
      <c r="B694" s="481"/>
      <c r="C694" s="481"/>
      <c r="D694" s="500"/>
      <c r="E694" s="444"/>
      <c r="H694" s="499"/>
      <c r="I694" s="481"/>
      <c r="J694" s="499"/>
      <c r="K694" s="499"/>
    </row>
    <row r="695" spans="1:11" ht="14.25">
      <c r="A695" s="482"/>
      <c r="B695" s="483" t="s">
        <v>306</v>
      </c>
      <c r="C695" s="481"/>
      <c r="D695" s="1566" t="s">
        <v>2022</v>
      </c>
      <c r="E695" s="1566"/>
      <c r="F695" s="1566"/>
      <c r="H695" s="499"/>
      <c r="I695" s="481"/>
      <c r="J695" s="499"/>
      <c r="K695" s="499"/>
    </row>
    <row r="696" spans="1:11">
      <c r="A696" s="488"/>
      <c r="B696" s="488"/>
      <c r="C696" s="481"/>
      <c r="D696" s="1566"/>
      <c r="E696" s="1566"/>
      <c r="F696" s="1566"/>
      <c r="H696" s="499"/>
      <c r="I696" s="481"/>
      <c r="J696" s="499"/>
      <c r="K696" s="499"/>
    </row>
    <row r="697" spans="1:11">
      <c r="A697" s="481"/>
      <c r="B697" s="481"/>
      <c r="C697" s="481"/>
      <c r="D697" s="1566"/>
      <c r="E697" s="1566"/>
      <c r="F697" s="1566"/>
      <c r="H697" s="499"/>
      <c r="I697" s="481"/>
      <c r="J697" s="499"/>
      <c r="K697" s="499"/>
    </row>
    <row r="698" spans="1:11">
      <c r="A698" s="481"/>
      <c r="B698" s="481"/>
      <c r="C698" s="481"/>
      <c r="H698" s="499"/>
      <c r="J698" s="499"/>
      <c r="K698" s="499"/>
    </row>
    <row r="699" spans="1:11" ht="14.25">
      <c r="A699" s="482"/>
      <c r="B699" s="483" t="s">
        <v>306</v>
      </c>
      <c r="C699" s="481"/>
      <c r="D699" s="1568" t="s">
        <v>914</v>
      </c>
      <c r="E699" s="1568"/>
      <c r="F699" s="1568"/>
      <c r="H699" s="499"/>
      <c r="I699" s="481"/>
      <c r="J699" s="499"/>
      <c r="K699" s="499"/>
    </row>
    <row r="700" spans="1:11" ht="14.25">
      <c r="A700" s="482"/>
      <c r="B700" s="482"/>
      <c r="C700" s="481"/>
      <c r="D700" s="1568" t="s">
        <v>891</v>
      </c>
      <c r="E700" s="1568"/>
      <c r="F700" s="1568"/>
      <c r="H700" s="499"/>
      <c r="I700" s="481"/>
      <c r="J700" s="499"/>
      <c r="K700" s="499"/>
    </row>
    <row r="701" spans="1:11">
      <c r="A701" s="481"/>
      <c r="B701" s="481"/>
      <c r="C701" s="481"/>
      <c r="E701" s="1028" t="s">
        <v>1883</v>
      </c>
      <c r="F701" s="402"/>
      <c r="H701" s="499"/>
      <c r="I701" s="481"/>
      <c r="J701" s="499"/>
      <c r="K701" s="499"/>
    </row>
    <row r="702" spans="1:11">
      <c r="A702" s="481"/>
      <c r="B702" s="481"/>
      <c r="C702" s="481"/>
      <c r="D702" s="402"/>
      <c r="H702" s="499"/>
      <c r="I702" s="481"/>
      <c r="J702" s="499"/>
      <c r="K702" s="499"/>
    </row>
    <row r="703" spans="1:11" ht="14.25">
      <c r="A703" s="482"/>
      <c r="B703" s="483" t="s">
        <v>306</v>
      </c>
      <c r="C703" s="481"/>
      <c r="D703" s="1568" t="s">
        <v>2390</v>
      </c>
      <c r="E703" s="1568"/>
      <c r="F703" s="1568"/>
      <c r="H703" s="499"/>
      <c r="I703" s="481"/>
      <c r="J703" s="499"/>
      <c r="K703" s="499"/>
    </row>
    <row r="704" spans="1:11" ht="14.25">
      <c r="A704" s="482"/>
      <c r="B704" s="482"/>
      <c r="C704" s="481"/>
      <c r="D704" s="1568" t="s">
        <v>891</v>
      </c>
      <c r="E704" s="1568"/>
      <c r="F704" s="1568"/>
      <c r="H704" s="499"/>
      <c r="I704" s="481"/>
      <c r="J704" s="499"/>
      <c r="K704" s="499"/>
    </row>
    <row r="705" spans="1:11">
      <c r="A705" s="481"/>
      <c r="B705" s="481"/>
      <c r="C705" s="481"/>
      <c r="E705" s="1028" t="s">
        <v>2391</v>
      </c>
      <c r="F705" s="402"/>
      <c r="H705" s="499"/>
      <c r="I705" s="481"/>
      <c r="J705" s="499"/>
      <c r="K705" s="499"/>
    </row>
    <row r="706" spans="1:11">
      <c r="A706" s="481"/>
      <c r="B706" s="481"/>
      <c r="C706" s="481"/>
      <c r="D706" s="402"/>
      <c r="H706" s="499"/>
      <c r="I706" s="481"/>
      <c r="J706" s="499"/>
      <c r="K706" s="499"/>
    </row>
    <row r="707" spans="1:11" ht="14.25">
      <c r="A707" s="482"/>
      <c r="B707" s="483" t="s">
        <v>306</v>
      </c>
      <c r="C707" s="481"/>
      <c r="D707" s="1566" t="s">
        <v>2193</v>
      </c>
      <c r="E707" s="1566"/>
      <c r="F707" s="1566"/>
      <c r="H707" s="499"/>
      <c r="I707" s="481"/>
      <c r="J707" s="499"/>
      <c r="K707" s="499"/>
    </row>
    <row r="708" spans="1:11">
      <c r="A708" s="481"/>
      <c r="B708" s="481"/>
      <c r="C708" s="481"/>
      <c r="D708" s="1566"/>
      <c r="E708" s="1566"/>
      <c r="F708" s="1566"/>
      <c r="H708" s="499"/>
      <c r="I708" s="481"/>
      <c r="J708" s="499"/>
      <c r="K708" s="499"/>
    </row>
    <row r="709" spans="1:11">
      <c r="A709" s="481"/>
      <c r="B709" s="481"/>
      <c r="C709" s="481"/>
      <c r="D709" s="1566"/>
      <c r="E709" s="1566"/>
      <c r="F709" s="1566"/>
      <c r="H709" s="499"/>
      <c r="I709" s="481"/>
      <c r="J709" s="499"/>
      <c r="K709" s="499"/>
    </row>
    <row r="710" spans="1:11">
      <c r="A710" s="481"/>
      <c r="B710" s="481"/>
      <c r="C710" s="481"/>
      <c r="D710" s="1566"/>
      <c r="E710" s="1566"/>
      <c r="F710" s="1566"/>
      <c r="H710" s="499"/>
      <c r="I710" s="481"/>
      <c r="J710" s="499"/>
      <c r="K710" s="499"/>
    </row>
    <row r="711" spans="1:11">
      <c r="A711" s="481"/>
      <c r="B711" s="481"/>
      <c r="C711" s="481"/>
      <c r="D711" s="1566"/>
      <c r="E711" s="1566"/>
      <c r="F711" s="1566"/>
      <c r="H711" s="499"/>
      <c r="I711" s="481"/>
      <c r="J711" s="499"/>
      <c r="K711" s="499"/>
    </row>
    <row r="712" spans="1:11">
      <c r="A712" s="481"/>
      <c r="B712" s="481"/>
      <c r="C712" s="481"/>
      <c r="D712" s="1566"/>
      <c r="E712" s="1566"/>
      <c r="F712" s="1566"/>
      <c r="H712" s="499"/>
      <c r="I712" s="481"/>
      <c r="J712" s="499"/>
      <c r="K712" s="499"/>
    </row>
    <row r="713" spans="1:11">
      <c r="A713" s="481"/>
      <c r="B713" s="481"/>
      <c r="C713" s="481"/>
      <c r="D713" s="443"/>
      <c r="E713" s="443"/>
      <c r="F713" s="443"/>
      <c r="H713" s="499"/>
      <c r="I713" s="481"/>
      <c r="J713" s="499"/>
      <c r="K713" s="499"/>
    </row>
    <row r="714" spans="1:11">
      <c r="A714" s="481"/>
      <c r="B714" s="483" t="s">
        <v>306</v>
      </c>
      <c r="C714" s="481"/>
      <c r="D714" s="1566" t="s">
        <v>1198</v>
      </c>
      <c r="E714" s="1566"/>
      <c r="F714" s="1566"/>
      <c r="H714" s="499"/>
      <c r="I714" s="481"/>
      <c r="J714" s="499"/>
      <c r="K714" s="499"/>
    </row>
    <row r="715" spans="1:11">
      <c r="A715" s="481"/>
      <c r="B715" s="481"/>
      <c r="C715" s="481"/>
      <c r="D715" s="1566"/>
      <c r="E715" s="1566"/>
      <c r="F715" s="1566"/>
      <c r="H715" s="499"/>
      <c r="I715" s="481"/>
      <c r="J715" s="499"/>
      <c r="K715" s="499"/>
    </row>
    <row r="716" spans="1:11">
      <c r="A716" s="481"/>
      <c r="B716" s="481"/>
      <c r="C716" s="481"/>
      <c r="D716" s="443"/>
      <c r="E716" s="443"/>
      <c r="F716" s="443"/>
      <c r="H716" s="499"/>
      <c r="I716" s="481"/>
      <c r="J716" s="499"/>
      <c r="K716" s="499"/>
    </row>
    <row r="717" spans="1:11" ht="14.25">
      <c r="A717" s="482"/>
      <c r="B717" s="483" t="s">
        <v>306</v>
      </c>
      <c r="C717" s="481"/>
      <c r="D717" s="1566" t="s">
        <v>1074</v>
      </c>
      <c r="E717" s="1566"/>
      <c r="F717" s="1566"/>
      <c r="H717" s="499"/>
      <c r="I717" s="481"/>
      <c r="J717" s="499"/>
      <c r="K717" s="499"/>
    </row>
    <row r="718" spans="1:11">
      <c r="A718" s="481"/>
      <c r="B718" s="481"/>
      <c r="C718" s="481"/>
      <c r="D718" s="1566"/>
      <c r="E718" s="1566"/>
      <c r="F718" s="1566"/>
      <c r="H718" s="499"/>
      <c r="I718" s="481"/>
      <c r="J718" s="499"/>
      <c r="K718" s="499"/>
    </row>
    <row r="719" spans="1:11">
      <c r="A719" s="481"/>
      <c r="B719" s="481"/>
      <c r="C719" s="481"/>
      <c r="D719" s="1566"/>
      <c r="E719" s="1566"/>
      <c r="F719" s="1566"/>
      <c r="H719" s="499"/>
      <c r="I719" s="481"/>
      <c r="J719" s="499"/>
      <c r="K719" s="499"/>
    </row>
    <row r="720" spans="1:11" ht="15" customHeight="1">
      <c r="A720" s="481"/>
      <c r="B720" s="481"/>
      <c r="C720" s="481"/>
      <c r="D720" s="1566"/>
      <c r="E720" s="1566"/>
      <c r="F720" s="1566"/>
      <c r="H720" s="499"/>
      <c r="I720" s="481"/>
      <c r="J720" s="499"/>
      <c r="K720" s="499"/>
    </row>
    <row r="721" spans="1:11" ht="15" customHeight="1">
      <c r="A721" s="481"/>
      <c r="B721" s="481"/>
      <c r="C721" s="481"/>
      <c r="D721" s="1566"/>
      <c r="E721" s="1566"/>
      <c r="F721" s="1566"/>
      <c r="H721" s="499"/>
      <c r="I721" s="481"/>
      <c r="J721" s="499"/>
      <c r="K721" s="499"/>
    </row>
    <row r="722" spans="1:11">
      <c r="A722" s="481"/>
      <c r="B722" s="481"/>
      <c r="C722" s="481"/>
      <c r="D722" s="1566"/>
      <c r="E722" s="1566"/>
      <c r="F722" s="1566"/>
      <c r="H722" s="499"/>
      <c r="I722" s="481"/>
      <c r="J722" s="499"/>
      <c r="K722" s="499"/>
    </row>
    <row r="723" spans="1:11">
      <c r="A723" s="481"/>
      <c r="B723" s="481"/>
      <c r="C723" s="481"/>
      <c r="D723" s="1566"/>
      <c r="E723" s="1566"/>
      <c r="F723" s="1566"/>
      <c r="H723" s="499"/>
      <c r="I723" s="481"/>
      <c r="J723" s="499"/>
      <c r="K723" s="499"/>
    </row>
    <row r="724" spans="1:11">
      <c r="A724" s="481"/>
      <c r="B724" s="481"/>
      <c r="C724" s="481"/>
      <c r="D724" s="1566"/>
      <c r="E724" s="1566"/>
      <c r="F724" s="1566"/>
      <c r="H724" s="499"/>
      <c r="I724" s="481"/>
      <c r="J724" s="499"/>
      <c r="K724" s="499"/>
    </row>
    <row r="725" spans="1:11" ht="15" customHeight="1">
      <c r="A725" s="481"/>
      <c r="B725" s="481"/>
      <c r="C725" s="481"/>
      <c r="D725" s="1566"/>
      <c r="E725" s="1566"/>
      <c r="F725" s="1566"/>
      <c r="H725" s="499"/>
      <c r="I725" s="481"/>
      <c r="J725" s="499"/>
      <c r="K725" s="499"/>
    </row>
    <row r="726" spans="1:11">
      <c r="A726" s="481"/>
      <c r="B726" s="481"/>
      <c r="C726" s="481"/>
      <c r="D726" s="1566"/>
      <c r="E726" s="1566"/>
      <c r="F726" s="1566"/>
      <c r="H726" s="499"/>
      <c r="I726" s="481"/>
      <c r="J726" s="499"/>
      <c r="K726" s="499"/>
    </row>
    <row r="727" spans="1:11">
      <c r="A727" s="481"/>
      <c r="B727" s="481"/>
      <c r="C727" s="481"/>
      <c r="D727" s="1566"/>
      <c r="E727" s="1566"/>
      <c r="F727" s="1566"/>
      <c r="H727" s="499"/>
      <c r="I727" s="481"/>
      <c r="J727" s="499"/>
      <c r="K727" s="499"/>
    </row>
    <row r="728" spans="1:11">
      <c r="A728" s="481"/>
      <c r="B728" s="481"/>
      <c r="C728" s="481"/>
      <c r="D728" s="1566"/>
      <c r="E728" s="1566"/>
      <c r="F728" s="1566"/>
      <c r="H728" s="499"/>
      <c r="I728" s="481"/>
      <c r="J728" s="499"/>
      <c r="K728" s="499"/>
    </row>
    <row r="729" spans="1:11">
      <c r="A729" s="481"/>
      <c r="B729" s="481"/>
      <c r="C729" s="481"/>
      <c r="D729" s="1566"/>
      <c r="E729" s="1566"/>
      <c r="F729" s="1566"/>
      <c r="H729" s="499"/>
      <c r="I729" s="481"/>
      <c r="J729" s="499"/>
      <c r="K729" s="499"/>
    </row>
    <row r="730" spans="1:11">
      <c r="A730" s="481"/>
      <c r="B730" s="483" t="s">
        <v>306</v>
      </c>
      <c r="C730" s="481"/>
      <c r="D730" s="1566" t="s">
        <v>2383</v>
      </c>
      <c r="E730" s="1566"/>
      <c r="F730" s="1566"/>
      <c r="H730" s="499"/>
      <c r="I730" s="481"/>
      <c r="J730" s="499"/>
      <c r="K730" s="499"/>
    </row>
    <row r="731" spans="1:11">
      <c r="A731" s="481"/>
      <c r="B731" s="481"/>
      <c r="C731" s="481"/>
      <c r="D731" s="1566"/>
      <c r="E731" s="1566"/>
      <c r="F731" s="1566"/>
      <c r="H731" s="499"/>
      <c r="I731" s="481"/>
      <c r="J731" s="499"/>
      <c r="K731" s="499"/>
    </row>
    <row r="732" spans="1:11">
      <c r="A732" s="481"/>
      <c r="B732" s="481"/>
      <c r="C732" s="481"/>
      <c r="D732" s="1566"/>
      <c r="E732" s="1566"/>
      <c r="F732" s="1566"/>
      <c r="H732" s="499"/>
      <c r="I732" s="481"/>
      <c r="J732" s="499"/>
      <c r="K732" s="499"/>
    </row>
    <row r="733" spans="1:11">
      <c r="A733" s="481"/>
      <c r="B733" s="481"/>
      <c r="C733" s="481"/>
      <c r="D733" s="443"/>
      <c r="E733" s="443"/>
      <c r="F733" s="443"/>
      <c r="H733" s="499"/>
      <c r="I733" s="481"/>
      <c r="J733" s="499"/>
      <c r="K733" s="499"/>
    </row>
    <row r="734" spans="1:11">
      <c r="A734" s="481"/>
      <c r="B734" s="483" t="s">
        <v>306</v>
      </c>
      <c r="C734" s="481"/>
      <c r="D734" s="1566" t="s">
        <v>2382</v>
      </c>
      <c r="E734" s="1566"/>
      <c r="F734" s="1566"/>
      <c r="H734" s="499"/>
      <c r="I734" s="481"/>
      <c r="J734" s="499"/>
      <c r="K734" s="499"/>
    </row>
    <row r="735" spans="1:11">
      <c r="A735" s="481"/>
      <c r="B735" s="481"/>
      <c r="C735" s="481"/>
      <c r="D735" s="1566"/>
      <c r="E735" s="1566"/>
      <c r="F735" s="1566"/>
      <c r="H735" s="499"/>
      <c r="I735" s="481"/>
      <c r="J735" s="499"/>
      <c r="K735" s="499"/>
    </row>
    <row r="736" spans="1:11">
      <c r="A736" s="481"/>
      <c r="B736" s="481"/>
      <c r="C736" s="481"/>
      <c r="D736" s="1566"/>
      <c r="E736" s="1566"/>
      <c r="F736" s="1566"/>
      <c r="H736" s="499"/>
      <c r="I736" s="481"/>
      <c r="J736" s="499"/>
      <c r="K736" s="499"/>
    </row>
    <row r="737" spans="1:11">
      <c r="A737" s="481"/>
      <c r="B737" s="481"/>
      <c r="C737" s="481"/>
      <c r="H737" s="499"/>
      <c r="I737" s="481"/>
      <c r="J737" s="499"/>
      <c r="K737" s="499"/>
    </row>
    <row r="738" spans="1:11">
      <c r="A738" s="481"/>
      <c r="B738" s="483" t="s">
        <v>306</v>
      </c>
      <c r="C738" s="481"/>
      <c r="D738" s="1566" t="s">
        <v>2381</v>
      </c>
      <c r="E738" s="1566"/>
      <c r="F738" s="1566"/>
      <c r="H738" s="499"/>
      <c r="I738" s="481"/>
      <c r="J738" s="499"/>
      <c r="K738" s="499"/>
    </row>
    <row r="739" spans="1:11">
      <c r="A739" s="481"/>
      <c r="B739" s="481"/>
      <c r="C739" s="481"/>
      <c r="D739" s="1566"/>
      <c r="E739" s="1566"/>
      <c r="F739" s="1566"/>
      <c r="H739" s="499"/>
      <c r="I739" s="481"/>
      <c r="J739" s="499"/>
      <c r="K739" s="499"/>
    </row>
    <row r="740" spans="1:11">
      <c r="A740" s="481"/>
      <c r="B740" s="481"/>
      <c r="C740" s="481"/>
      <c r="D740" s="1566"/>
      <c r="E740" s="1566"/>
      <c r="F740" s="1566"/>
      <c r="H740" s="499"/>
      <c r="I740" s="481"/>
      <c r="J740" s="499"/>
      <c r="K740" s="499"/>
    </row>
    <row r="741" spans="1:11">
      <c r="A741" s="481"/>
      <c r="B741" s="481"/>
      <c r="C741" s="481"/>
      <c r="D741" s="1566"/>
      <c r="E741" s="1566"/>
      <c r="F741" s="1566"/>
      <c r="H741" s="499"/>
      <c r="I741" s="481"/>
      <c r="J741" s="499"/>
      <c r="K741" s="499"/>
    </row>
    <row r="742" spans="1:11">
      <c r="A742" s="481"/>
      <c r="B742" s="481"/>
      <c r="C742" s="481"/>
      <c r="H742" s="499"/>
      <c r="I742" s="481"/>
      <c r="J742" s="499"/>
      <c r="K742" s="499"/>
    </row>
    <row r="743" spans="1:11" ht="14.25">
      <c r="A743" s="482"/>
      <c r="B743" s="483" t="s">
        <v>306</v>
      </c>
      <c r="C743" s="481"/>
      <c r="D743" s="1566" t="s">
        <v>1075</v>
      </c>
      <c r="E743" s="1566"/>
      <c r="F743" s="1566"/>
      <c r="H743" s="499"/>
      <c r="I743" s="481"/>
      <c r="J743" s="499"/>
      <c r="K743" s="499"/>
    </row>
    <row r="744" spans="1:11">
      <c r="A744" s="481"/>
      <c r="B744" s="481"/>
      <c r="C744" s="481"/>
      <c r="D744" s="1566"/>
      <c r="E744" s="1566"/>
      <c r="F744" s="1566"/>
      <c r="H744" s="499"/>
      <c r="I744" s="481"/>
      <c r="J744" s="499"/>
      <c r="K744" s="499"/>
    </row>
    <row r="745" spans="1:11">
      <c r="A745" s="481"/>
      <c r="B745" s="481"/>
      <c r="C745" s="481"/>
      <c r="D745" s="1566"/>
      <c r="E745" s="1566"/>
      <c r="F745" s="1566"/>
      <c r="H745" s="499"/>
      <c r="I745" s="481"/>
      <c r="J745" s="499"/>
      <c r="K745" s="499"/>
    </row>
    <row r="746" spans="1:11">
      <c r="A746" s="481"/>
      <c r="B746" s="481"/>
      <c r="C746" s="481"/>
      <c r="D746" s="1566"/>
      <c r="E746" s="1566"/>
      <c r="F746" s="1566"/>
      <c r="H746" s="499"/>
      <c r="I746" s="481"/>
      <c r="J746" s="499"/>
      <c r="K746" s="499"/>
    </row>
    <row r="747" spans="1:11">
      <c r="A747" s="481"/>
      <c r="B747" s="481"/>
      <c r="C747" s="481"/>
      <c r="D747" s="1566"/>
      <c r="E747" s="1566"/>
      <c r="F747" s="1566"/>
      <c r="H747" s="499"/>
      <c r="I747" s="481"/>
      <c r="J747" s="499"/>
      <c r="K747" s="499"/>
    </row>
    <row r="748" spans="1:11">
      <c r="A748" s="481"/>
      <c r="B748" s="481"/>
      <c r="C748" s="481"/>
      <c r="D748" s="490"/>
      <c r="H748" s="499"/>
      <c r="I748" s="481"/>
      <c r="J748" s="499"/>
      <c r="K748" s="499"/>
    </row>
    <row r="749" spans="1:11" ht="14.25">
      <c r="A749" s="482"/>
      <c r="B749" s="483" t="s">
        <v>306</v>
      </c>
      <c r="C749" s="481"/>
      <c r="D749" s="1566" t="s">
        <v>2096</v>
      </c>
      <c r="E749" s="1566"/>
      <c r="F749" s="1566"/>
      <c r="H749" s="499"/>
      <c r="I749" s="481"/>
      <c r="J749" s="499"/>
      <c r="K749" s="499"/>
    </row>
    <row r="750" spans="1:11">
      <c r="A750" s="481"/>
      <c r="B750" s="481"/>
      <c r="C750" s="481"/>
      <c r="D750" s="1566"/>
      <c r="E750" s="1566"/>
      <c r="F750" s="1566"/>
      <c r="H750" s="499"/>
      <c r="I750" s="481"/>
      <c r="J750" s="499"/>
      <c r="K750" s="499"/>
    </row>
    <row r="751" spans="1:11">
      <c r="A751" s="481"/>
      <c r="B751" s="481"/>
      <c r="C751" s="481"/>
      <c r="D751" s="1566"/>
      <c r="E751" s="1566"/>
      <c r="F751" s="1566"/>
      <c r="H751" s="499"/>
      <c r="I751" s="481"/>
      <c r="J751" s="499"/>
      <c r="K751" s="499"/>
    </row>
    <row r="752" spans="1:11">
      <c r="A752" s="481"/>
      <c r="B752" s="481"/>
      <c r="C752" s="481"/>
      <c r="D752" s="1566"/>
      <c r="E752" s="1566"/>
      <c r="F752" s="1566"/>
      <c r="H752" s="499"/>
      <c r="I752" s="481"/>
      <c r="J752" s="499"/>
      <c r="K752" s="499"/>
    </row>
    <row r="753" spans="1:11">
      <c r="A753" s="481"/>
      <c r="B753" s="481"/>
      <c r="C753" s="481"/>
      <c r="D753" s="1566"/>
      <c r="E753" s="1566"/>
      <c r="F753" s="1566"/>
      <c r="H753" s="499"/>
      <c r="I753" s="481"/>
      <c r="J753" s="499"/>
      <c r="K753" s="499"/>
    </row>
    <row r="754" spans="1:11">
      <c r="A754" s="481"/>
      <c r="B754" s="481"/>
      <c r="C754" s="481"/>
      <c r="D754" s="1566"/>
      <c r="E754" s="1566"/>
      <c r="F754" s="1566"/>
      <c r="H754" s="499"/>
      <c r="I754" s="481"/>
      <c r="J754" s="499"/>
      <c r="K754" s="499"/>
    </row>
    <row r="755" spans="1:11">
      <c r="A755" s="481"/>
      <c r="B755" s="481"/>
      <c r="C755" s="481"/>
      <c r="D755" s="1566"/>
      <c r="E755" s="1566"/>
      <c r="F755" s="1566"/>
      <c r="H755" s="499"/>
      <c r="I755" s="481"/>
      <c r="J755" s="499"/>
      <c r="K755" s="499"/>
    </row>
    <row r="756" spans="1:11">
      <c r="A756" s="481"/>
      <c r="B756" s="481"/>
      <c r="C756" s="481"/>
      <c r="D756" s="1571" t="s">
        <v>2600</v>
      </c>
      <c r="E756" s="1571"/>
      <c r="F756" s="1571"/>
      <c r="H756" s="499"/>
      <c r="I756" s="481"/>
      <c r="J756" s="499"/>
      <c r="K756" s="499"/>
    </row>
    <row r="757" spans="1:11">
      <c r="A757" s="481"/>
      <c r="B757" s="481"/>
      <c r="C757" s="481"/>
      <c r="D757" s="339"/>
      <c r="H757" s="499"/>
      <c r="I757" s="481"/>
      <c r="J757" s="499"/>
      <c r="K757" s="499"/>
    </row>
    <row r="758" spans="1:11">
      <c r="A758" s="1570" t="s">
        <v>1057</v>
      </c>
      <c r="B758" s="1570"/>
      <c r="C758" s="1570"/>
      <c r="D758" s="1570"/>
      <c r="E758" s="1570"/>
      <c r="F758" s="1570"/>
      <c r="G758" s="1570"/>
      <c r="H758" s="1022"/>
      <c r="I758" s="1146"/>
      <c r="J758" s="499"/>
      <c r="K758" s="499"/>
    </row>
    <row r="759" spans="1:11">
      <c r="A759" s="481"/>
      <c r="B759" s="481"/>
      <c r="C759" s="481"/>
      <c r="D759" s="490"/>
      <c r="G759" s="499"/>
      <c r="H759" s="499"/>
      <c r="I759" s="481"/>
      <c r="J759" s="499"/>
      <c r="K759" s="499"/>
    </row>
    <row r="760" spans="1:11" ht="13.7" customHeight="1">
      <c r="C760" s="481"/>
      <c r="D760" s="1586" t="s">
        <v>1067</v>
      </c>
      <c r="E760" s="1586"/>
      <c r="F760" s="1586"/>
      <c r="G760" s="499"/>
      <c r="H760" s="499"/>
      <c r="I760" s="481"/>
      <c r="J760" s="499"/>
      <c r="K760" s="499"/>
    </row>
    <row r="761" spans="1:11">
      <c r="A761" s="481"/>
      <c r="B761" s="481"/>
      <c r="C761" s="481"/>
      <c r="D761" s="1572" t="s">
        <v>1068</v>
      </c>
      <c r="E761" s="1572"/>
      <c r="F761" s="1572"/>
      <c r="G761" s="499"/>
      <c r="H761" s="499"/>
      <c r="I761" s="481"/>
      <c r="J761" s="499"/>
      <c r="K761" s="499"/>
    </row>
    <row r="762" spans="1:11">
      <c r="A762" s="481"/>
      <c r="B762" s="481"/>
      <c r="C762" s="481"/>
      <c r="G762" s="499"/>
      <c r="H762" s="499"/>
      <c r="I762" s="481"/>
      <c r="J762" s="499"/>
      <c r="K762" s="499"/>
    </row>
    <row r="763" spans="1:11" ht="14.25">
      <c r="A763" s="482"/>
      <c r="B763" s="483" t="s">
        <v>306</v>
      </c>
      <c r="D763" s="1566" t="s">
        <v>1069</v>
      </c>
      <c r="E763" s="1566"/>
      <c r="F763" s="1566"/>
      <c r="G763" s="499"/>
      <c r="H763" s="499"/>
      <c r="I763" s="481"/>
      <c r="J763" s="499"/>
      <c r="K763" s="499"/>
    </row>
    <row r="764" spans="1:11" ht="10.5" customHeight="1">
      <c r="D764" s="1566"/>
      <c r="E764" s="1566"/>
      <c r="F764" s="1566"/>
      <c r="G764" s="499"/>
      <c r="H764" s="499"/>
      <c r="I764" s="481"/>
      <c r="J764" s="499"/>
      <c r="K764" s="499"/>
    </row>
    <row r="765" spans="1:11">
      <c r="D765" s="1566"/>
      <c r="E765" s="1566"/>
      <c r="F765" s="1566"/>
      <c r="G765" s="499"/>
      <c r="H765" s="499"/>
      <c r="I765" s="481"/>
      <c r="J765" s="499"/>
      <c r="K765" s="499"/>
    </row>
    <row r="766" spans="1:11">
      <c r="D766" s="1566"/>
      <c r="E766" s="1566"/>
      <c r="F766" s="1566"/>
      <c r="G766" s="499"/>
      <c r="H766" s="499"/>
      <c r="I766" s="481"/>
      <c r="J766" s="499"/>
      <c r="K766" s="499"/>
    </row>
    <row r="767" spans="1:11">
      <c r="D767" s="1566"/>
      <c r="E767" s="1566"/>
      <c r="F767" s="1566"/>
      <c r="G767" s="499"/>
      <c r="H767" s="499"/>
      <c r="I767" s="481"/>
      <c r="J767" s="499"/>
      <c r="K767" s="499"/>
    </row>
    <row r="768" spans="1:11" ht="15.6" customHeight="1">
      <c r="D768" s="1566"/>
      <c r="E768" s="1566"/>
      <c r="F768" s="1566"/>
      <c r="G768" s="499"/>
      <c r="H768" s="499"/>
      <c r="I768" s="481"/>
      <c r="J768" s="499"/>
      <c r="K768" s="499"/>
    </row>
    <row r="769" spans="1:11">
      <c r="D769" s="497"/>
      <c r="E769" s="444"/>
      <c r="F769" s="444"/>
      <c r="G769" s="499"/>
      <c r="H769" s="499"/>
      <c r="I769" s="481"/>
      <c r="J769" s="499"/>
      <c r="K769" s="499"/>
    </row>
    <row r="770" spans="1:11" s="503" customFormat="1" ht="14.25">
      <c r="A770" s="501"/>
      <c r="B770" s="483" t="s">
        <v>306</v>
      </c>
      <c r="C770" s="502"/>
      <c r="D770" s="1566" t="s">
        <v>1238</v>
      </c>
      <c r="E770" s="1566"/>
      <c r="F770" s="1566"/>
      <c r="I770" s="1147"/>
    </row>
    <row r="771" spans="1:11" s="503" customFormat="1">
      <c r="A771" s="502"/>
      <c r="B771" s="502"/>
      <c r="C771" s="502"/>
      <c r="D771" s="1566"/>
      <c r="E771" s="1566"/>
      <c r="F771" s="1566"/>
      <c r="I771" s="1147"/>
    </row>
    <row r="772" spans="1:11" s="503" customFormat="1">
      <c r="A772" s="502"/>
      <c r="B772" s="502"/>
      <c r="C772" s="502"/>
      <c r="D772" s="1566"/>
      <c r="E772" s="1566"/>
      <c r="F772" s="1566"/>
      <c r="I772" s="1147"/>
    </row>
    <row r="773" spans="1:11" s="503" customFormat="1">
      <c r="A773" s="502"/>
      <c r="B773" s="502"/>
      <c r="C773" s="502"/>
      <c r="D773" s="1566"/>
      <c r="E773" s="1566"/>
      <c r="F773" s="1566"/>
      <c r="I773" s="1147"/>
    </row>
    <row r="774" spans="1:11" s="503" customFormat="1">
      <c r="A774" s="502"/>
      <c r="B774" s="502"/>
      <c r="C774" s="502"/>
      <c r="D774" s="497"/>
      <c r="I774" s="1147"/>
    </row>
    <row r="775" spans="1:11" s="503" customFormat="1" ht="14.25">
      <c r="A775" s="482"/>
      <c r="B775" s="483" t="s">
        <v>306</v>
      </c>
      <c r="C775" s="502"/>
      <c r="D775" s="1565" t="s">
        <v>1239</v>
      </c>
      <c r="E775" s="1565"/>
      <c r="F775" s="1565"/>
      <c r="I775" s="1147"/>
    </row>
    <row r="776" spans="1:11" s="503" customFormat="1">
      <c r="A776" s="502"/>
      <c r="B776" s="502"/>
      <c r="C776" s="502"/>
      <c r="D776" s="1565"/>
      <c r="E776" s="1565"/>
      <c r="F776" s="1565"/>
      <c r="I776" s="1147"/>
    </row>
    <row r="777" spans="1:11" s="503" customFormat="1">
      <c r="A777" s="502"/>
      <c r="B777" s="502"/>
      <c r="C777" s="502"/>
      <c r="D777" s="1565"/>
      <c r="E777" s="1565"/>
      <c r="F777" s="1565"/>
      <c r="I777" s="1147"/>
    </row>
    <row r="778" spans="1:11">
      <c r="D778" s="497"/>
      <c r="E778" s="444"/>
      <c r="F778" s="444"/>
      <c r="G778" s="499"/>
      <c r="H778" s="499"/>
      <c r="I778" s="481"/>
      <c r="J778" s="499"/>
      <c r="K778" s="499"/>
    </row>
    <row r="779" spans="1:11" ht="14.25">
      <c r="A779" s="482"/>
      <c r="B779" s="483" t="s">
        <v>306</v>
      </c>
      <c r="D779" s="1566" t="s">
        <v>1195</v>
      </c>
      <c r="E779" s="1566"/>
      <c r="F779" s="1566"/>
      <c r="G779" s="499"/>
      <c r="H779" s="499"/>
      <c r="I779" s="481"/>
      <c r="J779" s="499"/>
      <c r="K779" s="499"/>
    </row>
    <row r="780" spans="1:11">
      <c r="D780" s="1566"/>
      <c r="E780" s="1566"/>
      <c r="F780" s="1566"/>
      <c r="G780" s="499"/>
      <c r="H780" s="499"/>
      <c r="I780" s="481"/>
      <c r="J780" s="499"/>
      <c r="K780" s="499"/>
    </row>
    <row r="781" spans="1:11">
      <c r="D781" s="443"/>
      <c r="E781" s="443"/>
      <c r="F781" s="443"/>
      <c r="G781" s="499"/>
      <c r="H781" s="499"/>
      <c r="I781" s="481"/>
      <c r="J781" s="499"/>
      <c r="K781" s="499"/>
    </row>
    <row r="782" spans="1:11">
      <c r="B782" s="483" t="s">
        <v>306</v>
      </c>
      <c r="D782" s="1566" t="s">
        <v>1212</v>
      </c>
      <c r="E782" s="1566"/>
      <c r="F782" s="1566"/>
      <c r="G782" s="499"/>
      <c r="H782" s="499"/>
      <c r="I782" s="481"/>
      <c r="J782" s="499"/>
      <c r="K782" s="499"/>
    </row>
    <row r="783" spans="1:11">
      <c r="D783" s="1566"/>
      <c r="E783" s="1566"/>
      <c r="F783" s="1566"/>
      <c r="G783" s="499"/>
      <c r="H783" s="499"/>
      <c r="I783" s="481"/>
      <c r="J783" s="499"/>
      <c r="K783" s="499"/>
    </row>
    <row r="784" spans="1:11">
      <c r="D784" s="1566"/>
      <c r="E784" s="1566"/>
      <c r="F784" s="1566"/>
      <c r="G784" s="499"/>
      <c r="H784" s="499"/>
      <c r="I784" s="481"/>
      <c r="J784" s="499"/>
      <c r="K784" s="499"/>
    </row>
    <row r="785" spans="1:11">
      <c r="D785" s="443"/>
      <c r="E785" s="443"/>
      <c r="F785" s="443"/>
      <c r="G785" s="499"/>
      <c r="H785" s="499"/>
      <c r="I785" s="481"/>
      <c r="J785" s="499"/>
      <c r="K785" s="499"/>
    </row>
    <row r="786" spans="1:11" hidden="1">
      <c r="A786" s="1585" t="s">
        <v>1786</v>
      </c>
      <c r="B786" s="1585"/>
      <c r="C786" s="1585"/>
      <c r="D786" s="1585"/>
      <c r="E786" s="1585"/>
      <c r="F786" s="1585"/>
      <c r="G786" s="1585"/>
      <c r="H786" s="1020"/>
      <c r="I786" s="1142"/>
    </row>
    <row r="787" spans="1:11" hidden="1">
      <c r="A787" s="57"/>
      <c r="B787" s="57"/>
      <c r="C787" s="352"/>
      <c r="D787" s="3"/>
      <c r="E787" s="3"/>
      <c r="F787" s="3"/>
      <c r="G787" s="3"/>
      <c r="I787" s="488"/>
    </row>
    <row r="788" spans="1:11" hidden="1">
      <c r="A788" s="57"/>
      <c r="B788" s="57"/>
      <c r="C788" s="352"/>
      <c r="D788" s="1584" t="s">
        <v>1826</v>
      </c>
      <c r="E788" s="1584"/>
      <c r="F788" s="1584"/>
      <c r="G788" s="3"/>
      <c r="I788" s="488"/>
    </row>
    <row r="789" spans="1:11" hidden="1">
      <c r="A789" s="57"/>
      <c r="B789" s="57"/>
      <c r="C789" s="352"/>
      <c r="D789" s="1576" t="s">
        <v>1740</v>
      </c>
      <c r="E789" s="1576"/>
      <c r="F789" s="1576"/>
      <c r="G789" s="3"/>
      <c r="I789" s="488"/>
    </row>
    <row r="790" spans="1:11" hidden="1">
      <c r="A790" s="57"/>
      <c r="B790" s="57"/>
      <c r="C790" s="352"/>
      <c r="D790" s="445"/>
      <c r="E790" s="445"/>
      <c r="F790" s="445"/>
      <c r="G790" s="3"/>
      <c r="I790" s="488"/>
    </row>
    <row r="791" spans="1:11" hidden="1">
      <c r="A791" s="57"/>
      <c r="B791" s="483" t="s">
        <v>306</v>
      </c>
      <c r="C791" s="352"/>
      <c r="D791" s="1558" t="s">
        <v>1741</v>
      </c>
      <c r="E791" s="1558"/>
      <c r="F791" s="1558"/>
      <c r="G791" s="3"/>
      <c r="I791" s="481"/>
    </row>
    <row r="792" spans="1:11" hidden="1">
      <c r="A792" s="57"/>
      <c r="B792" s="57"/>
      <c r="C792" s="352"/>
      <c r="D792" s="1558"/>
      <c r="E792" s="1558"/>
      <c r="F792" s="1558"/>
      <c r="G792" s="3"/>
      <c r="I792" s="488"/>
    </row>
    <row r="793" spans="1:11" hidden="1">
      <c r="A793" s="174"/>
      <c r="B793" s="174"/>
      <c r="C793" s="174"/>
      <c r="D793" s="1558"/>
      <c r="E793" s="1558"/>
      <c r="F793" s="1558"/>
      <c r="G793" s="118"/>
      <c r="I793" s="488"/>
    </row>
    <row r="794" spans="1:11" hidden="1">
      <c r="A794" s="352"/>
      <c r="B794" s="352"/>
      <c r="C794" s="352"/>
      <c r="D794" s="173"/>
      <c r="E794" s="3"/>
      <c r="F794" s="3"/>
      <c r="G794" s="3"/>
      <c r="I794" s="488"/>
    </row>
    <row r="795" spans="1:11" hidden="1">
      <c r="A795" s="172"/>
      <c r="B795" s="483" t="s">
        <v>306</v>
      </c>
      <c r="C795" s="172"/>
      <c r="D795" s="1558" t="s">
        <v>1742</v>
      </c>
      <c r="E795" s="1558"/>
      <c r="F795" s="1558"/>
      <c r="G795" s="3"/>
      <c r="I795" s="481"/>
    </row>
    <row r="796" spans="1:11" hidden="1">
      <c r="A796" s="172"/>
      <c r="B796" s="172"/>
      <c r="C796" s="172"/>
      <c r="D796" s="1558"/>
      <c r="E796" s="1558"/>
      <c r="F796" s="1558"/>
      <c r="G796" s="3"/>
      <c r="I796" s="488"/>
    </row>
    <row r="797" spans="1:11" hidden="1">
      <c r="A797" s="172"/>
      <c r="B797" s="172"/>
      <c r="C797" s="172"/>
      <c r="D797" s="1558"/>
      <c r="E797" s="1558"/>
      <c r="F797" s="1558"/>
      <c r="G797" s="3"/>
      <c r="I797" s="488"/>
    </row>
    <row r="798" spans="1:11" hidden="1">
      <c r="A798" s="174"/>
      <c r="B798" s="174"/>
      <c r="C798" s="174"/>
      <c r="D798" s="3"/>
      <c r="E798" s="980"/>
      <c r="F798" s="980"/>
      <c r="G798" s="980"/>
      <c r="I798" s="488"/>
    </row>
    <row r="799" spans="1:11" ht="14.25" hidden="1">
      <c r="A799" s="175"/>
      <c r="B799" s="483" t="s">
        <v>306</v>
      </c>
      <c r="C799" s="981"/>
      <c r="D799" s="1558" t="s">
        <v>1743</v>
      </c>
      <c r="E799" s="1558"/>
      <c r="F799" s="1558"/>
      <c r="G799" s="980"/>
      <c r="I799" s="481"/>
    </row>
    <row r="800" spans="1:11" ht="14.25" hidden="1">
      <c r="A800" s="175"/>
      <c r="B800" s="175"/>
      <c r="C800" s="981"/>
      <c r="D800" s="1558"/>
      <c r="E800" s="1558"/>
      <c r="F800" s="1558"/>
      <c r="G800" s="980"/>
      <c r="I800" s="488"/>
    </row>
    <row r="801" spans="1:9" ht="14.25" hidden="1">
      <c r="A801" s="175"/>
      <c r="B801" s="175"/>
      <c r="C801" s="981"/>
      <c r="D801" s="1558"/>
      <c r="E801" s="1558"/>
      <c r="F801" s="1558"/>
      <c r="G801" s="980"/>
      <c r="I801" s="488"/>
    </row>
    <row r="802" spans="1:9" ht="14.25" hidden="1">
      <c r="A802" s="175"/>
      <c r="B802" s="175"/>
      <c r="C802" s="981"/>
      <c r="D802" s="118"/>
      <c r="E802" s="3"/>
      <c r="F802" s="3"/>
      <c r="G802" s="980"/>
      <c r="I802" s="488"/>
    </row>
    <row r="803" spans="1:9" ht="14.25" hidden="1">
      <c r="A803" s="175"/>
      <c r="B803" s="483" t="s">
        <v>306</v>
      </c>
      <c r="C803" s="981"/>
      <c r="D803" s="1558" t="s">
        <v>1744</v>
      </c>
      <c r="E803" s="1558"/>
      <c r="F803" s="1558"/>
      <c r="G803" s="980"/>
      <c r="I803" s="481"/>
    </row>
    <row r="804" spans="1:9" ht="14.25" hidden="1">
      <c r="A804" s="175"/>
      <c r="B804" s="175"/>
      <c r="C804" s="981"/>
      <c r="D804" s="1558"/>
      <c r="E804" s="1558"/>
      <c r="F804" s="1558"/>
      <c r="G804" s="980"/>
      <c r="I804" s="488"/>
    </row>
    <row r="805" spans="1:9" ht="14.25" hidden="1">
      <c r="A805" s="175"/>
      <c r="B805" s="175"/>
      <c r="C805" s="981"/>
      <c r="D805" s="1558"/>
      <c r="E805" s="1558"/>
      <c r="F805" s="1558"/>
      <c r="G805" s="980"/>
      <c r="I805" s="488"/>
    </row>
    <row r="806" spans="1:9" ht="14.25" hidden="1">
      <c r="A806" s="175"/>
      <c r="B806" s="175"/>
      <c r="C806" s="981"/>
      <c r="D806" s="1558"/>
      <c r="E806" s="1558"/>
      <c r="F806" s="1558"/>
      <c r="G806" s="980"/>
      <c r="I806" s="488"/>
    </row>
    <row r="807" spans="1:9" ht="14.25" hidden="1">
      <c r="A807" s="175"/>
      <c r="B807" s="175"/>
      <c r="C807" s="981"/>
      <c r="D807" s="1558"/>
      <c r="E807" s="1558"/>
      <c r="F807" s="1558"/>
      <c r="G807" s="980"/>
      <c r="I807" s="488"/>
    </row>
    <row r="808" spans="1:9" ht="14.25" hidden="1">
      <c r="A808" s="175"/>
      <c r="B808" s="175"/>
      <c r="C808" s="981"/>
      <c r="D808" s="1558"/>
      <c r="E808" s="1558"/>
      <c r="F808" s="1558"/>
      <c r="G808" s="980"/>
      <c r="I808" s="488"/>
    </row>
    <row r="809" spans="1:9" ht="14.25" hidden="1">
      <c r="A809" s="175"/>
      <c r="B809" s="175"/>
      <c r="C809" s="981"/>
      <c r="D809" s="1558" t="s">
        <v>1787</v>
      </c>
      <c r="E809" s="1558"/>
      <c r="F809" s="1558"/>
      <c r="G809" s="980"/>
      <c r="I809" s="488"/>
    </row>
    <row r="810" spans="1:9" ht="14.25" hidden="1">
      <c r="A810" s="175"/>
      <c r="B810" s="175"/>
      <c r="C810" s="981"/>
      <c r="D810" s="1558"/>
      <c r="E810" s="1558"/>
      <c r="F810" s="1558"/>
      <c r="G810" s="980"/>
      <c r="I810" s="488"/>
    </row>
    <row r="811" spans="1:9" ht="14.25" hidden="1">
      <c r="A811" s="175"/>
      <c r="B811" s="175"/>
      <c r="C811" s="981"/>
      <c r="D811" s="1558"/>
      <c r="E811" s="1558"/>
      <c r="F811" s="1558"/>
      <c r="G811" s="980"/>
      <c r="I811" s="488"/>
    </row>
    <row r="812" spans="1:9" ht="14.25" hidden="1">
      <c r="A812" s="175"/>
      <c r="B812" s="352"/>
      <c r="C812" s="981"/>
      <c r="D812" s="982"/>
      <c r="E812" s="982"/>
      <c r="F812" s="982"/>
      <c r="G812" s="980"/>
      <c r="I812" s="488"/>
    </row>
    <row r="813" spans="1:9" ht="14.25" hidden="1">
      <c r="A813" s="175"/>
      <c r="B813" s="483" t="s">
        <v>306</v>
      </c>
      <c r="C813" s="981"/>
      <c r="D813" s="1558" t="s">
        <v>1745</v>
      </c>
      <c r="E813" s="1558"/>
      <c r="F813" s="1558"/>
      <c r="G813" s="980"/>
      <c r="I813" s="481"/>
    </row>
    <row r="814" spans="1:9" ht="14.25" hidden="1">
      <c r="A814" s="175"/>
      <c r="B814" s="175"/>
      <c r="C814" s="981"/>
      <c r="D814" s="1558"/>
      <c r="E814" s="1558"/>
      <c r="F814" s="1558"/>
      <c r="G814" s="980"/>
      <c r="I814" s="488"/>
    </row>
    <row r="815" spans="1:9" ht="14.25" hidden="1">
      <c r="A815" s="175"/>
      <c r="B815" s="175"/>
      <c r="C815" s="981"/>
      <c r="D815" s="1558"/>
      <c r="E815" s="1558"/>
      <c r="F815" s="1558"/>
      <c r="G815" s="980"/>
      <c r="I815" s="488"/>
    </row>
    <row r="816" spans="1:9" ht="14.25" hidden="1">
      <c r="A816" s="175"/>
      <c r="B816" s="175"/>
      <c r="C816" s="981"/>
      <c r="D816" s="1558"/>
      <c r="E816" s="1558"/>
      <c r="F816" s="1558"/>
      <c r="G816" s="980"/>
      <c r="I816" s="488"/>
    </row>
    <row r="817" spans="1:9" ht="14.25" hidden="1">
      <c r="A817" s="175"/>
      <c r="B817" s="175"/>
      <c r="C817" s="981"/>
      <c r="D817" s="1558"/>
      <c r="E817" s="1558"/>
      <c r="F817" s="1558"/>
      <c r="G817" s="980"/>
      <c r="I817" s="488"/>
    </row>
    <row r="818" spans="1:9" ht="14.25" hidden="1">
      <c r="A818" s="175"/>
      <c r="B818" s="175"/>
      <c r="C818" s="981"/>
      <c r="D818" s="1558"/>
      <c r="E818" s="1558"/>
      <c r="F818" s="1558"/>
      <c r="G818" s="980"/>
      <c r="I818" s="488"/>
    </row>
    <row r="819" spans="1:9" ht="14.25" hidden="1">
      <c r="A819" s="175"/>
      <c r="B819" s="175"/>
      <c r="C819" s="981"/>
      <c r="D819" s="974"/>
      <c r="E819" s="974"/>
      <c r="F819" s="974"/>
      <c r="G819" s="980"/>
      <c r="I819" s="488"/>
    </row>
    <row r="820" spans="1:9" ht="14.25" hidden="1">
      <c r="A820" s="175"/>
      <c r="B820" s="483" t="s">
        <v>306</v>
      </c>
      <c r="C820" s="981"/>
      <c r="D820" s="1558" t="s">
        <v>1746</v>
      </c>
      <c r="E820" s="1558"/>
      <c r="F820" s="1558"/>
      <c r="G820" s="980"/>
      <c r="I820" s="481"/>
    </row>
    <row r="821" spans="1:9" ht="14.25" hidden="1">
      <c r="A821" s="175"/>
      <c r="B821" s="175"/>
      <c r="C821" s="981"/>
      <c r="D821" s="1558"/>
      <c r="E821" s="1558"/>
      <c r="F821" s="1558"/>
      <c r="G821" s="980"/>
      <c r="I821" s="488"/>
    </row>
    <row r="822" spans="1:9" ht="14.25" hidden="1">
      <c r="A822" s="175"/>
      <c r="B822" s="175"/>
      <c r="C822" s="981"/>
      <c r="D822" s="1558"/>
      <c r="E822" s="1558"/>
      <c r="F822" s="1558"/>
      <c r="G822" s="980"/>
      <c r="I822" s="488"/>
    </row>
    <row r="823" spans="1:9" ht="14.25" hidden="1">
      <c r="A823" s="175"/>
      <c r="B823" s="175"/>
      <c r="C823" s="981"/>
      <c r="D823" s="1558"/>
      <c r="E823" s="1558"/>
      <c r="F823" s="1558"/>
      <c r="G823" s="980"/>
      <c r="I823" s="488"/>
    </row>
    <row r="824" spans="1:9" ht="14.25" hidden="1">
      <c r="A824" s="175"/>
      <c r="B824" s="175"/>
      <c r="C824" s="981"/>
      <c r="D824" s="1558"/>
      <c r="E824" s="1558"/>
      <c r="F824" s="1558"/>
      <c r="G824" s="980"/>
      <c r="I824" s="488"/>
    </row>
    <row r="825" spans="1:9" ht="14.25" hidden="1">
      <c r="A825" s="175"/>
      <c r="B825" s="175"/>
      <c r="C825" s="981"/>
      <c r="D825" s="1558"/>
      <c r="E825" s="1558"/>
      <c r="F825" s="1558"/>
      <c r="G825" s="980"/>
      <c r="I825" s="488"/>
    </row>
    <row r="826" spans="1:9" ht="14.25" hidden="1">
      <c r="A826" s="175"/>
      <c r="B826" s="175"/>
      <c r="C826" s="981"/>
      <c r="D826" s="974"/>
      <c r="E826" s="974"/>
      <c r="F826" s="974"/>
      <c r="G826" s="980"/>
      <c r="I826" s="488"/>
    </row>
    <row r="827" spans="1:9" ht="14.25" hidden="1">
      <c r="A827" s="175"/>
      <c r="B827" s="483" t="s">
        <v>306</v>
      </c>
      <c r="C827" s="981"/>
      <c r="D827" s="1554" t="s">
        <v>1747</v>
      </c>
      <c r="E827" s="1554"/>
      <c r="F827" s="1554"/>
      <c r="G827" s="980"/>
      <c r="I827" s="481"/>
    </row>
    <row r="828" spans="1:9" ht="14.25" hidden="1">
      <c r="A828" s="175"/>
      <c r="B828" s="175"/>
      <c r="C828" s="981"/>
      <c r="D828" s="1554"/>
      <c r="E828" s="1554"/>
      <c r="F828" s="1554"/>
      <c r="G828" s="980"/>
      <c r="I828" s="488"/>
    </row>
    <row r="829" spans="1:9" hidden="1">
      <c r="A829" s="13"/>
      <c r="B829" s="13"/>
      <c r="C829" s="981"/>
      <c r="D829" s="1554"/>
      <c r="E829" s="1554"/>
      <c r="F829" s="1554"/>
      <c r="G829" s="980"/>
      <c r="I829" s="488"/>
    </row>
    <row r="830" spans="1:9" ht="14.25" hidden="1">
      <c r="A830" s="175"/>
      <c r="B830" s="13"/>
      <c r="C830" s="981"/>
      <c r="D830" s="1554"/>
      <c r="E830" s="1554"/>
      <c r="F830" s="1554"/>
      <c r="G830" s="980"/>
      <c r="I830" s="488"/>
    </row>
    <row r="831" spans="1:9" ht="12.75" hidden="1" customHeight="1">
      <c r="A831" s="175"/>
      <c r="B831" s="13"/>
      <c r="C831" s="981"/>
      <c r="D831" s="1554"/>
      <c r="E831" s="1554"/>
      <c r="F831" s="1554"/>
      <c r="G831" s="980"/>
      <c r="I831" s="488"/>
    </row>
    <row r="832" spans="1:9" ht="12.75" hidden="1" customHeight="1">
      <c r="A832" s="175"/>
      <c r="B832" s="13"/>
      <c r="C832" s="981"/>
      <c r="D832" s="1554"/>
      <c r="E832" s="1554"/>
      <c r="F832" s="1554"/>
      <c r="G832" s="980"/>
      <c r="I832" s="488"/>
    </row>
    <row r="833" spans="1:9" ht="12.75" hidden="1" customHeight="1">
      <c r="A833" s="13"/>
      <c r="B833" s="13"/>
      <c r="C833" s="981"/>
      <c r="D833" s="980"/>
      <c r="E833" s="3"/>
      <c r="F833" s="3"/>
      <c r="G833" s="980"/>
      <c r="I833" s="488"/>
    </row>
    <row r="834" spans="1:9" ht="12.75" customHeight="1">
      <c r="A834" s="1552" t="s">
        <v>1748</v>
      </c>
      <c r="B834" s="1552"/>
      <c r="C834" s="1552"/>
      <c r="D834" s="1552"/>
      <c r="E834" s="1552"/>
      <c r="F834" s="1552"/>
      <c r="G834" s="1552"/>
      <c r="H834" s="1020"/>
      <c r="I834" s="1142"/>
    </row>
    <row r="835" spans="1:9" ht="12.75" customHeight="1">
      <c r="A835" s="172"/>
      <c r="B835" s="172"/>
      <c r="C835" s="981"/>
      <c r="D835" s="980"/>
      <c r="E835" s="980"/>
      <c r="F835" s="980"/>
      <c r="G835" s="980"/>
      <c r="I835" s="488"/>
    </row>
    <row r="836" spans="1:9" ht="12.75" customHeight="1">
      <c r="A836" s="175"/>
      <c r="B836" s="175"/>
      <c r="C836" s="352"/>
      <c r="D836" s="1574" t="s">
        <v>1788</v>
      </c>
      <c r="E836" s="1574"/>
      <c r="F836" s="1574"/>
      <c r="G836" s="3"/>
      <c r="I836" s="488"/>
    </row>
    <row r="837" spans="1:9" ht="14.25" customHeight="1">
      <c r="A837" s="175"/>
      <c r="B837" s="175"/>
      <c r="C837" s="352"/>
      <c r="D837" s="1528" t="s">
        <v>1749</v>
      </c>
      <c r="E837" s="1528"/>
      <c r="F837" s="1528"/>
      <c r="G837" s="3"/>
      <c r="I837" s="488"/>
    </row>
    <row r="838" spans="1:9" ht="12.75" customHeight="1">
      <c r="A838" s="175"/>
      <c r="B838" s="175"/>
      <c r="C838" s="352"/>
      <c r="D838" s="439"/>
      <c r="E838" s="439"/>
      <c r="F838" s="439"/>
      <c r="G838" s="3"/>
      <c r="I838" s="488"/>
    </row>
    <row r="839" spans="1:9" ht="12.75" customHeight="1">
      <c r="A839" s="352"/>
      <c r="B839" s="483" t="s">
        <v>306</v>
      </c>
      <c r="C839" s="981"/>
      <c r="D839" s="1528" t="s">
        <v>1750</v>
      </c>
      <c r="E839" s="1528"/>
      <c r="F839" s="1528"/>
      <c r="G839" s="3"/>
      <c r="I839" s="488" t="s">
        <v>1850</v>
      </c>
    </row>
    <row r="840" spans="1:9" ht="14.25" customHeight="1">
      <c r="A840" s="13"/>
      <c r="B840" s="13"/>
      <c r="C840" s="981"/>
      <c r="E840" s="1028" t="s">
        <v>1865</v>
      </c>
      <c r="F840" s="1030"/>
      <c r="G840" s="3"/>
      <c r="I840" s="488"/>
    </row>
    <row r="841" spans="1:9" ht="12.75" customHeight="1">
      <c r="A841" s="13"/>
      <c r="B841" s="13"/>
      <c r="C841" s="981"/>
      <c r="D841" s="983"/>
      <c r="E841" s="3"/>
      <c r="F841" s="3"/>
      <c r="G841" s="3"/>
      <c r="I841" s="488"/>
    </row>
    <row r="842" spans="1:9" ht="14.25" hidden="1" customHeight="1">
      <c r="A842" s="13"/>
      <c r="B842" s="483" t="s">
        <v>306</v>
      </c>
      <c r="C842" s="981"/>
      <c r="D842" s="1575" t="s">
        <v>2028</v>
      </c>
      <c r="E842" s="1575"/>
      <c r="F842" s="1575"/>
      <c r="G842" s="3"/>
      <c r="I842" s="488"/>
    </row>
    <row r="843" spans="1:9" ht="12.75" hidden="1" customHeight="1">
      <c r="A843" s="13"/>
      <c r="B843" s="13"/>
      <c r="C843" s="981"/>
      <c r="D843" s="1575"/>
      <c r="E843" s="1575"/>
      <c r="F843" s="1575"/>
      <c r="G843" s="3"/>
      <c r="I843" s="488"/>
    </row>
    <row r="844" spans="1:9" ht="12.75" hidden="1" customHeight="1">
      <c r="A844" s="13"/>
      <c r="B844" s="13"/>
      <c r="C844" s="981"/>
      <c r="D844" s="1575"/>
      <c r="E844" s="1575"/>
      <c r="F844" s="1575"/>
      <c r="G844" s="3"/>
      <c r="I844" s="488"/>
    </row>
    <row r="845" spans="1:9" ht="12.75" hidden="1" customHeight="1">
      <c r="A845" s="13"/>
      <c r="B845" s="13"/>
      <c r="C845" s="981"/>
      <c r="D845" s="1575"/>
      <c r="E845" s="1575"/>
      <c r="F845" s="1575"/>
      <c r="G845" s="3"/>
      <c r="I845" s="488"/>
    </row>
    <row r="846" spans="1:9" ht="12.75" hidden="1" customHeight="1">
      <c r="A846" s="13"/>
      <c r="B846" s="13"/>
      <c r="C846" s="981"/>
      <c r="D846" s="1575"/>
      <c r="E846" s="1575"/>
      <c r="F846" s="1575"/>
      <c r="G846" s="3"/>
      <c r="I846" s="488"/>
    </row>
    <row r="847" spans="1:9" ht="12.75" hidden="1" customHeight="1">
      <c r="A847" s="13"/>
      <c r="B847" s="13"/>
      <c r="C847" s="981"/>
      <c r="D847" s="1575"/>
      <c r="E847" s="1575"/>
      <c r="F847" s="1575"/>
      <c r="G847" s="3"/>
      <c r="I847" s="488"/>
    </row>
    <row r="848" spans="1:9" ht="12.75" hidden="1" customHeight="1">
      <c r="A848" s="13"/>
      <c r="B848" s="13"/>
      <c r="C848" s="981"/>
      <c r="D848" s="1575"/>
      <c r="E848" s="1575"/>
      <c r="F848" s="1575"/>
      <c r="G848" s="3"/>
      <c r="I848" s="488"/>
    </row>
    <row r="849" spans="1:9" ht="12.75" hidden="1" customHeight="1">
      <c r="A849" s="13"/>
      <c r="B849" s="13"/>
      <c r="C849" s="981"/>
      <c r="D849" s="1575"/>
      <c r="E849" s="1575"/>
      <c r="F849" s="1575"/>
      <c r="G849" s="3"/>
      <c r="I849" s="488"/>
    </row>
    <row r="850" spans="1:9" ht="12.75" hidden="1" customHeight="1">
      <c r="A850" s="13"/>
      <c r="B850" s="13"/>
      <c r="C850" s="981"/>
      <c r="D850" s="1575"/>
      <c r="E850" s="1575"/>
      <c r="F850" s="1575"/>
      <c r="G850" s="3"/>
      <c r="I850" s="488"/>
    </row>
    <row r="851" spans="1:9" ht="12.75" hidden="1" customHeight="1">
      <c r="A851" s="13"/>
      <c r="B851" s="13"/>
      <c r="C851" s="981"/>
      <c r="D851" s="1575"/>
      <c r="E851" s="1575"/>
      <c r="F851" s="1575"/>
      <c r="G851" s="3"/>
      <c r="I851" s="488"/>
    </row>
    <row r="852" spans="1:9" ht="12.75" hidden="1" customHeight="1">
      <c r="A852" s="13"/>
      <c r="B852" s="13"/>
      <c r="C852" s="981"/>
      <c r="D852" s="983"/>
      <c r="E852" s="3"/>
      <c r="F852" s="3"/>
      <c r="G852" s="3"/>
      <c r="I852" s="488"/>
    </row>
    <row r="853" spans="1:9" ht="12.75" customHeight="1">
      <c r="A853" s="175"/>
      <c r="B853" s="483" t="s">
        <v>306</v>
      </c>
      <c r="C853" s="981"/>
      <c r="D853" s="1528" t="s">
        <v>1751</v>
      </c>
      <c r="E853" s="1528"/>
      <c r="F853" s="1528"/>
      <c r="G853" s="3"/>
      <c r="I853" s="488" t="s">
        <v>1853</v>
      </c>
    </row>
    <row r="854" spans="1:9" ht="12.75" customHeight="1">
      <c r="A854" s="175"/>
      <c r="B854" s="175"/>
      <c r="C854" s="981"/>
      <c r="D854" s="1528"/>
      <c r="E854" s="1528"/>
      <c r="F854" s="1528"/>
      <c r="G854" s="3"/>
      <c r="I854" s="488"/>
    </row>
    <row r="855" spans="1:9" ht="12.75" customHeight="1">
      <c r="A855" s="175"/>
      <c r="B855" s="175"/>
      <c r="C855" s="981"/>
      <c r="D855" s="1528"/>
      <c r="E855" s="1528"/>
      <c r="F855" s="1528"/>
      <c r="G855" s="3"/>
      <c r="I855" s="488"/>
    </row>
    <row r="856" spans="1:9" ht="12.75" customHeight="1">
      <c r="A856" s="175"/>
      <c r="B856" s="175"/>
      <c r="C856" s="981"/>
      <c r="D856" s="118"/>
      <c r="E856" s="3"/>
      <c r="F856" s="3"/>
      <c r="G856" s="3"/>
      <c r="I856" s="488"/>
    </row>
    <row r="857" spans="1:9" ht="12.75" customHeight="1">
      <c r="A857" s="984"/>
      <c r="B857" s="483" t="s">
        <v>306</v>
      </c>
      <c r="C857" s="981"/>
      <c r="D857" s="1574" t="s">
        <v>1752</v>
      </c>
      <c r="E857" s="1574"/>
      <c r="F857" s="1574"/>
      <c r="G857" s="3"/>
      <c r="I857" s="488"/>
    </row>
    <row r="858" spans="1:9" ht="12.75" customHeight="1">
      <c r="A858" s="352"/>
      <c r="B858" s="984"/>
      <c r="C858" s="981"/>
      <c r="D858" s="1574"/>
      <c r="E858" s="1574"/>
      <c r="F858" s="1574"/>
      <c r="G858" s="3"/>
      <c r="I858" s="488"/>
    </row>
    <row r="859" spans="1:9" ht="12.75" customHeight="1">
      <c r="A859" s="175"/>
      <c r="B859" s="352"/>
      <c r="C859" s="981"/>
      <c r="D859" s="1528" t="s">
        <v>2023</v>
      </c>
      <c r="E859" s="1528"/>
      <c r="F859" s="1528"/>
      <c r="G859" s="3"/>
      <c r="I859" s="488"/>
    </row>
    <row r="860" spans="1:9" ht="12.75" customHeight="1">
      <c r="A860" s="175"/>
      <c r="B860" s="175"/>
      <c r="C860" s="981"/>
      <c r="D860" s="1528"/>
      <c r="E860" s="1528"/>
      <c r="F860" s="1528"/>
      <c r="G860" s="3"/>
      <c r="I860" s="488"/>
    </row>
    <row r="861" spans="1:9" ht="12.75" customHeight="1">
      <c r="A861" s="175"/>
      <c r="B861" s="175"/>
      <c r="C861" s="981"/>
      <c r="D861" s="1528"/>
      <c r="E861" s="1528"/>
      <c r="F861" s="1528"/>
      <c r="G861" s="3"/>
      <c r="I861" s="488"/>
    </row>
    <row r="862" spans="1:9" ht="12.75" customHeight="1">
      <c r="A862" s="175"/>
      <c r="B862" s="175"/>
      <c r="C862" s="981"/>
      <c r="D862" s="1528"/>
      <c r="E862" s="1528"/>
      <c r="F862" s="1528"/>
      <c r="G862" s="3"/>
      <c r="I862" s="488"/>
    </row>
    <row r="863" spans="1:9" ht="12.75" customHeight="1">
      <c r="A863" s="175"/>
      <c r="B863" s="175"/>
      <c r="C863" s="981"/>
      <c r="D863" s="1528"/>
      <c r="E863" s="1528"/>
      <c r="F863" s="1528"/>
      <c r="G863" s="3"/>
      <c r="I863" s="488"/>
    </row>
    <row r="864" spans="1:9" ht="12.75" customHeight="1">
      <c r="A864" s="175"/>
      <c r="B864" s="175"/>
      <c r="C864" s="981"/>
      <c r="D864" s="1528"/>
      <c r="E864" s="1528"/>
      <c r="F864" s="1528"/>
      <c r="G864" s="3"/>
      <c r="I864" s="488"/>
    </row>
    <row r="865" spans="1:9" ht="12.75" customHeight="1">
      <c r="A865" s="175"/>
      <c r="B865" s="175"/>
      <c r="C865" s="981"/>
      <c r="D865" s="118"/>
      <c r="E865" s="3"/>
      <c r="F865" s="3"/>
      <c r="G865" s="3"/>
      <c r="I865" s="488"/>
    </row>
    <row r="866" spans="1:9" ht="12.75" customHeight="1">
      <c r="A866" s="175"/>
      <c r="B866" s="483" t="s">
        <v>306</v>
      </c>
      <c r="C866" s="981"/>
      <c r="D866" s="1528" t="s">
        <v>1753</v>
      </c>
      <c r="E866" s="1528"/>
      <c r="F866" s="1528"/>
      <c r="G866" s="3"/>
      <c r="I866" s="488" t="s">
        <v>1851</v>
      </c>
    </row>
    <row r="867" spans="1:9" ht="12.75" customHeight="1">
      <c r="A867" s="175"/>
      <c r="B867" s="175"/>
      <c r="C867" s="981"/>
      <c r="D867" s="1528" t="s">
        <v>1754</v>
      </c>
      <c r="E867" s="1528"/>
      <c r="F867" s="1528"/>
      <c r="G867" s="3"/>
      <c r="I867" s="488"/>
    </row>
    <row r="868" spans="1:9" ht="12.75" customHeight="1">
      <c r="A868" s="175"/>
      <c r="B868" s="175"/>
      <c r="C868" s="981"/>
      <c r="E868" s="1028" t="s">
        <v>1867</v>
      </c>
      <c r="F868" s="1030"/>
      <c r="G868" s="3"/>
      <c r="I868" s="488"/>
    </row>
    <row r="869" spans="1:9" ht="12.75" customHeight="1">
      <c r="A869" s="175"/>
      <c r="B869" s="175"/>
      <c r="C869" s="981"/>
      <c r="D869" s="118"/>
      <c r="E869" s="3"/>
      <c r="F869" s="3"/>
      <c r="G869" s="3"/>
      <c r="I869" s="488"/>
    </row>
    <row r="870" spans="1:9" ht="12.75" customHeight="1">
      <c r="A870" s="175"/>
      <c r="B870" s="483" t="s">
        <v>306</v>
      </c>
      <c r="C870" s="981"/>
      <c r="D870" s="1528" t="s">
        <v>1755</v>
      </c>
      <c r="E870" s="1528"/>
      <c r="F870" s="1528"/>
      <c r="G870" s="3"/>
      <c r="I870" s="488" t="s">
        <v>1854</v>
      </c>
    </row>
    <row r="871" spans="1:9" ht="12.75" customHeight="1">
      <c r="A871" s="175"/>
      <c r="B871" s="175"/>
      <c r="C871" s="981"/>
      <c r="D871" s="1528"/>
      <c r="E871" s="1528"/>
      <c r="F871" s="1528"/>
      <c r="G871" s="3"/>
      <c r="I871" s="488"/>
    </row>
    <row r="872" spans="1:9" ht="12.75" customHeight="1">
      <c r="A872" s="175"/>
      <c r="B872" s="175"/>
      <c r="C872" s="981"/>
      <c r="D872" s="1528"/>
      <c r="E872" s="1528"/>
      <c r="F872" s="1528"/>
      <c r="G872" s="3"/>
      <c r="I872" s="488"/>
    </row>
    <row r="873" spans="1:9" ht="12.75" customHeight="1">
      <c r="A873" s="175"/>
      <c r="B873" s="175"/>
      <c r="C873" s="981"/>
      <c r="D873" s="1528"/>
      <c r="E873" s="1528"/>
      <c r="F873" s="1528"/>
      <c r="G873" s="3"/>
      <c r="I873" s="488"/>
    </row>
    <row r="874" spans="1:9" ht="12.75" customHeight="1">
      <c r="A874" s="172"/>
      <c r="B874" s="172"/>
      <c r="C874" s="172"/>
      <c r="D874" s="118"/>
      <c r="E874" s="3"/>
      <c r="F874" s="3"/>
      <c r="G874" s="3"/>
      <c r="I874" s="488"/>
    </row>
    <row r="875" spans="1:9" ht="12.75" customHeight="1">
      <c r="A875" s="975" t="s">
        <v>1756</v>
      </c>
      <c r="B875" s="975"/>
      <c r="C875" s="985"/>
      <c r="D875" s="985"/>
      <c r="E875" s="985"/>
      <c r="F875" s="985"/>
      <c r="G875" s="985"/>
      <c r="H875" s="1020"/>
      <c r="I875" s="1142"/>
    </row>
    <row r="876" spans="1:9" ht="12.75" customHeight="1">
      <c r="A876" s="172"/>
      <c r="B876" s="172"/>
      <c r="C876" s="172"/>
      <c r="D876" s="986"/>
      <c r="E876" s="3"/>
      <c r="F876" s="3"/>
      <c r="G876" s="3"/>
      <c r="I876" s="488"/>
    </row>
    <row r="877" spans="1:9" ht="12.75" customHeight="1">
      <c r="A877" s="352"/>
      <c r="B877" s="352"/>
      <c r="C877" s="174"/>
      <c r="D877" s="1555" t="s">
        <v>1789</v>
      </c>
      <c r="E877" s="1555"/>
      <c r="F877" s="1555"/>
      <c r="G877" s="980"/>
      <c r="I877" s="488"/>
    </row>
    <row r="878" spans="1:9" ht="12.75" customHeight="1">
      <c r="A878" s="352"/>
      <c r="B878" s="352"/>
      <c r="C878" s="174"/>
      <c r="D878" s="1573" t="s">
        <v>1757</v>
      </c>
      <c r="E878" s="1573"/>
      <c r="F878" s="1573"/>
      <c r="G878" s="980"/>
      <c r="I878" s="488"/>
    </row>
    <row r="879" spans="1:9" ht="12.75" customHeight="1">
      <c r="A879" s="352"/>
      <c r="B879" s="352"/>
      <c r="C879" s="174"/>
      <c r="D879" s="987"/>
      <c r="E879" s="987"/>
      <c r="F879" s="987"/>
      <c r="G879" s="980"/>
      <c r="I879" s="488"/>
    </row>
    <row r="880" spans="1:9" ht="12.75" customHeight="1">
      <c r="A880" s="175"/>
      <c r="B880" s="483" t="s">
        <v>306</v>
      </c>
      <c r="C880" s="352"/>
      <c r="D880" s="1556" t="s">
        <v>1758</v>
      </c>
      <c r="E880" s="1556"/>
      <c r="F880" s="1556"/>
      <c r="G880" s="980"/>
      <c r="I880" s="488" t="s">
        <v>1851</v>
      </c>
    </row>
    <row r="881" spans="1:9" ht="12.75" customHeight="1">
      <c r="A881" s="352"/>
      <c r="B881" s="352"/>
      <c r="C881" s="352"/>
      <c r="D881" s="2" t="s">
        <v>1733</v>
      </c>
      <c r="E881" s="1028" t="s">
        <v>1867</v>
      </c>
      <c r="F881" s="1031"/>
      <c r="G881" s="980"/>
      <c r="I881" s="488"/>
    </row>
    <row r="882" spans="1:9" ht="12.75" customHeight="1">
      <c r="A882" s="352"/>
      <c r="B882" s="352"/>
      <c r="C882" s="352"/>
      <c r="D882" s="118"/>
      <c r="E882" s="980"/>
      <c r="F882" s="980"/>
      <c r="G882" s="980"/>
      <c r="I882" s="488"/>
    </row>
    <row r="883" spans="1:9" ht="12.75" customHeight="1">
      <c r="A883" s="175"/>
      <c r="B883" s="483" t="s">
        <v>306</v>
      </c>
      <c r="C883" s="352"/>
      <c r="D883" s="1528" t="s">
        <v>1759</v>
      </c>
      <c r="E883" s="1580"/>
      <c r="F883" s="1580"/>
      <c r="G883" s="3"/>
      <c r="I883" s="488" t="s">
        <v>1854</v>
      </c>
    </row>
    <row r="884" spans="1:9" ht="12.75" customHeight="1">
      <c r="A884" s="352"/>
      <c r="B884" s="352"/>
      <c r="C884" s="352"/>
      <c r="D884" s="1580"/>
      <c r="E884" s="1580"/>
      <c r="F884" s="1580"/>
      <c r="G884" s="3"/>
      <c r="I884" s="488"/>
    </row>
    <row r="885" spans="1:9" ht="12.75" customHeight="1">
      <c r="A885" s="352"/>
      <c r="B885" s="352"/>
      <c r="C885" s="352"/>
      <c r="D885" s="118"/>
      <c r="E885" s="3"/>
      <c r="F885" s="3"/>
      <c r="G885" s="3"/>
      <c r="I885" s="488"/>
    </row>
    <row r="886" spans="1:9" ht="12.75" customHeight="1">
      <c r="A886" s="352"/>
      <c r="B886" s="483" t="s">
        <v>306</v>
      </c>
      <c r="C886" s="352"/>
      <c r="D886" s="1581" t="s">
        <v>1760</v>
      </c>
      <c r="E886" s="1581"/>
      <c r="F886" s="1581"/>
      <c r="G886" s="980"/>
      <c r="I886" s="488"/>
    </row>
    <row r="887" spans="1:9" ht="12.75" customHeight="1">
      <c r="A887" s="352"/>
      <c r="B887" s="988"/>
      <c r="C887" s="352"/>
      <c r="D887" s="1581"/>
      <c r="E887" s="1581"/>
      <c r="F887" s="1581"/>
      <c r="G887" s="980"/>
      <c r="I887" s="488"/>
    </row>
    <row r="888" spans="1:9" ht="12.75" customHeight="1">
      <c r="A888" s="175"/>
      <c r="B888"/>
      <c r="C888" s="352"/>
      <c r="D888" s="1528" t="s">
        <v>2023</v>
      </c>
      <c r="E888" s="1528"/>
      <c r="F888" s="1528"/>
      <c r="G888" s="980"/>
      <c r="I888" s="488"/>
    </row>
    <row r="889" spans="1:9" ht="12.75" customHeight="1">
      <c r="A889" s="175"/>
      <c r="B889" s="175"/>
      <c r="C889" s="352"/>
      <c r="D889" s="1528"/>
      <c r="E889" s="1528"/>
      <c r="F889" s="1528"/>
      <c r="G889" s="980"/>
      <c r="I889" s="488"/>
    </row>
    <row r="890" spans="1:9" ht="12.75" customHeight="1">
      <c r="A890" s="175"/>
      <c r="B890" s="175"/>
      <c r="C890" s="352"/>
      <c r="D890" s="1528"/>
      <c r="E890" s="1528"/>
      <c r="F890" s="1528"/>
      <c r="G890" s="980"/>
      <c r="I890" s="488"/>
    </row>
    <row r="891" spans="1:9" ht="12.75" customHeight="1">
      <c r="A891" s="175"/>
      <c r="B891" s="175"/>
      <c r="C891" s="352"/>
      <c r="D891" s="1528"/>
      <c r="E891" s="1528"/>
      <c r="F891" s="1528"/>
      <c r="G891" s="980"/>
      <c r="I891" s="488"/>
    </row>
    <row r="892" spans="1:9" ht="12.75" customHeight="1">
      <c r="A892" s="175"/>
      <c r="B892" s="175"/>
      <c r="C892" s="352"/>
      <c r="D892" s="1528"/>
      <c r="E892" s="1528"/>
      <c r="F892" s="1528"/>
      <c r="G892" s="980"/>
      <c r="I892" s="488"/>
    </row>
    <row r="893" spans="1:9" ht="12.75" customHeight="1">
      <c r="A893" s="175"/>
      <c r="B893" s="175"/>
      <c r="C893" s="352"/>
      <c r="D893" s="1528"/>
      <c r="E893" s="1528"/>
      <c r="F893" s="1528"/>
      <c r="G893" s="980"/>
      <c r="I893" s="488"/>
    </row>
    <row r="894" spans="1:9" ht="12.75" customHeight="1">
      <c r="A894" s="175"/>
      <c r="B894" s="175"/>
      <c r="C894" s="352"/>
      <c r="D894" s="118"/>
      <c r="E894" s="980"/>
      <c r="F894" s="980"/>
      <c r="G894" s="980"/>
      <c r="I894" s="488"/>
    </row>
    <row r="895" spans="1:9" ht="12.75" customHeight="1">
      <c r="A895" s="175"/>
      <c r="B895" s="483" t="s">
        <v>306</v>
      </c>
      <c r="C895" s="352"/>
      <c r="D895" s="1547" t="s">
        <v>1753</v>
      </c>
      <c r="E895" s="1547"/>
      <c r="F895" s="1547"/>
      <c r="G895" s="980"/>
      <c r="I895" s="488"/>
    </row>
    <row r="896" spans="1:9" ht="12.75" customHeight="1">
      <c r="A896" s="175"/>
      <c r="B896" s="175"/>
      <c r="C896" s="352"/>
      <c r="D896" s="1547" t="s">
        <v>1754</v>
      </c>
      <c r="E896" s="1547"/>
      <c r="F896" s="1547"/>
      <c r="G896" s="980"/>
      <c r="I896" s="488"/>
    </row>
    <row r="897" spans="1:9" ht="12.75" customHeight="1">
      <c r="A897" s="175"/>
      <c r="B897" s="175"/>
      <c r="C897" s="352"/>
      <c r="D897" s="2" t="s">
        <v>1267</v>
      </c>
      <c r="E897" s="1028" t="s">
        <v>1867</v>
      </c>
      <c r="F897" s="1032"/>
      <c r="G897" s="980"/>
      <c r="I897" s="488"/>
    </row>
    <row r="898" spans="1:9" ht="12.75" customHeight="1">
      <c r="A898" s="175"/>
      <c r="B898" s="175"/>
      <c r="C898" s="352"/>
      <c r="D898" s="118"/>
      <c r="E898" s="980"/>
      <c r="F898" s="980"/>
      <c r="G898" s="980"/>
      <c r="I898" s="488"/>
    </row>
    <row r="899" spans="1:9" ht="12.75" customHeight="1">
      <c r="A899" s="175"/>
      <c r="B899" s="483" t="s">
        <v>306</v>
      </c>
      <c r="C899" s="352"/>
      <c r="D899" s="1528" t="s">
        <v>1755</v>
      </c>
      <c r="E899" s="1528"/>
      <c r="F899" s="1528"/>
      <c r="G899" s="980"/>
      <c r="I899" s="488"/>
    </row>
    <row r="900" spans="1:9" ht="12.75" customHeight="1">
      <c r="A900" s="175"/>
      <c r="B900" s="175"/>
      <c r="C900" s="352"/>
      <c r="D900" s="1528"/>
      <c r="E900" s="1528"/>
      <c r="F900" s="1528"/>
      <c r="G900" s="980"/>
      <c r="I900" s="488"/>
    </row>
    <row r="901" spans="1:9" ht="12.75" customHeight="1">
      <c r="A901" s="175"/>
      <c r="B901" s="175"/>
      <c r="C901" s="352"/>
      <c r="D901" s="1528"/>
      <c r="E901" s="1528"/>
      <c r="F901" s="1528"/>
      <c r="G901" s="980"/>
      <c r="I901" s="488"/>
    </row>
    <row r="902" spans="1:9" ht="12.75" customHeight="1">
      <c r="A902" s="175"/>
      <c r="B902" s="175"/>
      <c r="C902" s="352"/>
      <c r="D902" s="1528"/>
      <c r="E902" s="1528"/>
      <c r="F902" s="1528"/>
      <c r="G902" s="980"/>
      <c r="I902" s="488"/>
    </row>
    <row r="903" spans="1:9" ht="12.75" customHeight="1">
      <c r="A903" s="118"/>
      <c r="B903" s="118"/>
      <c r="C903" s="981"/>
      <c r="D903" s="980"/>
      <c r="E903" s="980"/>
      <c r="F903" s="980"/>
      <c r="G903" s="980"/>
      <c r="I903" s="488"/>
    </row>
    <row r="904" spans="1:9" ht="12.75" customHeight="1">
      <c r="A904" s="1552" t="s">
        <v>1790</v>
      </c>
      <c r="B904" s="1552"/>
      <c r="C904" s="1552"/>
      <c r="D904" s="1552"/>
      <c r="E904" s="1552"/>
      <c r="F904" s="1552"/>
      <c r="G904" s="1552"/>
      <c r="H904" s="1020"/>
      <c r="I904" s="1142"/>
    </row>
    <row r="905" spans="1:9" ht="12.75" customHeight="1">
      <c r="A905" s="57"/>
      <c r="B905" s="57"/>
      <c r="C905" s="57"/>
      <c r="D905" s="57"/>
      <c r="E905" s="57"/>
      <c r="F905" s="57"/>
      <c r="G905" s="57"/>
      <c r="I905" s="488"/>
    </row>
    <row r="906" spans="1:9" ht="12.75" customHeight="1">
      <c r="A906" s="57"/>
      <c r="B906" s="57"/>
      <c r="C906" s="57"/>
      <c r="D906" s="1550" t="s">
        <v>1796</v>
      </c>
      <c r="E906" s="1550"/>
      <c r="F906" s="1550"/>
      <c r="G906" s="57"/>
      <c r="I906" s="488"/>
    </row>
    <row r="907" spans="1:9" ht="12.75" customHeight="1">
      <c r="A907" s="57"/>
      <c r="B907" s="57"/>
      <c r="C907" s="57"/>
      <c r="D907" s="973"/>
      <c r="E907" s="973"/>
      <c r="F907" s="973"/>
      <c r="G907" s="57"/>
      <c r="I907" s="488"/>
    </row>
    <row r="908" spans="1:9" ht="12.75" customHeight="1">
      <c r="A908" s="57"/>
      <c r="B908" s="483" t="s">
        <v>306</v>
      </c>
      <c r="C908" s="57"/>
      <c r="D908" s="976" t="s">
        <v>1797</v>
      </c>
      <c r="E908" s="973"/>
      <c r="F908" s="973"/>
      <c r="G908" s="57"/>
      <c r="I908" s="488"/>
    </row>
    <row r="909" spans="1:9" ht="12.75" customHeight="1">
      <c r="A909" s="57"/>
      <c r="B909" s="57"/>
      <c r="C909" s="57"/>
      <c r="D909" s="973"/>
      <c r="E909" s="973"/>
      <c r="F909" s="973"/>
      <c r="G909" s="57"/>
      <c r="I909" s="488"/>
    </row>
    <row r="910" spans="1:9" ht="12.75" customHeight="1">
      <c r="A910" s="352"/>
      <c r="B910" s="352"/>
      <c r="C910" s="981"/>
      <c r="D910" s="1550" t="s">
        <v>1791</v>
      </c>
      <c r="E910" s="1550"/>
      <c r="F910" s="1550"/>
      <c r="G910" s="980"/>
      <c r="I910" s="488"/>
    </row>
    <row r="911" spans="1:9" ht="12.75" customHeight="1">
      <c r="A911" s="172"/>
      <c r="B911" s="172"/>
      <c r="C911" s="172"/>
      <c r="D911" s="1556" t="s">
        <v>1761</v>
      </c>
      <c r="E911" s="1556"/>
      <c r="F911" s="1556"/>
      <c r="G911" s="980"/>
      <c r="I911" s="488"/>
    </row>
    <row r="912" spans="1:9" ht="12.75" customHeight="1">
      <c r="A912" s="981"/>
      <c r="B912" s="981"/>
      <c r="C912" s="981"/>
      <c r="D912" s="2"/>
      <c r="E912" s="980"/>
      <c r="F912" s="980"/>
      <c r="G912" s="980"/>
      <c r="I912" s="488"/>
    </row>
    <row r="913" spans="1:9" ht="12.75" customHeight="1">
      <c r="A913" s="175"/>
      <c r="B913" s="483" t="s">
        <v>306</v>
      </c>
      <c r="C913" s="352"/>
      <c r="D913" s="1528" t="s">
        <v>1765</v>
      </c>
      <c r="E913" s="1528"/>
      <c r="F913" s="1528"/>
      <c r="G913" s="3"/>
      <c r="I913" s="488"/>
    </row>
    <row r="914" spans="1:9" ht="12.75" customHeight="1">
      <c r="A914" s="352"/>
      <c r="B914" s="352"/>
      <c r="C914" s="352"/>
      <c r="D914" s="1528"/>
      <c r="E914" s="1528"/>
      <c r="F914" s="1528"/>
      <c r="G914" s="3"/>
      <c r="I914" s="488"/>
    </row>
    <row r="915" spans="1:9" ht="12.75" customHeight="1">
      <c r="A915" s="172"/>
      <c r="B915" s="172"/>
      <c r="C915" s="172"/>
      <c r="D915" s="1528" t="s">
        <v>1764</v>
      </c>
      <c r="E915" s="1528"/>
      <c r="F915" s="1528"/>
      <c r="G915" s="980"/>
      <c r="I915" s="488"/>
    </row>
    <row r="916" spans="1:9" ht="12.75" customHeight="1">
      <c r="A916" s="172"/>
      <c r="B916" s="172"/>
      <c r="C916" s="172"/>
      <c r="D916" s="1528"/>
      <c r="E916" s="1528"/>
      <c r="F916" s="1528"/>
      <c r="G916" s="980"/>
      <c r="I916" s="488"/>
    </row>
    <row r="917" spans="1:9" ht="12.75" customHeight="1">
      <c r="A917" s="172"/>
      <c r="B917" s="172"/>
      <c r="C917" s="172"/>
      <c r="D917" s="3"/>
      <c r="E917" s="3"/>
      <c r="F917" s="980"/>
      <c r="G917" s="980"/>
      <c r="I917" s="488"/>
    </row>
    <row r="918" spans="1:9" ht="12.75" customHeight="1">
      <c r="A918" s="175"/>
      <c r="B918" s="483" t="s">
        <v>306</v>
      </c>
      <c r="C918" s="174"/>
      <c r="D918" s="1539" t="s">
        <v>1762</v>
      </c>
      <c r="E918" s="1539"/>
      <c r="F918" s="1539"/>
      <c r="G918" s="980"/>
      <c r="I918" s="488"/>
    </row>
    <row r="919" spans="1:9" ht="12.75" customHeight="1">
      <c r="A919" s="175"/>
      <c r="B919" s="175"/>
      <c r="C919" s="174"/>
      <c r="D919" s="1539"/>
      <c r="E919" s="1539"/>
      <c r="F919" s="1539"/>
      <c r="G919" s="980"/>
      <c r="I919" s="488"/>
    </row>
    <row r="920" spans="1:9" ht="12.75" customHeight="1">
      <c r="A920" s="175"/>
      <c r="B920" s="175"/>
      <c r="C920" s="174"/>
      <c r="D920" s="1539"/>
      <c r="E920" s="1539"/>
      <c r="F920" s="1539"/>
      <c r="G920" s="980"/>
      <c r="I920" s="488"/>
    </row>
    <row r="921" spans="1:9" ht="12.75" customHeight="1">
      <c r="A921" s="175"/>
      <c r="B921" s="175"/>
      <c r="C921" s="174"/>
      <c r="D921" s="1539"/>
      <c r="E921" s="1539"/>
      <c r="F921" s="1539"/>
      <c r="G921" s="980"/>
      <c r="I921" s="488"/>
    </row>
    <row r="922" spans="1:9" ht="12.75" customHeight="1">
      <c r="A922" s="175"/>
      <c r="B922" s="175"/>
      <c r="C922" s="174"/>
      <c r="D922" s="1539"/>
      <c r="E922" s="1539"/>
      <c r="F922" s="1539"/>
      <c r="G922" s="980"/>
      <c r="I922" s="488"/>
    </row>
    <row r="923" spans="1:9" ht="12.75" customHeight="1">
      <c r="A923" s="174"/>
      <c r="B923" s="174"/>
      <c r="C923" s="174"/>
      <c r="D923" s="1539"/>
      <c r="E923" s="1539"/>
      <c r="F923" s="1539"/>
      <c r="G923" s="980"/>
      <c r="I923" s="488"/>
    </row>
    <row r="924" spans="1:9" ht="12.75" customHeight="1">
      <c r="A924" s="174"/>
      <c r="B924" s="174"/>
      <c r="C924" s="174"/>
      <c r="D924" s="1539"/>
      <c r="E924" s="1539"/>
      <c r="F924" s="1539"/>
      <c r="G924" s="980"/>
      <c r="I924" s="488"/>
    </row>
    <row r="925" spans="1:9" ht="12.75" customHeight="1">
      <c r="A925" s="174"/>
      <c r="B925" s="174"/>
      <c r="C925" s="174"/>
      <c r="D925" s="1539"/>
      <c r="E925" s="1539"/>
      <c r="F925" s="1539"/>
      <c r="G925" s="980"/>
      <c r="I925" s="488"/>
    </row>
    <row r="926" spans="1:9" ht="12.75" customHeight="1">
      <c r="A926" s="174"/>
      <c r="B926" s="174"/>
      <c r="C926" s="174"/>
      <c r="D926" s="333"/>
      <c r="E926" s="333"/>
      <c r="F926" s="333"/>
      <c r="G926" s="980"/>
      <c r="I926" s="488"/>
    </row>
    <row r="927" spans="1:9" ht="12.75" customHeight="1">
      <c r="A927" s="981"/>
      <c r="B927" s="483" t="s">
        <v>306</v>
      </c>
      <c r="C927" s="981"/>
      <c r="D927" s="1528" t="s">
        <v>1766</v>
      </c>
      <c r="E927" s="1528"/>
      <c r="F927" s="1528"/>
      <c r="G927" s="980"/>
      <c r="I927" s="488"/>
    </row>
    <row r="928" spans="1:9" ht="12.75" customHeight="1">
      <c r="A928" s="981"/>
      <c r="B928" s="981"/>
      <c r="C928" s="981"/>
      <c r="D928" s="1528"/>
      <c r="E928" s="1528"/>
      <c r="F928" s="1528"/>
      <c r="G928" s="980"/>
      <c r="I928" s="488"/>
    </row>
    <row r="929" spans="1:9" ht="12.75" customHeight="1">
      <c r="A929" s="981"/>
      <c r="B929" s="981"/>
      <c r="C929" s="981"/>
      <c r="D929" s="980"/>
      <c r="E929" s="980"/>
      <c r="F929" s="980"/>
      <c r="G929" s="980"/>
      <c r="I929" s="488"/>
    </row>
    <row r="930" spans="1:9" ht="12.75" customHeight="1">
      <c r="A930" s="981"/>
      <c r="B930" s="483" t="s">
        <v>306</v>
      </c>
      <c r="C930" s="981"/>
      <c r="D930" s="1554" t="s">
        <v>1767</v>
      </c>
      <c r="E930" s="1554"/>
      <c r="F930" s="1554"/>
      <c r="G930" s="980"/>
      <c r="I930" s="488"/>
    </row>
    <row r="931" spans="1:9" ht="12.75" customHeight="1">
      <c r="A931" s="981"/>
      <c r="B931" s="981"/>
      <c r="C931" s="981"/>
      <c r="D931" s="1554"/>
      <c r="E931" s="1554"/>
      <c r="F931" s="1554"/>
      <c r="G931" s="980"/>
      <c r="I931" s="488"/>
    </row>
    <row r="932" spans="1:9" ht="12.75" customHeight="1">
      <c r="A932" s="981"/>
      <c r="B932" s="981"/>
      <c r="C932" s="981"/>
      <c r="D932" s="1554"/>
      <c r="E932" s="1554"/>
      <c r="F932" s="1554"/>
      <c r="G932" s="980"/>
      <c r="I932" s="488"/>
    </row>
    <row r="933" spans="1:9" ht="12.75" customHeight="1">
      <c r="A933" s="981"/>
      <c r="B933" s="981"/>
      <c r="C933" s="981"/>
      <c r="D933" s="1554"/>
      <c r="E933" s="1554"/>
      <c r="F933" s="1554"/>
      <c r="G933" s="980"/>
      <c r="I933" s="488"/>
    </row>
    <row r="934" spans="1:9" ht="12.75" customHeight="1">
      <c r="A934" s="981"/>
      <c r="B934" s="981"/>
      <c r="C934" s="981"/>
      <c r="D934" s="118"/>
      <c r="E934" s="980"/>
      <c r="F934" s="980"/>
      <c r="G934" s="980"/>
      <c r="I934" s="488"/>
    </row>
    <row r="935" spans="1:9" ht="12.75" customHeight="1">
      <c r="A935" s="981"/>
      <c r="B935" s="483" t="s">
        <v>306</v>
      </c>
      <c r="C935" s="981"/>
      <c r="D935" s="1556" t="s">
        <v>2024</v>
      </c>
      <c r="E935" s="1556"/>
      <c r="F935" s="1556"/>
      <c r="G935" s="980"/>
      <c r="I935" s="488"/>
    </row>
    <row r="936" spans="1:9" ht="12.75" customHeight="1">
      <c r="A936" s="981"/>
      <c r="B936" s="981"/>
      <c r="C936" s="981"/>
      <c r="D936" s="118"/>
      <c r="E936" s="980"/>
      <c r="F936" s="980"/>
      <c r="G936" s="980"/>
      <c r="I936" s="488"/>
    </row>
    <row r="937" spans="1:9" ht="12.75" customHeight="1">
      <c r="A937" s="981"/>
      <c r="B937" s="483" t="s">
        <v>306</v>
      </c>
      <c r="C937" s="981"/>
      <c r="D937" s="1556" t="s">
        <v>2025</v>
      </c>
      <c r="E937" s="1556"/>
      <c r="F937" s="1556"/>
      <c r="G937" s="980"/>
      <c r="I937" s="488"/>
    </row>
    <row r="938" spans="1:9" ht="12.75" customHeight="1">
      <c r="A938" s="174"/>
      <c r="B938" s="174"/>
      <c r="C938" s="174"/>
      <c r="D938" s="2"/>
      <c r="E938" s="3"/>
      <c r="F938" s="980"/>
      <c r="G938" s="980"/>
      <c r="I938" s="488"/>
    </row>
    <row r="939" spans="1:9" ht="12.75" customHeight="1">
      <c r="A939" s="989"/>
      <c r="B939" s="483" t="s">
        <v>306</v>
      </c>
      <c r="C939" s="990"/>
      <c r="D939" s="1539" t="s">
        <v>1763</v>
      </c>
      <c r="E939" s="1539"/>
      <c r="F939" s="1539"/>
      <c r="G939" s="991"/>
      <c r="I939" s="488"/>
    </row>
    <row r="940" spans="1:9" ht="12.75" customHeight="1">
      <c r="A940" s="989"/>
      <c r="B940" s="989"/>
      <c r="C940" s="990"/>
      <c r="D940" s="1539"/>
      <c r="E940" s="1539"/>
      <c r="F940" s="1539"/>
      <c r="G940" s="991"/>
      <c r="I940" s="488"/>
    </row>
    <row r="941" spans="1:9" ht="12.75" customHeight="1">
      <c r="A941" s="989"/>
      <c r="B941" s="989"/>
      <c r="C941" s="990"/>
      <c r="D941" s="1539"/>
      <c r="E941" s="1539"/>
      <c r="F941" s="1539"/>
      <c r="G941" s="991"/>
      <c r="I941" s="488"/>
    </row>
    <row r="942" spans="1:9" ht="12.75" customHeight="1">
      <c r="A942" s="989"/>
      <c r="B942" s="989"/>
      <c r="C942" s="990"/>
      <c r="D942" s="1539"/>
      <c r="E942" s="1539"/>
      <c r="F942" s="1539"/>
      <c r="G942" s="991"/>
      <c r="I942" s="488"/>
    </row>
    <row r="943" spans="1:9" ht="12.75" customHeight="1">
      <c r="A943" s="989"/>
      <c r="B943" s="989"/>
      <c r="C943" s="990"/>
      <c r="D943" s="1539"/>
      <c r="E943" s="1539"/>
      <c r="F943" s="1539"/>
      <c r="G943" s="991"/>
      <c r="I943" s="488"/>
    </row>
    <row r="944" spans="1:9" ht="12.75" customHeight="1">
      <c r="A944" s="989"/>
      <c r="B944" s="989"/>
      <c r="C944" s="990"/>
      <c r="D944" s="1539"/>
      <c r="E944" s="1539"/>
      <c r="F944" s="1539"/>
      <c r="G944" s="991"/>
      <c r="I944" s="488"/>
    </row>
    <row r="945" spans="1:9" ht="12.75" customHeight="1">
      <c r="A945" s="989"/>
      <c r="B945" s="989"/>
      <c r="C945" s="990"/>
      <c r="D945" s="1539"/>
      <c r="E945" s="1539"/>
      <c r="F945" s="1539"/>
      <c r="G945" s="991"/>
      <c r="I945" s="488"/>
    </row>
    <row r="946" spans="1:9" ht="12.75" customHeight="1">
      <c r="A946" s="989"/>
      <c r="B946" s="989"/>
      <c r="C946" s="990"/>
      <c r="D946" s="1539"/>
      <c r="E946" s="1539"/>
      <c r="F946" s="1539"/>
      <c r="G946" s="991"/>
      <c r="I946" s="488"/>
    </row>
    <row r="947" spans="1:9" ht="12.75" customHeight="1">
      <c r="A947" s="989"/>
      <c r="B947" s="989"/>
      <c r="C947" s="990"/>
      <c r="D947" s="1539"/>
      <c r="E947" s="1539"/>
      <c r="F947" s="1539"/>
      <c r="G947" s="991"/>
      <c r="I947" s="488"/>
    </row>
    <row r="948" spans="1:9" ht="12.75" customHeight="1">
      <c r="A948" s="174"/>
      <c r="B948" s="174"/>
      <c r="C948" s="174"/>
      <c r="D948" s="2"/>
      <c r="E948" s="3"/>
      <c r="F948" s="980"/>
      <c r="G948" s="980"/>
      <c r="I948" s="488"/>
    </row>
    <row r="949" spans="1:9" ht="12.75" customHeight="1">
      <c r="A949" s="175"/>
      <c r="B949" s="483" t="s">
        <v>306</v>
      </c>
      <c r="C949" s="174"/>
      <c r="D949" s="1564" t="s">
        <v>1857</v>
      </c>
      <c r="E949" s="1564"/>
      <c r="F949" s="1564"/>
      <c r="G949" s="980"/>
      <c r="I949" s="488"/>
    </row>
    <row r="950" spans="1:9" ht="12.75" customHeight="1">
      <c r="A950" s="175"/>
      <c r="B950" s="175"/>
      <c r="C950" s="174"/>
      <c r="D950" s="1564"/>
      <c r="E950" s="1564"/>
      <c r="F950" s="1564"/>
      <c r="G950" s="980"/>
      <c r="I950" s="488"/>
    </row>
    <row r="951" spans="1:9" ht="12.75" customHeight="1">
      <c r="A951" s="175"/>
      <c r="B951" s="175"/>
      <c r="C951" s="174"/>
      <c r="D951" s="1564"/>
      <c r="E951" s="1564"/>
      <c r="F951" s="1564"/>
      <c r="G951" s="980"/>
      <c r="I951" s="488"/>
    </row>
    <row r="952" spans="1:9" ht="12.75" customHeight="1">
      <c r="A952" s="175"/>
      <c r="B952" s="175"/>
      <c r="C952" s="174"/>
      <c r="D952" s="1564"/>
      <c r="E952" s="1564"/>
      <c r="F952" s="1564"/>
      <c r="G952" s="980"/>
      <c r="I952" s="488"/>
    </row>
    <row r="953" spans="1:9" ht="12.75" customHeight="1">
      <c r="A953" s="175"/>
      <c r="B953" s="175"/>
      <c r="C953" s="174"/>
      <c r="D953" s="1564"/>
      <c r="E953" s="1564"/>
      <c r="F953" s="1564"/>
      <c r="G953" s="980"/>
      <c r="I953" s="488"/>
    </row>
    <row r="954" spans="1:9" ht="12.75" customHeight="1">
      <c r="A954" s="175"/>
      <c r="B954" s="175"/>
      <c r="C954" s="174"/>
      <c r="D954" s="1564"/>
      <c r="E954" s="1564"/>
      <c r="F954" s="1564"/>
      <c r="G954" s="980"/>
      <c r="I954" s="488"/>
    </row>
    <row r="955" spans="1:9" ht="12.75" customHeight="1">
      <c r="A955" s="175"/>
      <c r="B955" s="175"/>
      <c r="C955" s="174"/>
      <c r="D955" s="1564"/>
      <c r="E955" s="1564"/>
      <c r="F955" s="1564"/>
      <c r="G955" s="980"/>
      <c r="I955" s="488"/>
    </row>
    <row r="956" spans="1:9" ht="12.75" customHeight="1">
      <c r="A956" s="175"/>
      <c r="B956" s="175"/>
      <c r="C956" s="174"/>
      <c r="D956" s="1018"/>
      <c r="E956" s="1018"/>
      <c r="F956" s="1018"/>
      <c r="G956" s="980"/>
      <c r="I956" s="488"/>
    </row>
    <row r="957" spans="1:9" ht="12.75" customHeight="1">
      <c r="A957" s="175"/>
      <c r="B957" s="483" t="s">
        <v>306</v>
      </c>
      <c r="C957" s="174"/>
      <c r="D957" s="1538" t="s">
        <v>2089</v>
      </c>
      <c r="E957" s="1538"/>
      <c r="F957" s="1538"/>
      <c r="G957" s="980"/>
      <c r="I957" s="488"/>
    </row>
    <row r="958" spans="1:9" ht="12.75" customHeight="1">
      <c r="A958" s="175"/>
      <c r="B958" s="175"/>
      <c r="C958" s="174"/>
      <c r="D958" s="1538"/>
      <c r="E958" s="1538"/>
      <c r="F958" s="1538"/>
      <c r="G958" s="980"/>
      <c r="I958" s="488"/>
    </row>
    <row r="959" spans="1:9" ht="12.75" customHeight="1">
      <c r="A959" s="175"/>
      <c r="B959" s="175"/>
      <c r="C959" s="174"/>
      <c r="D959" s="1538"/>
      <c r="E959" s="1538"/>
      <c r="F959" s="1538"/>
      <c r="G959" s="980"/>
      <c r="I959" s="488"/>
    </row>
    <row r="960" spans="1:9" ht="12.75" customHeight="1">
      <c r="A960" s="175"/>
      <c r="B960" s="175"/>
      <c r="C960" s="174"/>
      <c r="D960" s="1538"/>
      <c r="E960" s="1538"/>
      <c r="F960" s="1538"/>
      <c r="G960" s="980"/>
      <c r="I960" s="488"/>
    </row>
    <row r="961" spans="1:9" ht="12.75" customHeight="1">
      <c r="A961" s="175"/>
      <c r="B961" s="175"/>
      <c r="C961" s="174"/>
      <c r="D961" s="1538"/>
      <c r="E961" s="1538"/>
      <c r="F961" s="1538"/>
      <c r="G961" s="980"/>
      <c r="I961" s="488"/>
    </row>
    <row r="962" spans="1:9" ht="12.75" customHeight="1">
      <c r="A962" s="175"/>
      <c r="B962" s="175"/>
      <c r="C962" s="174"/>
      <c r="D962" s="1538"/>
      <c r="E962" s="1538"/>
      <c r="F962" s="1538"/>
      <c r="G962" s="980"/>
      <c r="I962" s="488"/>
    </row>
    <row r="963" spans="1:9" ht="12.75" customHeight="1">
      <c r="A963" s="175"/>
      <c r="B963" s="175"/>
      <c r="C963" s="174"/>
      <c r="D963" s="1018"/>
      <c r="E963" s="1018"/>
      <c r="F963" s="1018"/>
      <c r="G963" s="980"/>
      <c r="I963" s="488"/>
    </row>
    <row r="964" spans="1:9" ht="12.75" customHeight="1">
      <c r="A964" s="981"/>
      <c r="B964" s="483" t="s">
        <v>306</v>
      </c>
      <c r="C964" s="981"/>
      <c r="D964" s="1554" t="s">
        <v>1768</v>
      </c>
      <c r="E964" s="1554"/>
      <c r="F964" s="1554"/>
      <c r="G964" s="980"/>
      <c r="I964" s="488"/>
    </row>
    <row r="965" spans="1:9" ht="12.75" customHeight="1">
      <c r="A965" s="981"/>
      <c r="B965" s="981"/>
      <c r="C965" s="981"/>
      <c r="D965" s="1554"/>
      <c r="E965" s="1554"/>
      <c r="F965" s="1554"/>
      <c r="G965" s="980"/>
      <c r="I965" s="488"/>
    </row>
    <row r="966" spans="1:9" ht="12.75" customHeight="1">
      <c r="A966" s="981"/>
      <c r="B966" s="981"/>
      <c r="C966" s="981"/>
      <c r="D966" s="1554"/>
      <c r="E966" s="1554"/>
      <c r="F966" s="1554"/>
      <c r="G966" s="980"/>
      <c r="I966" s="488"/>
    </row>
    <row r="967" spans="1:9" ht="12.75" customHeight="1">
      <c r="A967" s="175"/>
      <c r="B967" s="175"/>
      <c r="C967" s="174"/>
      <c r="D967" s="1018"/>
      <c r="E967" s="1018"/>
      <c r="F967" s="1018"/>
      <c r="G967" s="980"/>
      <c r="I967" s="488"/>
    </row>
    <row r="968" spans="1:9" ht="12.75" customHeight="1">
      <c r="A968" s="175"/>
      <c r="B968" s="175"/>
      <c r="C968" s="174"/>
      <c r="D968" s="838"/>
      <c r="E968" s="3"/>
      <c r="F968" s="980"/>
      <c r="G968" s="980"/>
      <c r="I968" s="488"/>
    </row>
    <row r="969" spans="1:9" ht="12.75" customHeight="1">
      <c r="A969" s="175"/>
      <c r="B969" s="483" t="s">
        <v>306</v>
      </c>
      <c r="C969" s="174"/>
      <c r="D969" s="1539" t="s">
        <v>1856</v>
      </c>
      <c r="E969" s="1539"/>
      <c r="F969" s="1539"/>
      <c r="G969" s="980"/>
      <c r="I969" s="488"/>
    </row>
    <row r="970" spans="1:9" ht="12.75" customHeight="1">
      <c r="A970" s="175"/>
      <c r="B970" s="175"/>
      <c r="C970" s="174"/>
      <c r="D970" s="1539"/>
      <c r="E970" s="1539"/>
      <c r="F970" s="1539"/>
      <c r="G970" s="980"/>
      <c r="I970" s="488"/>
    </row>
    <row r="971" spans="1:9" ht="12.75" customHeight="1">
      <c r="A971" s="175"/>
      <c r="B971" s="175"/>
      <c r="C971" s="174"/>
      <c r="D971" s="1539"/>
      <c r="E971" s="1539"/>
      <c r="F971" s="1539"/>
      <c r="G971" s="980"/>
      <c r="I971" s="488"/>
    </row>
    <row r="972" spans="1:9" ht="12.75" customHeight="1">
      <c r="A972" s="175"/>
      <c r="B972" s="175"/>
      <c r="C972" s="174"/>
      <c r="D972" s="1539"/>
      <c r="E972" s="1539"/>
      <c r="F972" s="1539"/>
      <c r="G972" s="980"/>
      <c r="I972" s="488"/>
    </row>
    <row r="973" spans="1:9" ht="12.75" customHeight="1">
      <c r="A973" s="981"/>
      <c r="B973" s="981"/>
      <c r="C973" s="981"/>
      <c r="D973" s="972"/>
      <c r="E973" s="972"/>
      <c r="F973" s="972"/>
      <c r="G973" s="972"/>
      <c r="I973" s="488"/>
    </row>
    <row r="974" spans="1:9" ht="12.75" customHeight="1">
      <c r="A974" s="352"/>
      <c r="B974" s="352"/>
      <c r="C974" s="352"/>
      <c r="D974" s="1555" t="s">
        <v>1769</v>
      </c>
      <c r="E974" s="1555"/>
      <c r="F974" s="1555"/>
      <c r="G974" s="3"/>
      <c r="I974" s="488"/>
    </row>
    <row r="975" spans="1:9" ht="12.75" customHeight="1">
      <c r="A975" s="175"/>
      <c r="B975" s="483" t="s">
        <v>306</v>
      </c>
      <c r="C975" s="352"/>
      <c r="D975" s="1556" t="s">
        <v>1792</v>
      </c>
      <c r="E975" s="1556"/>
      <c r="F975" s="1556"/>
      <c r="G975" s="3"/>
      <c r="I975" s="488"/>
    </row>
    <row r="976" spans="1:9" ht="12.75" customHeight="1">
      <c r="A976" s="352"/>
      <c r="B976" s="352"/>
      <c r="C976" s="352"/>
      <c r="D976" s="3"/>
      <c r="E976" s="3"/>
      <c r="F976" s="3"/>
      <c r="G976" s="3"/>
      <c r="I976" s="488"/>
    </row>
    <row r="977" spans="1:9" ht="12.75" customHeight="1">
      <c r="A977" s="352"/>
      <c r="B977" s="352"/>
      <c r="C977" s="352"/>
      <c r="D977" s="1555" t="s">
        <v>1770</v>
      </c>
      <c r="E977" s="1555"/>
      <c r="F977" s="1555"/>
      <c r="G977"/>
      <c r="I977" s="488"/>
    </row>
    <row r="978" spans="1:9" ht="12.75" customHeight="1">
      <c r="A978" s="175"/>
      <c r="B978" s="483" t="s">
        <v>306</v>
      </c>
      <c r="C978" s="352"/>
      <c r="D978" s="1528" t="s">
        <v>2026</v>
      </c>
      <c r="E978" s="1528"/>
      <c r="F978" s="1528"/>
      <c r="G978"/>
      <c r="I978" s="488"/>
    </row>
    <row r="979" spans="1:9" ht="12.75" customHeight="1">
      <c r="A979" s="175"/>
      <c r="B979" s="175"/>
      <c r="C979" s="352"/>
      <c r="D979" s="1528"/>
      <c r="E979" s="1528"/>
      <c r="F979" s="1528"/>
      <c r="G979"/>
      <c r="I979" s="488"/>
    </row>
    <row r="980" spans="1:9" ht="12.75" customHeight="1">
      <c r="A980" s="175"/>
      <c r="B980" s="175"/>
      <c r="C980" s="352"/>
      <c r="D980" s="1528"/>
      <c r="E980" s="1528"/>
      <c r="F980" s="1528"/>
      <c r="G980"/>
      <c r="I980" s="488"/>
    </row>
    <row r="981" spans="1:9" ht="12.75" customHeight="1">
      <c r="A981" s="175"/>
      <c r="B981" s="175"/>
      <c r="C981" s="352"/>
      <c r="D981" s="1528"/>
      <c r="E981" s="1528"/>
      <c r="F981" s="1528"/>
      <c r="G981"/>
      <c r="I981" s="488"/>
    </row>
    <row r="982" spans="1:9" ht="12.75" customHeight="1">
      <c r="A982" s="175"/>
      <c r="B982" s="175"/>
      <c r="C982" s="352"/>
      <c r="D982" s="1528"/>
      <c r="E982" s="1528"/>
      <c r="F982" s="1528"/>
      <c r="G982"/>
      <c r="I982" s="488"/>
    </row>
    <row r="983" spans="1:9" ht="12.75" customHeight="1">
      <c r="A983" s="175"/>
      <c r="B983" s="175"/>
      <c r="C983" s="352"/>
      <c r="D983" s="1528"/>
      <c r="E983" s="1528"/>
      <c r="F983" s="1528"/>
      <c r="G983"/>
      <c r="I983" s="488"/>
    </row>
    <row r="984" spans="1:9" ht="12.75" customHeight="1">
      <c r="A984" s="175"/>
      <c r="B984" s="175"/>
      <c r="C984" s="352"/>
      <c r="D984" s="1528"/>
      <c r="E984" s="1528"/>
      <c r="F984" s="1528"/>
      <c r="G984"/>
      <c r="I984" s="488"/>
    </row>
    <row r="985" spans="1:9" ht="12.75" customHeight="1">
      <c r="A985" s="175"/>
      <c r="B985" s="175"/>
      <c r="C985" s="352"/>
      <c r="D985" s="1528"/>
      <c r="E985" s="1528"/>
      <c r="F985" s="1528"/>
      <c r="G985"/>
      <c r="I985" s="488"/>
    </row>
    <row r="986" spans="1:9" ht="12.75" customHeight="1">
      <c r="A986" s="175"/>
      <c r="B986" s="175"/>
      <c r="C986" s="352"/>
      <c r="D986" s="1528"/>
      <c r="E986" s="1528"/>
      <c r="F986" s="1528"/>
      <c r="G986"/>
      <c r="I986" s="488"/>
    </row>
    <row r="987" spans="1:9" ht="12.75" customHeight="1">
      <c r="A987" s="175"/>
      <c r="B987" s="175"/>
      <c r="C987" s="352"/>
      <c r="D987" s="1528"/>
      <c r="E987" s="1528"/>
      <c r="F987" s="1528"/>
      <c r="G987"/>
      <c r="I987" s="488"/>
    </row>
    <row r="988" spans="1:9" ht="12.75" customHeight="1">
      <c r="A988" s="175"/>
      <c r="B988" s="175"/>
      <c r="C988" s="352"/>
      <c r="D988" s="1528"/>
      <c r="E988" s="1528"/>
      <c r="F988" s="1528"/>
      <c r="G988"/>
      <c r="I988" s="488"/>
    </row>
    <row r="989" spans="1:9" ht="12.75" customHeight="1">
      <c r="A989" s="175"/>
      <c r="B989" s="175"/>
      <c r="C989" s="352"/>
      <c r="D989" s="1528"/>
      <c r="E989" s="1528"/>
      <c r="F989" s="1528"/>
      <c r="G989"/>
      <c r="I989" s="488"/>
    </row>
    <row r="990" spans="1:9" ht="12.75" customHeight="1">
      <c r="A990" s="175"/>
      <c r="B990" s="175"/>
      <c r="C990" s="352"/>
      <c r="D990" s="1528"/>
      <c r="E990" s="1528"/>
      <c r="F990" s="1528"/>
      <c r="G990"/>
      <c r="I990" s="488"/>
    </row>
    <row r="991" spans="1:9" ht="12.75" customHeight="1">
      <c r="A991" s="175"/>
      <c r="B991" s="175"/>
      <c r="C991" s="352"/>
      <c r="D991" s="1528"/>
      <c r="E991" s="1528"/>
      <c r="F991" s="1528"/>
      <c r="G991"/>
      <c r="I991" s="488"/>
    </row>
    <row r="992" spans="1:9" ht="12.75" customHeight="1">
      <c r="A992" s="175"/>
      <c r="B992" s="175"/>
      <c r="C992" s="352"/>
      <c r="D992" s="1528"/>
      <c r="E992" s="1528"/>
      <c r="F992" s="1528"/>
      <c r="G992" s="3"/>
      <c r="I992" s="488"/>
    </row>
    <row r="993" spans="1:9" ht="12.75" customHeight="1">
      <c r="A993" s="352"/>
      <c r="B993" s="352"/>
      <c r="C993" s="352"/>
      <c r="D993" s="3"/>
      <c r="E993" s="3"/>
      <c r="F993" s="3"/>
      <c r="G993" s="3"/>
      <c r="I993" s="488"/>
    </row>
    <row r="994" spans="1:9" ht="12.75" customHeight="1">
      <c r="A994" s="1552" t="s">
        <v>1771</v>
      </c>
      <c r="B994" s="1552"/>
      <c r="C994" s="1552"/>
      <c r="D994" s="1552"/>
      <c r="E994" s="1552"/>
      <c r="F994" s="1552"/>
      <c r="G994" s="1552"/>
      <c r="H994" s="1020"/>
      <c r="I994" s="1142"/>
    </row>
    <row r="995" spans="1:9" ht="12.75" customHeight="1">
      <c r="A995" s="118"/>
      <c r="B995" s="118"/>
      <c r="C995" s="352"/>
      <c r="D995" s="3"/>
      <c r="E995" s="3"/>
      <c r="F995" s="3"/>
      <c r="G995" s="3"/>
      <c r="I995" s="488"/>
    </row>
    <row r="996" spans="1:9" ht="12.75" customHeight="1">
      <c r="A996" s="352"/>
      <c r="B996" s="352"/>
      <c r="C996" s="981"/>
      <c r="D996" s="1555" t="s">
        <v>1793</v>
      </c>
      <c r="E996" s="1555"/>
      <c r="F996" s="1555"/>
      <c r="G996" s="3"/>
      <c r="I996" s="488"/>
    </row>
    <row r="997" spans="1:9" ht="12.75" customHeight="1">
      <c r="A997" s="172"/>
      <c r="B997" s="172"/>
      <c r="C997" s="172"/>
      <c r="D997" s="1556" t="s">
        <v>1772</v>
      </c>
      <c r="E997" s="1556"/>
      <c r="F997" s="1556"/>
      <c r="G997" s="3"/>
      <c r="I997" s="488"/>
    </row>
    <row r="998" spans="1:9" ht="12.75" customHeight="1">
      <c r="A998" s="172"/>
      <c r="B998" s="172"/>
      <c r="C998" s="172"/>
      <c r="D998" s="3"/>
      <c r="E998" s="3"/>
      <c r="F998" s="980"/>
      <c r="G998"/>
      <c r="I998" s="488"/>
    </row>
    <row r="999" spans="1:9" ht="12.75" customHeight="1">
      <c r="A999" s="352"/>
      <c r="B999" s="483" t="s">
        <v>306</v>
      </c>
      <c r="C999" s="352"/>
      <c r="D999" s="1557" t="s">
        <v>1885</v>
      </c>
      <c r="E999" s="1557"/>
      <c r="F999" s="1557"/>
      <c r="G999"/>
      <c r="I999" s="488"/>
    </row>
    <row r="1000" spans="1:9" ht="12.75" customHeight="1">
      <c r="A1000" s="352"/>
      <c r="B1000" s="352"/>
      <c r="C1000" s="352"/>
      <c r="D1000" s="1557"/>
      <c r="E1000" s="1557"/>
      <c r="F1000" s="1557"/>
      <c r="G1000"/>
      <c r="I1000" s="488"/>
    </row>
    <row r="1001" spans="1:9" ht="12.75" customHeight="1">
      <c r="A1001" s="352"/>
      <c r="B1001" s="352"/>
      <c r="C1001" s="352"/>
      <c r="D1001" s="1030"/>
      <c r="E1001" s="1028" t="s">
        <v>1886</v>
      </c>
      <c r="F1001" s="1030"/>
      <c r="G1001"/>
      <c r="I1001" s="488"/>
    </row>
    <row r="1002" spans="1:9" ht="12.75" customHeight="1">
      <c r="A1002" s="352"/>
      <c r="B1002" s="352"/>
      <c r="C1002" s="352"/>
      <c r="D1002" s="1533" t="s">
        <v>1884</v>
      </c>
      <c r="E1002" s="1533"/>
      <c r="F1002" s="1533"/>
      <c r="G1002"/>
      <c r="I1002" s="488"/>
    </row>
    <row r="1003" spans="1:9" ht="12.75" customHeight="1">
      <c r="A1003" s="352"/>
      <c r="B1003" s="352"/>
      <c r="C1003" s="352"/>
      <c r="D1003" s="1533"/>
      <c r="E1003" s="1533"/>
      <c r="F1003" s="1533"/>
      <c r="G1003"/>
      <c r="I1003" s="488"/>
    </row>
    <row r="1004" spans="1:9" ht="12.75" customHeight="1">
      <c r="A1004" s="174"/>
      <c r="B1004" s="174"/>
      <c r="C1004" s="174"/>
      <c r="D1004" s="1533"/>
      <c r="E1004" s="1533"/>
      <c r="F1004" s="1533"/>
      <c r="G1004"/>
      <c r="I1004" s="488"/>
    </row>
    <row r="1005" spans="1:9" ht="12.75" customHeight="1">
      <c r="A1005" s="174"/>
      <c r="B1005" s="174"/>
      <c r="C1005" s="174"/>
      <c r="D1005" s="1533"/>
      <c r="E1005" s="1533"/>
      <c r="F1005" s="1533"/>
      <c r="G1005"/>
      <c r="I1005" s="488"/>
    </row>
    <row r="1006" spans="1:9" ht="12.75" customHeight="1">
      <c r="A1006" s="174"/>
      <c r="B1006" s="174"/>
      <c r="C1006" s="174"/>
      <c r="D1006" s="333"/>
      <c r="E1006" s="333"/>
      <c r="F1006" s="333"/>
      <c r="G1006"/>
      <c r="I1006" s="488"/>
    </row>
    <row r="1007" spans="1:9" ht="12.75" customHeight="1">
      <c r="A1007" s="174"/>
      <c r="B1007" s="483" t="s">
        <v>306</v>
      </c>
      <c r="C1007" s="174"/>
      <c r="D1007" s="1528" t="s">
        <v>1773</v>
      </c>
      <c r="E1007" s="1528"/>
      <c r="F1007" s="1528"/>
      <c r="G1007"/>
      <c r="I1007" s="488"/>
    </row>
    <row r="1008" spans="1:9" ht="12.75" customHeight="1">
      <c r="A1008" s="174"/>
      <c r="B1008" s="174"/>
      <c r="C1008" s="174"/>
      <c r="D1008" s="1528"/>
      <c r="E1008" s="1528"/>
      <c r="F1008" s="1528"/>
      <c r="G1008"/>
      <c r="I1008" s="488"/>
    </row>
    <row r="1009" spans="1:9" ht="12.75" customHeight="1">
      <c r="A1009" s="174"/>
      <c r="B1009" s="174"/>
      <c r="C1009" s="174"/>
      <c r="D1009" s="1528"/>
      <c r="E1009" s="1528"/>
      <c r="F1009" s="1528"/>
      <c r="G1009"/>
      <c r="I1009" s="488"/>
    </row>
    <row r="1010" spans="1:9" ht="12.75" customHeight="1">
      <c r="A1010" s="174"/>
      <c r="B1010" s="174"/>
      <c r="C1010" s="174"/>
      <c r="D1010" s="1528"/>
      <c r="E1010" s="1528"/>
      <c r="F1010" s="1528"/>
      <c r="G1010"/>
      <c r="I1010" s="488"/>
    </row>
    <row r="1011" spans="1:9" ht="12.75" customHeight="1">
      <c r="A1011" s="174"/>
      <c r="B1011" s="174"/>
      <c r="C1011" s="174"/>
      <c r="D1011" s="439"/>
      <c r="E1011" s="439"/>
      <c r="F1011" s="439"/>
      <c r="G1011"/>
      <c r="I1011" s="488"/>
    </row>
    <row r="1012" spans="1:9" ht="12.75" customHeight="1">
      <c r="A1012" s="174"/>
      <c r="B1012" s="483" t="s">
        <v>306</v>
      </c>
      <c r="C1012" s="174"/>
      <c r="D1012" s="1528" t="s">
        <v>2180</v>
      </c>
      <c r="E1012" s="1528"/>
      <c r="F1012" s="1528"/>
      <c r="G1012"/>
      <c r="I1012" s="488"/>
    </row>
    <row r="1013" spans="1:9" ht="12.75" customHeight="1">
      <c r="A1013" s="174"/>
      <c r="B1013" s="174"/>
      <c r="C1013" s="174"/>
      <c r="D1013" s="1528"/>
      <c r="E1013" s="1528"/>
      <c r="F1013" s="1528"/>
      <c r="G1013"/>
      <c r="I1013" s="488"/>
    </row>
    <row r="1014" spans="1:9" ht="12.75" customHeight="1">
      <c r="A1014" s="174"/>
      <c r="B1014" s="174"/>
      <c r="C1014" s="174"/>
      <c r="D1014" s="439"/>
      <c r="E1014" s="439"/>
      <c r="F1014" s="439"/>
      <c r="G1014"/>
      <c r="I1014" s="488"/>
    </row>
    <row r="1015" spans="1:9" ht="12.75" customHeight="1">
      <c r="A1015" s="175"/>
      <c r="B1015" s="483" t="s">
        <v>306</v>
      </c>
      <c r="C1015" s="352"/>
      <c r="D1015" s="1556" t="s">
        <v>1774</v>
      </c>
      <c r="E1015" s="1556"/>
      <c r="F1015" s="1556"/>
      <c r="G1015"/>
      <c r="I1015" s="488"/>
    </row>
    <row r="1016" spans="1:9" ht="12.75" customHeight="1">
      <c r="A1016" s="352"/>
      <c r="B1016" s="352"/>
      <c r="C1016" s="352"/>
      <c r="D1016" s="3"/>
      <c r="E1016" s="3"/>
      <c r="F1016" s="3"/>
      <c r="G1016"/>
      <c r="I1016" s="488"/>
    </row>
    <row r="1017" spans="1:9" ht="12.75" customHeight="1">
      <c r="A1017" s="175"/>
      <c r="B1017" s="483" t="s">
        <v>306</v>
      </c>
      <c r="C1017" s="352"/>
      <c r="D1017" s="1556" t="s">
        <v>1775</v>
      </c>
      <c r="E1017" s="1556"/>
      <c r="F1017" s="1556"/>
      <c r="G1017"/>
      <c r="I1017" s="488"/>
    </row>
    <row r="1018" spans="1:9" ht="12.75" customHeight="1">
      <c r="A1018" s="352"/>
      <c r="B1018" s="352"/>
      <c r="C1018" s="352"/>
      <c r="D1018" s="118"/>
      <c r="E1018" s="3"/>
      <c r="F1018" s="3"/>
      <c r="G1018"/>
      <c r="I1018" s="488"/>
    </row>
    <row r="1019" spans="1:9" ht="12.75" customHeight="1">
      <c r="A1019" s="175"/>
      <c r="B1019" s="483" t="s">
        <v>306</v>
      </c>
      <c r="C1019" s="352"/>
      <c r="D1019" s="1556" t="s">
        <v>1776</v>
      </c>
      <c r="E1019" s="1556"/>
      <c r="F1019" s="1556"/>
      <c r="G1019"/>
      <c r="I1019" s="488"/>
    </row>
    <row r="1020" spans="1:9" ht="12.75" customHeight="1">
      <c r="A1020" s="352"/>
      <c r="B1020" s="352"/>
      <c r="C1020" s="352"/>
      <c r="D1020" s="118"/>
      <c r="E1020" s="3"/>
      <c r="F1020" s="3"/>
      <c r="G1020"/>
      <c r="I1020" s="488"/>
    </row>
    <row r="1021" spans="1:9" ht="12.75" customHeight="1">
      <c r="A1021" s="175"/>
      <c r="B1021" s="483" t="s">
        <v>306</v>
      </c>
      <c r="C1021" s="352"/>
      <c r="D1021" s="1528" t="s">
        <v>1777</v>
      </c>
      <c r="E1021" s="1528"/>
      <c r="F1021" s="1528"/>
      <c r="G1021"/>
      <c r="I1021" s="488"/>
    </row>
    <row r="1022" spans="1:9" ht="12.75" customHeight="1">
      <c r="A1022" s="175"/>
      <c r="B1022" s="175"/>
      <c r="C1022" s="352"/>
      <c r="D1022" s="1528"/>
      <c r="E1022" s="1528"/>
      <c r="F1022" s="1528"/>
      <c r="G1022"/>
      <c r="I1022" s="488"/>
    </row>
    <row r="1023" spans="1:9" ht="12.75" customHeight="1">
      <c r="A1023" s="175"/>
      <c r="B1023" s="175"/>
      <c r="C1023" s="352"/>
      <c r="D1023" s="118"/>
      <c r="E1023" s="3"/>
      <c r="F1023" s="3"/>
      <c r="G1023" s="3"/>
      <c r="I1023" s="488"/>
    </row>
    <row r="1024" spans="1:9" ht="12.75" customHeight="1">
      <c r="A1024" s="252"/>
      <c r="B1024" s="483" t="s">
        <v>306</v>
      </c>
      <c r="C1024" s="992"/>
      <c r="D1024" s="1558" t="s">
        <v>1778</v>
      </c>
      <c r="E1024" s="1558"/>
      <c r="F1024" s="1558"/>
      <c r="G1024" s="993"/>
      <c r="I1024" s="488"/>
    </row>
    <row r="1025" spans="1:9" ht="12.75" customHeight="1">
      <c r="A1025" s="992"/>
      <c r="B1025" s="992"/>
      <c r="C1025" s="992"/>
      <c r="D1025" s="1558"/>
      <c r="E1025" s="1558"/>
      <c r="F1025" s="1558"/>
      <c r="G1025" s="993"/>
      <c r="I1025" s="488"/>
    </row>
    <row r="1026" spans="1:9" ht="12.75" customHeight="1">
      <c r="A1026" s="992"/>
      <c r="B1026" s="992"/>
      <c r="C1026" s="992"/>
      <c r="D1026" s="976"/>
      <c r="E1026" s="993"/>
      <c r="F1026" s="993"/>
      <c r="G1026" s="993"/>
      <c r="I1026" s="488"/>
    </row>
    <row r="1027" spans="1:9" ht="12.75" customHeight="1">
      <c r="A1027" s="252"/>
      <c r="B1027" s="483" t="s">
        <v>306</v>
      </c>
      <c r="C1027" s="992"/>
      <c r="D1027" s="1551" t="s">
        <v>1779</v>
      </c>
      <c r="E1027" s="1551"/>
      <c r="F1027" s="1551"/>
      <c r="G1027" s="993"/>
      <c r="I1027" s="488"/>
    </row>
    <row r="1028" spans="1:9" ht="12.75" customHeight="1">
      <c r="A1028" s="992"/>
      <c r="B1028" s="992"/>
      <c r="C1028" s="992"/>
      <c r="D1028" s="976"/>
      <c r="E1028" s="993"/>
      <c r="F1028" s="993"/>
      <c r="G1028" s="993"/>
      <c r="I1028" s="488"/>
    </row>
    <row r="1029" spans="1:9" ht="12.75" customHeight="1">
      <c r="A1029" s="175"/>
      <c r="B1029" s="483" t="s">
        <v>306</v>
      </c>
      <c r="C1029" s="352"/>
      <c r="D1029" s="1556" t="s">
        <v>1780</v>
      </c>
      <c r="E1029" s="1556"/>
      <c r="F1029" s="1556"/>
      <c r="G1029" s="3"/>
      <c r="I1029" s="488"/>
    </row>
    <row r="1030" spans="1:9" ht="12.75" customHeight="1">
      <c r="A1030" s="175"/>
      <c r="B1030" s="175"/>
      <c r="C1030" s="352"/>
      <c r="D1030" s="118"/>
      <c r="E1030" s="3"/>
      <c r="F1030" s="3"/>
      <c r="G1030" s="3"/>
      <c r="I1030" s="488"/>
    </row>
    <row r="1031" spans="1:9" ht="12.75" customHeight="1">
      <c r="A1031" s="175"/>
      <c r="B1031" s="483" t="s">
        <v>306</v>
      </c>
      <c r="C1031" s="352"/>
      <c r="D1031" s="1528" t="s">
        <v>1781</v>
      </c>
      <c r="E1031" s="1528"/>
      <c r="F1031" s="1528"/>
      <c r="G1031" s="3"/>
      <c r="I1031" s="488"/>
    </row>
    <row r="1032" spans="1:9" ht="12.75" customHeight="1">
      <c r="A1032" s="175"/>
      <c r="B1032" s="175"/>
      <c r="C1032" s="352"/>
      <c r="D1032" s="1528"/>
      <c r="E1032" s="1528"/>
      <c r="F1032" s="1528"/>
      <c r="G1032" s="3"/>
      <c r="I1032" s="488"/>
    </row>
    <row r="1033" spans="1:9" ht="12.75" customHeight="1">
      <c r="A1033" s="352"/>
      <c r="B1033" s="352"/>
      <c r="C1033" s="352"/>
      <c r="D1033" s="3"/>
      <c r="E1033" s="3"/>
      <c r="F1033" s="3"/>
      <c r="G1033" s="3"/>
      <c r="I1033" s="488"/>
    </row>
    <row r="1034" spans="1:9" ht="12.75" customHeight="1">
      <c r="A1034" s="1552" t="s">
        <v>1782</v>
      </c>
      <c r="B1034" s="1552"/>
      <c r="C1034" s="1552"/>
      <c r="D1034" s="1552"/>
      <c r="E1034" s="1552"/>
      <c r="F1034" s="1552"/>
      <c r="G1034" s="1552"/>
      <c r="H1034" s="1020"/>
      <c r="I1034" s="1142"/>
    </row>
    <row r="1035" spans="1:9" ht="12.75" customHeight="1">
      <c r="A1035" s="352"/>
      <c r="B1035" s="352"/>
      <c r="C1035" s="352"/>
      <c r="D1035" s="3"/>
      <c r="E1035" s="3"/>
      <c r="F1035" s="3"/>
      <c r="G1035" s="3"/>
      <c r="I1035" s="488"/>
    </row>
    <row r="1036" spans="1:9" ht="12.75" customHeight="1">
      <c r="A1036" s="352"/>
      <c r="B1036" s="352"/>
      <c r="C1036" s="352"/>
      <c r="D1036" s="1550" t="s">
        <v>1783</v>
      </c>
      <c r="E1036" s="1550"/>
      <c r="F1036" s="1550"/>
      <c r="G1036" s="3"/>
      <c r="I1036" s="488"/>
    </row>
    <row r="1037" spans="1:9" ht="12.75" customHeight="1">
      <c r="A1037" s="352"/>
      <c r="B1037" s="352"/>
      <c r="C1037" s="352"/>
      <c r="D1037" s="1551" t="s">
        <v>1784</v>
      </c>
      <c r="E1037" s="1551"/>
      <c r="F1037" s="1551"/>
      <c r="G1037" s="3"/>
      <c r="I1037" s="488"/>
    </row>
    <row r="1038" spans="1:9" ht="12.75" customHeight="1">
      <c r="A1038" s="172"/>
      <c r="B1038" s="172"/>
      <c r="C1038" s="172"/>
      <c r="D1038" s="3"/>
      <c r="E1038" s="3"/>
      <c r="F1038" s="3"/>
      <c r="G1038" s="3"/>
      <c r="I1038" s="488"/>
    </row>
    <row r="1039" spans="1:9" ht="12.75" customHeight="1">
      <c r="A1039" s="175"/>
      <c r="B1039" s="175"/>
      <c r="C1039" s="174"/>
      <c r="D1039" s="1550" t="s">
        <v>1798</v>
      </c>
      <c r="E1039" s="1550"/>
      <c r="F1039" s="1550"/>
      <c r="G1039" s="3"/>
      <c r="I1039" s="488"/>
    </row>
    <row r="1040" spans="1:9" ht="12.75" customHeight="1">
      <c r="A1040" s="352"/>
      <c r="B1040" s="483" t="s">
        <v>306</v>
      </c>
      <c r="C1040" s="352"/>
      <c r="D1040" s="1551" t="s">
        <v>1268</v>
      </c>
      <c r="E1040" s="1551"/>
      <c r="F1040" s="1551"/>
      <c r="G1040" s="3"/>
      <c r="I1040" s="488"/>
    </row>
    <row r="1041" spans="1:9" ht="12.75" customHeight="1">
      <c r="A1041" s="352"/>
      <c r="B1041" s="175"/>
      <c r="C1041" s="352"/>
      <c r="D1041" s="1551" t="s">
        <v>1785</v>
      </c>
      <c r="E1041" s="1551"/>
      <c r="F1041" s="1551"/>
      <c r="G1041" s="3"/>
      <c r="I1041" s="488"/>
    </row>
    <row r="1042" spans="1:9" ht="12.75" customHeight="1">
      <c r="A1042" s="352"/>
      <c r="B1042" s="352"/>
      <c r="C1042" s="352"/>
      <c r="D1042" s="1551"/>
      <c r="E1042" s="1551"/>
      <c r="F1042" s="1551"/>
      <c r="G1042" s="3"/>
      <c r="I1042" s="488"/>
    </row>
    <row r="1043" spans="1:9" ht="12.75" customHeight="1">
      <c r="A1043" s="1552" t="s">
        <v>1794</v>
      </c>
      <c r="B1043" s="1552"/>
      <c r="C1043" s="1552"/>
      <c r="D1043" s="1552"/>
      <c r="E1043" s="1552"/>
      <c r="F1043" s="1552"/>
      <c r="G1043" s="1552"/>
      <c r="H1043" s="1020"/>
      <c r="I1043" s="1142"/>
    </row>
    <row r="1044" spans="1:9" ht="12.75" customHeight="1">
      <c r="A1044" s="118"/>
      <c r="B1044" s="118"/>
      <c r="C1044" s="352"/>
      <c r="D1044" s="3"/>
      <c r="E1044" s="3"/>
      <c r="F1044" s="3"/>
      <c r="G1044" s="3"/>
      <c r="I1044" s="488"/>
    </row>
    <row r="1045" spans="1:9" ht="12.75" hidden="1" customHeight="1">
      <c r="A1045" s="118"/>
      <c r="B1045" s="400"/>
      <c r="D1045" s="1549" t="s">
        <v>1269</v>
      </c>
      <c r="E1045" s="1549"/>
      <c r="F1045" s="1549"/>
      <c r="G1045" s="3"/>
      <c r="I1045" s="488"/>
    </row>
    <row r="1046" spans="1:9" ht="12.75" hidden="1" customHeight="1">
      <c r="A1046" s="118"/>
      <c r="B1046" s="483" t="s">
        <v>306</v>
      </c>
      <c r="D1046" s="1548" t="s">
        <v>1268</v>
      </c>
      <c r="E1046" s="1548"/>
      <c r="F1046" s="1548"/>
      <c r="G1046" s="3"/>
      <c r="I1046" s="488"/>
    </row>
    <row r="1047" spans="1:9" ht="12.75" hidden="1" customHeight="1">
      <c r="A1047" s="118"/>
      <c r="B1047" s="400"/>
      <c r="D1047" s="1548" t="s">
        <v>1795</v>
      </c>
      <c r="E1047" s="1548"/>
      <c r="F1047" s="1548"/>
      <c r="G1047" s="3"/>
      <c r="I1047" s="488"/>
    </row>
    <row r="1048" spans="1:9" ht="12.75" hidden="1" customHeight="1">
      <c r="A1048" s="118"/>
      <c r="B1048" s="400"/>
      <c r="D1048" s="442"/>
      <c r="E1048" s="442"/>
      <c r="F1048" s="442"/>
      <c r="G1048" s="3"/>
      <c r="I1048" s="488"/>
    </row>
    <row r="1049" spans="1:9" ht="12.75" customHeight="1">
      <c r="A1049" s="118"/>
      <c r="B1049" s="118"/>
      <c r="C1049" s="352"/>
      <c r="D1049" s="1553" t="s">
        <v>1063</v>
      </c>
      <c r="E1049" s="1553"/>
      <c r="F1049" s="1553"/>
      <c r="G1049" s="3"/>
      <c r="I1049" s="488"/>
    </row>
    <row r="1050" spans="1:9" ht="12.75" customHeight="1">
      <c r="A1050" s="317"/>
      <c r="B1050" s="317"/>
      <c r="C1050" s="317"/>
      <c r="D1050" s="1547" t="s">
        <v>2197</v>
      </c>
      <c r="E1050" s="1547"/>
      <c r="F1050" s="1547"/>
      <c r="G1050" s="98"/>
      <c r="I1050" s="488"/>
    </row>
    <row r="1051" spans="1:9" ht="12.75" customHeight="1">
      <c r="A1051" s="175"/>
      <c r="B1051" s="483" t="s">
        <v>306</v>
      </c>
      <c r="C1051" s="352"/>
      <c r="D1051" s="1547" t="s">
        <v>982</v>
      </c>
      <c r="E1051" s="1547"/>
      <c r="F1051" s="1547"/>
      <c r="G1051" s="3"/>
      <c r="I1051" s="488"/>
    </row>
    <row r="1052" spans="1:9" ht="12.75" customHeight="1">
      <c r="A1052" s="352"/>
      <c r="B1052" s="352"/>
      <c r="C1052" s="352"/>
      <c r="D1052" s="1028" t="s">
        <v>1887</v>
      </c>
      <c r="E1052" s="96"/>
      <c r="F1052" s="96"/>
      <c r="G1052" s="3"/>
      <c r="I1052" s="488"/>
    </row>
    <row r="1053" spans="1:9">
      <c r="A1053" s="400"/>
      <c r="B1053" s="400"/>
      <c r="C1053" s="400"/>
      <c r="I1053" s="488"/>
    </row>
    <row r="1054" spans="1:9">
      <c r="A1054" s="1552" t="s">
        <v>2603</v>
      </c>
      <c r="B1054" s="1552"/>
      <c r="C1054" s="1552"/>
      <c r="D1054" s="1552"/>
      <c r="E1054" s="1552"/>
      <c r="F1054" s="1552"/>
      <c r="G1054" s="1552"/>
      <c r="H1054" s="1020"/>
      <c r="I1054" s="1142"/>
    </row>
    <row r="1055" spans="1:9">
      <c r="A1055" s="400"/>
      <c r="B1055" s="400"/>
      <c r="C1055" s="400"/>
      <c r="I1055" s="488"/>
    </row>
    <row r="1056" spans="1:9">
      <c r="A1056" s="400"/>
      <c r="B1056" s="400"/>
      <c r="C1056" s="400"/>
      <c r="D1056" s="402" t="s">
        <v>2602</v>
      </c>
      <c r="I1056" s="488"/>
    </row>
    <row r="1057" spans="1:9">
      <c r="A1057" s="400"/>
      <c r="B1057" s="400"/>
      <c r="C1057" s="400"/>
      <c r="D1057" s="400" t="s">
        <v>2606</v>
      </c>
      <c r="I1057" s="488"/>
    </row>
    <row r="1058" spans="1:9">
      <c r="A1058" s="400"/>
      <c r="B1058" s="400"/>
      <c r="C1058" s="400"/>
      <c r="D1058" s="402"/>
      <c r="I1058" s="488"/>
    </row>
    <row r="1059" spans="1:9">
      <c r="A1059" s="400"/>
      <c r="B1059" s="483" t="s">
        <v>306</v>
      </c>
      <c r="C1059" s="400"/>
      <c r="D1059" s="1560" t="s">
        <v>1799</v>
      </c>
      <c r="E1059" s="1560"/>
      <c r="F1059" s="1560"/>
      <c r="I1059" s="488"/>
    </row>
    <row r="1060" spans="1:9">
      <c r="A1060" s="400"/>
      <c r="B1060" s="400"/>
      <c r="C1060" s="400"/>
      <c r="D1060" s="1560"/>
      <c r="E1060" s="1560"/>
      <c r="F1060" s="1560"/>
      <c r="I1060" s="488"/>
    </row>
    <row r="1061" spans="1:9">
      <c r="A1061" s="400"/>
      <c r="B1061" s="400"/>
      <c r="C1061" s="400"/>
      <c r="D1061" s="1560"/>
      <c r="E1061" s="1560"/>
      <c r="F1061" s="1560"/>
      <c r="I1061" s="488"/>
    </row>
    <row r="1062" spans="1:9">
      <c r="A1062" s="400"/>
      <c r="B1062" s="400"/>
      <c r="C1062" s="400"/>
      <c r="D1062" s="1560"/>
      <c r="E1062" s="1560"/>
      <c r="F1062" s="1560"/>
      <c r="I1062" s="488"/>
    </row>
    <row r="1063" spans="1:9">
      <c r="A1063" s="400"/>
      <c r="B1063" s="400"/>
      <c r="C1063" s="400"/>
      <c r="I1063" s="488"/>
    </row>
    <row r="1064" spans="1:9">
      <c r="A1064" s="400"/>
      <c r="B1064" s="400"/>
      <c r="C1064" s="400"/>
      <c r="D1064" s="402" t="s">
        <v>1304</v>
      </c>
      <c r="I1064" s="488"/>
    </row>
    <row r="1065" spans="1:9">
      <c r="A1065" s="400"/>
      <c r="B1065" s="400"/>
      <c r="C1065" s="400"/>
      <c r="D1065" s="400" t="s">
        <v>2607</v>
      </c>
      <c r="I1065" s="488"/>
    </row>
    <row r="1066" spans="1:9">
      <c r="A1066" s="400"/>
      <c r="B1066" s="400"/>
      <c r="C1066" s="400"/>
      <c r="I1066" s="488"/>
    </row>
    <row r="1067" spans="1:9">
      <c r="A1067" s="400"/>
      <c r="B1067" s="483" t="s">
        <v>306</v>
      </c>
      <c r="C1067" s="400"/>
      <c r="D1067" s="400" t="s">
        <v>1797</v>
      </c>
      <c r="I1067" s="488"/>
    </row>
    <row r="1068" spans="1:9">
      <c r="A1068" s="400"/>
      <c r="B1068" s="400"/>
      <c r="C1068" s="400"/>
      <c r="I1068" s="488"/>
    </row>
    <row r="1069" spans="1:9">
      <c r="A1069" s="400"/>
      <c r="B1069" s="483" t="s">
        <v>306</v>
      </c>
      <c r="C1069" s="400"/>
      <c r="D1069" s="1560" t="s">
        <v>1800</v>
      </c>
      <c r="E1069" s="1560"/>
      <c r="F1069" s="1560"/>
      <c r="I1069" s="488"/>
    </row>
    <row r="1070" spans="1:9">
      <c r="A1070" s="400"/>
      <c r="B1070" s="400"/>
      <c r="C1070" s="400"/>
      <c r="D1070" s="1560"/>
      <c r="E1070" s="1560"/>
      <c r="F1070" s="1560"/>
      <c r="I1070" s="488"/>
    </row>
    <row r="1071" spans="1:9">
      <c r="A1071" s="400"/>
      <c r="B1071" s="400"/>
      <c r="C1071" s="400"/>
      <c r="D1071" s="1560"/>
      <c r="E1071" s="1560"/>
      <c r="F1071" s="1560"/>
      <c r="I1071" s="488"/>
    </row>
    <row r="1072" spans="1:9">
      <c r="A1072" s="400"/>
      <c r="B1072" s="400"/>
      <c r="C1072" s="400"/>
      <c r="D1072" s="1560"/>
      <c r="E1072" s="1560"/>
      <c r="F1072" s="1560"/>
      <c r="I1072" s="488"/>
    </row>
    <row r="1073" spans="1:9">
      <c r="A1073" s="400"/>
      <c r="B1073" s="400"/>
      <c r="C1073" s="400"/>
      <c r="D1073" s="1560"/>
      <c r="E1073" s="1560"/>
      <c r="F1073" s="1560"/>
      <c r="I1073" s="488"/>
    </row>
    <row r="1074" spans="1:9">
      <c r="A1074" s="400"/>
      <c r="B1074" s="400"/>
      <c r="C1074" s="400"/>
      <c r="I1074" s="488"/>
    </row>
    <row r="1075" spans="1:9">
      <c r="A1075" s="1552" t="s">
        <v>1801</v>
      </c>
      <c r="B1075" s="1552"/>
      <c r="C1075" s="1552"/>
      <c r="D1075" s="1552"/>
      <c r="E1075" s="1552"/>
      <c r="F1075" s="1552"/>
      <c r="G1075" s="1552"/>
      <c r="H1075" s="1020"/>
      <c r="I1075" s="1142"/>
    </row>
    <row r="1076" spans="1:9">
      <c r="A1076" s="400"/>
      <c r="B1076" s="400"/>
      <c r="C1076" s="400"/>
      <c r="I1076" s="488"/>
    </row>
    <row r="1077" spans="1:9">
      <c r="A1077" s="400"/>
      <c r="B1077" s="400"/>
      <c r="C1077" s="400"/>
      <c r="I1077" s="488"/>
    </row>
    <row r="1078" spans="1:9">
      <c r="A1078" s="400"/>
      <c r="B1078" s="483" t="s">
        <v>306</v>
      </c>
      <c r="C1078" s="400"/>
      <c r="D1078" s="525" t="s">
        <v>1804</v>
      </c>
      <c r="I1078" s="488"/>
    </row>
    <row r="1079" spans="1:9">
      <c r="A1079" s="400"/>
      <c r="B1079" s="400"/>
      <c r="C1079" s="400"/>
      <c r="D1079" s="525" t="s">
        <v>2616</v>
      </c>
      <c r="I1079" s="488"/>
    </row>
    <row r="1080" spans="1:9">
      <c r="A1080" s="400"/>
      <c r="B1080" s="400"/>
      <c r="C1080" s="400"/>
      <c r="D1080" s="525"/>
      <c r="I1080" s="488"/>
    </row>
    <row r="1081" spans="1:9">
      <c r="A1081" s="400"/>
      <c r="B1081" s="483" t="s">
        <v>306</v>
      </c>
      <c r="C1081" s="400"/>
      <c r="D1081" s="1563" t="s">
        <v>2609</v>
      </c>
      <c r="E1081" s="1563"/>
      <c r="F1081" s="1563"/>
      <c r="I1081" s="488"/>
    </row>
    <row r="1082" spans="1:9">
      <c r="A1082" s="400"/>
      <c r="B1082" s="400"/>
      <c r="C1082" s="400"/>
      <c r="D1082" s="1563"/>
      <c r="E1082" s="1563"/>
      <c r="F1082" s="1563"/>
      <c r="I1082" s="488"/>
    </row>
    <row r="1083" spans="1:9">
      <c r="A1083" s="400"/>
      <c r="B1083" s="400"/>
      <c r="C1083" s="400"/>
      <c r="D1083" s="525" t="s">
        <v>2608</v>
      </c>
      <c r="I1083" s="488"/>
    </row>
    <row r="1084" spans="1:9">
      <c r="A1084" s="400"/>
      <c r="B1084" s="400"/>
      <c r="C1084" s="400"/>
      <c r="D1084" s="525"/>
      <c r="I1084" s="488"/>
    </row>
    <row r="1085" spans="1:9">
      <c r="A1085" s="400"/>
      <c r="B1085" s="483" t="s">
        <v>306</v>
      </c>
      <c r="C1085" s="400"/>
      <c r="D1085" s="119" t="s">
        <v>2617</v>
      </c>
      <c r="I1085" s="488"/>
    </row>
    <row r="1086" spans="1:9">
      <c r="A1086" s="400"/>
      <c r="B1086" s="400"/>
      <c r="C1086" s="400"/>
      <c r="D1086" s="1528" t="s">
        <v>2619</v>
      </c>
      <c r="E1086" s="1528"/>
      <c r="F1086" s="1528"/>
      <c r="I1086" s="488"/>
    </row>
    <row r="1087" spans="1:9">
      <c r="A1087" s="400"/>
      <c r="B1087" s="400"/>
      <c r="C1087" s="400"/>
      <c r="D1087" s="1528"/>
      <c r="E1087" s="1528"/>
      <c r="F1087" s="1528"/>
      <c r="I1087" s="488"/>
    </row>
    <row r="1088" spans="1:9">
      <c r="A1088" s="400"/>
      <c r="B1088" s="400"/>
      <c r="C1088" s="400"/>
      <c r="D1088" s="1528"/>
      <c r="E1088" s="1528"/>
      <c r="F1088" s="1528"/>
      <c r="I1088" s="488"/>
    </row>
    <row r="1089" spans="1:9">
      <c r="A1089" s="400"/>
      <c r="B1089" s="400"/>
      <c r="C1089" s="400"/>
      <c r="D1089" s="1528"/>
      <c r="E1089" s="1528"/>
      <c r="F1089" s="1528"/>
      <c r="I1089" s="488"/>
    </row>
    <row r="1090" spans="1:9">
      <c r="A1090" s="400"/>
      <c r="B1090" s="400"/>
      <c r="C1090" s="400"/>
      <c r="D1090" s="119" t="s">
        <v>2618</v>
      </c>
      <c r="I1090" s="488"/>
    </row>
    <row r="1091" spans="1:9">
      <c r="A1091" s="400"/>
      <c r="B1091" s="400"/>
      <c r="C1091" s="400"/>
      <c r="D1091" s="119"/>
      <c r="I1091" s="488"/>
    </row>
    <row r="1092" spans="1:9">
      <c r="A1092" s="400"/>
      <c r="B1092" s="400"/>
      <c r="C1092" s="400"/>
      <c r="D1092" s="525" t="s">
        <v>1802</v>
      </c>
      <c r="I1092" s="488"/>
    </row>
    <row r="1093" spans="1:9">
      <c r="A1093" s="400"/>
      <c r="B1093" s="483" t="s">
        <v>306</v>
      </c>
      <c r="C1093" s="400"/>
      <c r="D1093" s="1559" t="s">
        <v>1803</v>
      </c>
      <c r="E1093" s="1559"/>
      <c r="F1093" s="1559"/>
      <c r="I1093" s="488"/>
    </row>
    <row r="1094" spans="1:9">
      <c r="A1094" s="400"/>
      <c r="B1094" s="400"/>
      <c r="C1094" s="400"/>
      <c r="D1094" s="1559"/>
      <c r="E1094" s="1559"/>
      <c r="F1094" s="1559"/>
      <c r="I1094" s="488"/>
    </row>
    <row r="1095" spans="1:9">
      <c r="A1095" s="400"/>
      <c r="B1095" s="400"/>
      <c r="C1095" s="400"/>
      <c r="D1095" s="1559"/>
      <c r="E1095" s="1559"/>
      <c r="F1095" s="1559"/>
      <c r="I1095" s="488"/>
    </row>
    <row r="1096" spans="1:9">
      <c r="A1096" s="400"/>
      <c r="B1096" s="400"/>
      <c r="C1096" s="400"/>
      <c r="D1096" s="1559"/>
      <c r="E1096" s="1559"/>
      <c r="F1096" s="1559"/>
      <c r="I1096" s="488"/>
    </row>
    <row r="1097" spans="1:9">
      <c r="A1097" s="400"/>
      <c r="B1097" s="400"/>
      <c r="C1097" s="400"/>
      <c r="D1097" s="1559"/>
      <c r="E1097" s="1559"/>
      <c r="F1097" s="1559"/>
      <c r="I1097" s="488"/>
    </row>
    <row r="1098" spans="1:9">
      <c r="A1098" s="400"/>
      <c r="B1098" s="400"/>
      <c r="C1098" s="400"/>
      <c r="D1098" s="525" t="s">
        <v>2620</v>
      </c>
      <c r="I1098" s="488"/>
    </row>
    <row r="1099" spans="1:9">
      <c r="A1099" s="400"/>
      <c r="B1099" s="400"/>
      <c r="C1099" s="400"/>
      <c r="I1099" s="488"/>
    </row>
    <row r="1100" spans="1:9">
      <c r="A1100" s="400"/>
      <c r="B1100" s="483" t="s">
        <v>306</v>
      </c>
      <c r="C1100" s="400"/>
      <c r="D1100" s="1542" t="s">
        <v>2218</v>
      </c>
      <c r="E1100" s="1542"/>
      <c r="F1100" s="1542"/>
      <c r="I1100" s="488"/>
    </row>
    <row r="1101" spans="1:9">
      <c r="A1101" s="400"/>
      <c r="B1101" s="400"/>
      <c r="C1101" s="400"/>
      <c r="D1101" s="1542"/>
      <c r="E1101" s="1542"/>
      <c r="F1101" s="1542"/>
      <c r="I1101" s="488"/>
    </row>
    <row r="1102" spans="1:9">
      <c r="A1102" s="400"/>
      <c r="B1102" s="400"/>
      <c r="C1102" s="400"/>
      <c r="D1102" s="1542"/>
      <c r="E1102" s="1542"/>
      <c r="F1102" s="1542"/>
      <c r="I1102" s="488"/>
    </row>
    <row r="1103" spans="1:9">
      <c r="A1103" s="400"/>
      <c r="B1103" s="400"/>
      <c r="C1103" s="400"/>
      <c r="I1103" s="488"/>
    </row>
    <row r="1104" spans="1:9">
      <c r="A1104" s="1552" t="s">
        <v>1805</v>
      </c>
      <c r="B1104" s="1552"/>
      <c r="C1104" s="1552"/>
      <c r="D1104" s="1552"/>
      <c r="E1104" s="1552"/>
      <c r="F1104" s="1552"/>
      <c r="G1104" s="1552"/>
      <c r="H1104" s="1020"/>
      <c r="I1104" s="1142"/>
    </row>
    <row r="1105" spans="1:9">
      <c r="A1105" s="400"/>
      <c r="B1105" s="400"/>
      <c r="C1105" s="400"/>
      <c r="I1105" s="488"/>
    </row>
    <row r="1106" spans="1:9">
      <c r="A1106" s="400"/>
      <c r="B1106" s="400"/>
      <c r="C1106" s="400"/>
      <c r="I1106" s="488"/>
    </row>
    <row r="1107" spans="1:9" ht="12.75" customHeight="1">
      <c r="A1107" s="400"/>
      <c r="B1107" s="483" t="s">
        <v>306</v>
      </c>
      <c r="C1107" s="400"/>
      <c r="D1107" s="1561" t="s">
        <v>1899</v>
      </c>
      <c r="E1107" s="1561"/>
      <c r="F1107" s="1561"/>
      <c r="I1107" s="488"/>
    </row>
    <row r="1108" spans="1:9">
      <c r="A1108" s="400"/>
      <c r="B1108" s="400"/>
      <c r="C1108" s="400"/>
      <c r="D1108" s="1561"/>
      <c r="E1108" s="1561"/>
      <c r="F1108" s="1561"/>
      <c r="I1108" s="488"/>
    </row>
    <row r="1109" spans="1:9">
      <c r="A1109" s="400"/>
      <c r="B1109" s="400"/>
      <c r="C1109" s="400"/>
      <c r="D1109" s="1562" t="s">
        <v>2624</v>
      </c>
      <c r="E1109" s="1528"/>
      <c r="F1109" s="1528"/>
      <c r="I1109" s="488"/>
    </row>
    <row r="1110" spans="1:9">
      <c r="A1110" s="400"/>
      <c r="B1110" s="400"/>
      <c r="C1110" s="400"/>
      <c r="D1110" s="525"/>
      <c r="I1110" s="488"/>
    </row>
    <row r="1111" spans="1:9">
      <c r="A1111" s="400"/>
      <c r="B1111" s="483" t="s">
        <v>306</v>
      </c>
      <c r="C1111" s="400"/>
      <c r="D1111" s="1559" t="s">
        <v>2572</v>
      </c>
      <c r="E1111" s="1559"/>
      <c r="F1111" s="1559"/>
      <c r="I1111" s="488"/>
    </row>
    <row r="1112" spans="1:9">
      <c r="A1112" s="400"/>
      <c r="B1112" s="400"/>
      <c r="C1112" s="400"/>
      <c r="D1112" s="1559"/>
      <c r="E1112" s="1559"/>
      <c r="F1112" s="1559"/>
      <c r="I1112" s="488"/>
    </row>
    <row r="1113" spans="1:9">
      <c r="A1113" s="400"/>
      <c r="B1113" s="400"/>
      <c r="C1113" s="400"/>
      <c r="D1113" s="1559"/>
      <c r="E1113" s="1559"/>
      <c r="F1113" s="1559"/>
      <c r="I1113" s="488"/>
    </row>
    <row r="1114" spans="1:9">
      <c r="A1114" s="400"/>
      <c r="B1114" s="400"/>
      <c r="C1114" s="400"/>
      <c r="D1114" s="525"/>
      <c r="I1114" s="488"/>
    </row>
    <row r="1115" spans="1:9">
      <c r="A1115" s="400"/>
      <c r="B1115" s="483" t="s">
        <v>306</v>
      </c>
      <c r="C1115" s="400"/>
      <c r="D1115" s="1559" t="s">
        <v>2591</v>
      </c>
      <c r="E1115" s="1559"/>
      <c r="F1115" s="1559"/>
      <c r="I1115" s="488"/>
    </row>
    <row r="1116" spans="1:9">
      <c r="A1116" s="400"/>
      <c r="B1116" s="400"/>
      <c r="C1116" s="400"/>
      <c r="D1116" s="1559"/>
      <c r="E1116" s="1559"/>
      <c r="F1116" s="1559"/>
      <c r="I1116" s="488"/>
    </row>
    <row r="1117" spans="1:9">
      <c r="A1117" s="400"/>
      <c r="B1117" s="400"/>
      <c r="C1117" s="400"/>
      <c r="D1117" s="1559"/>
      <c r="E1117" s="1559"/>
      <c r="F1117" s="1559"/>
      <c r="I1117" s="488"/>
    </row>
    <row r="1118" spans="1:9">
      <c r="A1118" s="400"/>
      <c r="B1118" s="400"/>
      <c r="C1118" s="400"/>
      <c r="D1118" s="1559"/>
      <c r="E1118" s="1559"/>
      <c r="F1118" s="1559"/>
      <c r="I1118" s="488"/>
    </row>
    <row r="1119" spans="1:9">
      <c r="A1119" s="400"/>
      <c r="B1119" s="400"/>
      <c r="C1119" s="400"/>
      <c r="D1119" s="1559"/>
      <c r="E1119" s="1559"/>
      <c r="F1119" s="1559"/>
      <c r="I1119" s="488"/>
    </row>
    <row r="1120" spans="1:9">
      <c r="A1120" s="400"/>
      <c r="B1120" s="400"/>
      <c r="C1120" s="400"/>
      <c r="D1120" s="525"/>
      <c r="I1120" s="478"/>
    </row>
    <row r="1121" spans="1:9">
      <c r="A1121" s="400"/>
      <c r="B1121" s="483" t="s">
        <v>306</v>
      </c>
      <c r="C1121" s="400"/>
      <c r="D1121" s="1559" t="s">
        <v>1806</v>
      </c>
      <c r="E1121" s="1559"/>
      <c r="F1121" s="1559"/>
      <c r="I1121" s="488"/>
    </row>
    <row r="1122" spans="1:9">
      <c r="A1122" s="400"/>
      <c r="B1122" s="400"/>
      <c r="C1122" s="400"/>
      <c r="D1122" s="1559"/>
      <c r="E1122" s="1559"/>
      <c r="F1122" s="1559"/>
      <c r="I1122" s="488"/>
    </row>
    <row r="1123" spans="1:9">
      <c r="A1123" s="400"/>
      <c r="B1123" s="400"/>
      <c r="C1123" s="400"/>
      <c r="D1123" s="1559"/>
      <c r="E1123" s="1559"/>
      <c r="F1123" s="1559"/>
      <c r="I1123" s="488"/>
    </row>
    <row r="1124" spans="1:9">
      <c r="A1124" s="400"/>
      <c r="B1124" s="400"/>
      <c r="C1124" s="400"/>
      <c r="D1124" s="525"/>
      <c r="I1124" s="488"/>
    </row>
    <row r="1125" spans="1:9">
      <c r="A1125" s="400"/>
      <c r="B1125" s="483" t="s">
        <v>306</v>
      </c>
      <c r="C1125" s="400"/>
      <c r="D1125" s="1533" t="s">
        <v>1858</v>
      </c>
      <c r="E1125" s="1533"/>
      <c r="F1125" s="1533"/>
      <c r="I1125" s="488"/>
    </row>
    <row r="1126" spans="1:9">
      <c r="A1126" s="400"/>
      <c r="B1126" s="400"/>
      <c r="C1126" s="400"/>
      <c r="D1126" s="1533"/>
      <c r="E1126" s="1533"/>
      <c r="F1126" s="1533"/>
      <c r="I1126" s="488"/>
    </row>
    <row r="1127" spans="1:9">
      <c r="A1127" s="400"/>
      <c r="B1127" s="400"/>
      <c r="C1127" s="400"/>
      <c r="D1127" s="1533"/>
      <c r="E1127" s="1533"/>
      <c r="F1127" s="1533"/>
      <c r="I1127" s="488"/>
    </row>
    <row r="1128" spans="1:9">
      <c r="A1128" s="400"/>
      <c r="B1128" s="400"/>
      <c r="C1128" s="400"/>
      <c r="D1128" s="972"/>
      <c r="E1128" s="972"/>
      <c r="F1128" s="972"/>
      <c r="I1128" s="488"/>
    </row>
    <row r="1129" spans="1:9" ht="15.75" customHeight="1">
      <c r="A1129" s="400"/>
      <c r="B1129" s="483" t="s">
        <v>306</v>
      </c>
      <c r="C1129" s="400"/>
      <c r="D1129" s="1528" t="s">
        <v>1859</v>
      </c>
      <c r="E1129" s="1528"/>
      <c r="F1129" s="1528"/>
      <c r="I1129" s="488"/>
    </row>
    <row r="1130" spans="1:9">
      <c r="A1130" s="400"/>
      <c r="B1130" s="400"/>
      <c r="C1130" s="400"/>
      <c r="D1130" s="1528"/>
      <c r="E1130" s="1528"/>
      <c r="F1130" s="1528"/>
      <c r="I1130" s="488"/>
    </row>
    <row r="1131" spans="1:9">
      <c r="A1131" s="400"/>
      <c r="B1131" s="400"/>
      <c r="C1131" s="400"/>
      <c r="D1131" s="1528"/>
      <c r="E1131" s="1528"/>
      <c r="F1131" s="1528"/>
      <c r="I1131" s="488"/>
    </row>
    <row r="1132" spans="1:9">
      <c r="A1132" s="400"/>
      <c r="B1132" s="400"/>
      <c r="C1132" s="400"/>
      <c r="D1132" s="1528"/>
      <c r="E1132" s="1528"/>
      <c r="F1132" s="1528"/>
      <c r="I1132" s="488"/>
    </row>
    <row r="1133" spans="1:9">
      <c r="A1133" s="400"/>
      <c r="B1133" s="400"/>
      <c r="C1133" s="400"/>
      <c r="D1133" s="972"/>
      <c r="E1133" s="972"/>
      <c r="F1133" s="972"/>
      <c r="I1133" s="488"/>
    </row>
    <row r="1134" spans="1:9">
      <c r="A1134" s="400"/>
      <c r="B1134" s="483" t="s">
        <v>306</v>
      </c>
      <c r="C1134" s="400"/>
      <c r="D1134" s="1533" t="s">
        <v>2601</v>
      </c>
      <c r="E1134" s="1533"/>
      <c r="F1134" s="1533"/>
      <c r="I1134" s="488"/>
    </row>
    <row r="1135" spans="1:9">
      <c r="A1135" s="400"/>
      <c r="B1135" s="400"/>
      <c r="C1135" s="400"/>
      <c r="D1135" s="1533"/>
      <c r="E1135" s="1533"/>
      <c r="F1135" s="1533"/>
      <c r="I1135" s="488"/>
    </row>
    <row r="1136" spans="1:9">
      <c r="A1136" s="400"/>
      <c r="B1136" s="400"/>
      <c r="C1136" s="400"/>
      <c r="D1136" s="1533"/>
      <c r="E1136" s="1533"/>
      <c r="F1136" s="1533"/>
      <c r="I1136" s="488"/>
    </row>
    <row r="1137" spans="1:9">
      <c r="A1137" s="400"/>
      <c r="B1137" s="400"/>
      <c r="C1137" s="400"/>
      <c r="D1137" s="1533"/>
      <c r="E1137" s="1533"/>
      <c r="F1137" s="1533"/>
      <c r="I1137" s="488"/>
    </row>
    <row r="1138" spans="1:9">
      <c r="A1138" s="400"/>
      <c r="B1138" s="400"/>
      <c r="C1138" s="400"/>
      <c r="D1138" s="1533"/>
      <c r="E1138" s="1533"/>
      <c r="F1138" s="1533"/>
      <c r="I1138" s="488"/>
    </row>
    <row r="1139" spans="1:9">
      <c r="A1139" s="400"/>
      <c r="B1139" s="400"/>
      <c r="C1139" s="400"/>
      <c r="D1139" s="1533"/>
      <c r="E1139" s="1533"/>
      <c r="F1139" s="1533"/>
      <c r="I1139" s="488"/>
    </row>
    <row r="1140" spans="1:9">
      <c r="A1140" s="400"/>
      <c r="B1140" s="400"/>
      <c r="C1140" s="400"/>
      <c r="D1140" s="972"/>
      <c r="E1140" s="972"/>
      <c r="F1140" s="972"/>
      <c r="I1140" s="488"/>
    </row>
    <row r="1141" spans="1:9">
      <c r="A1141" s="400"/>
      <c r="B1141" s="483" t="s">
        <v>306</v>
      </c>
      <c r="C1141" s="400"/>
      <c r="D1141" s="1560" t="s">
        <v>2573</v>
      </c>
      <c r="E1141" s="1560"/>
      <c r="F1141" s="1560"/>
      <c r="I1141" s="1148"/>
    </row>
    <row r="1142" spans="1:9">
      <c r="A1142" s="400"/>
      <c r="B1142" s="400"/>
      <c r="C1142" s="400"/>
      <c r="D1142" s="1560"/>
      <c r="E1142" s="1560"/>
      <c r="F1142" s="1560"/>
      <c r="I1142" s="488"/>
    </row>
    <row r="1143" spans="1:9">
      <c r="A1143" s="400"/>
      <c r="B1143" s="400"/>
      <c r="C1143" s="400"/>
      <c r="D1143" s="1560"/>
      <c r="E1143" s="1560"/>
      <c r="F1143" s="1560"/>
    </row>
    <row r="1144" spans="1:9">
      <c r="A1144" s="400"/>
      <c r="B1144" s="400"/>
      <c r="C1144" s="400"/>
      <c r="D1144" s="1560"/>
      <c r="E1144" s="1560"/>
      <c r="F1144" s="1560"/>
    </row>
    <row r="1145" spans="1:9">
      <c r="A1145" s="400"/>
      <c r="B1145" s="400"/>
      <c r="C1145" s="400"/>
      <c r="D1145" s="1560"/>
      <c r="E1145" s="1560"/>
      <c r="F1145" s="1560"/>
    </row>
    <row r="1146" spans="1:9">
      <c r="A1146" s="400"/>
      <c r="B1146" s="400"/>
      <c r="C1146" s="400"/>
    </row>
    <row r="1147" spans="1:9" hidden="1">
      <c r="A1147" s="400"/>
      <c r="B1147" s="400"/>
      <c r="C1147" s="400"/>
    </row>
    <row r="1148" spans="1:9" hidden="1">
      <c r="A1148" s="400"/>
      <c r="B1148" s="400"/>
      <c r="C1148" s="400"/>
    </row>
    <row r="1149" spans="1:9" hidden="1">
      <c r="A1149" s="400"/>
      <c r="B1149" s="400"/>
      <c r="C1149" s="400"/>
    </row>
    <row r="1150" spans="1:9" hidden="1">
      <c r="A1150" s="400"/>
      <c r="B1150" s="400"/>
      <c r="C1150" s="400"/>
    </row>
    <row r="1151" spans="1:9" hidden="1">
      <c r="A1151" s="400"/>
      <c r="B1151" s="400"/>
      <c r="C1151" s="400"/>
    </row>
    <row r="1152" spans="1:9" hidden="1">
      <c r="A1152" s="400"/>
      <c r="B1152" s="400"/>
      <c r="C1152" s="400"/>
    </row>
    <row r="1153" spans="1:3" hidden="1">
      <c r="A1153" s="400"/>
      <c r="B1153" s="400"/>
      <c r="C1153" s="400"/>
    </row>
    <row r="1154" spans="1:3" hidden="1">
      <c r="A1154" s="400"/>
      <c r="B1154" s="400"/>
      <c r="C1154" s="400"/>
    </row>
    <row r="1155" spans="1:3" hidden="1">
      <c r="A1155" s="400"/>
      <c r="B1155" s="400"/>
      <c r="C1155" s="400"/>
    </row>
    <row r="1156" spans="1:3" hidden="1">
      <c r="A1156" s="400"/>
      <c r="B1156" s="400"/>
      <c r="C1156" s="400"/>
    </row>
    <row r="1157" spans="1:3" hidden="1">
      <c r="A1157" s="400"/>
      <c r="B1157" s="400"/>
      <c r="C1157" s="400"/>
    </row>
    <row r="1158" spans="1:3"/>
    <row r="1159" spans="1:3"/>
    <row r="1160" spans="1:3"/>
    <row r="1161" spans="1:3"/>
    <row r="1165" spans="1:3" hidden="1">
      <c r="A1165" s="400"/>
      <c r="B1165" s="400"/>
      <c r="C1165" s="400"/>
    </row>
    <row r="1166" spans="1:3" hidden="1">
      <c r="A1166" s="400"/>
      <c r="B1166" s="400"/>
      <c r="C1166" s="400"/>
    </row>
    <row r="1167" spans="1:3" hidden="1">
      <c r="A1167" s="400"/>
      <c r="B1167" s="400"/>
      <c r="C1167" s="400"/>
    </row>
    <row r="1168" spans="1:3" hidden="1">
      <c r="A1168" s="400"/>
      <c r="B1168" s="400"/>
      <c r="C1168" s="400"/>
    </row>
    <row r="1169" spans="1:3" hidden="1">
      <c r="A1169" s="400"/>
      <c r="B1169" s="400"/>
      <c r="C1169" s="400"/>
    </row>
    <row r="1170" spans="1:3" hidden="1">
      <c r="A1170" s="400"/>
      <c r="B1170" s="400"/>
      <c r="C1170" s="400"/>
    </row>
    <row r="1171" spans="1:3" hidden="1">
      <c r="A1171" s="400"/>
      <c r="B1171" s="400"/>
      <c r="C1171" s="400"/>
    </row>
    <row r="1172" spans="1:3" hidden="1">
      <c r="A1172" s="400"/>
      <c r="B1172" s="400"/>
      <c r="C1172" s="400"/>
    </row>
    <row r="1173" spans="1:3" hidden="1">
      <c r="A1173" s="400"/>
      <c r="B1173" s="400"/>
      <c r="C1173" s="400"/>
    </row>
    <row r="1174" spans="1:3" hidden="1">
      <c r="A1174" s="400"/>
      <c r="B1174" s="400"/>
      <c r="C1174" s="400"/>
    </row>
    <row r="1175" spans="1:3" hidden="1">
      <c r="A1175" s="400"/>
      <c r="B1175" s="400"/>
      <c r="C1175" s="400"/>
    </row>
    <row r="1176" spans="1:3" hidden="1">
      <c r="A1176" s="400"/>
      <c r="B1176" s="400"/>
      <c r="C1176" s="400"/>
    </row>
    <row r="1177" spans="1:3" hidden="1">
      <c r="A1177" s="400"/>
      <c r="B1177" s="400"/>
      <c r="C1177" s="400"/>
    </row>
    <row r="1178" spans="1:3" hidden="1">
      <c r="A1178" s="400"/>
      <c r="B1178" s="400"/>
      <c r="C1178" s="400"/>
    </row>
    <row r="1179" spans="1:3" hidden="1">
      <c r="A1179" s="400"/>
      <c r="B1179" s="400"/>
      <c r="C1179" s="400"/>
    </row>
    <row r="1180" spans="1:3" hidden="1">
      <c r="A1180" s="400"/>
      <c r="B1180" s="400"/>
      <c r="C1180" s="400"/>
    </row>
    <row r="1181" spans="1:3" hidden="1">
      <c r="A1181" s="400"/>
      <c r="B1181" s="400"/>
      <c r="C1181" s="400"/>
    </row>
    <row r="1182" spans="1:3" hidden="1">
      <c r="A1182" s="400"/>
      <c r="B1182" s="400"/>
      <c r="C1182" s="400"/>
    </row>
    <row r="1183" spans="1:3" hidden="1">
      <c r="A1183" s="400"/>
      <c r="B1183" s="400"/>
      <c r="C1183" s="400"/>
    </row>
    <row r="1184" spans="1:3" hidden="1">
      <c r="A1184" s="400"/>
      <c r="B1184" s="400"/>
      <c r="C1184" s="400"/>
    </row>
    <row r="1185" spans="1:3" hidden="1">
      <c r="A1185" s="400"/>
      <c r="B1185" s="400"/>
      <c r="C1185" s="400"/>
    </row>
    <row r="1186" spans="1:3" hidden="1">
      <c r="A1186" s="400"/>
      <c r="B1186" s="400"/>
      <c r="C1186" s="400"/>
    </row>
    <row r="1187" spans="1:3" hidden="1">
      <c r="A1187" s="400"/>
      <c r="B1187" s="400"/>
      <c r="C1187" s="400"/>
    </row>
    <row r="1188" spans="1:3" hidden="1">
      <c r="A1188" s="400"/>
      <c r="B1188" s="400"/>
      <c r="C1188" s="400"/>
    </row>
    <row r="1189" spans="1:3" hidden="1">
      <c r="A1189" s="400"/>
      <c r="B1189" s="400"/>
      <c r="C1189" s="400"/>
    </row>
    <row r="1190" spans="1:3" hidden="1">
      <c r="A1190" s="400"/>
      <c r="B1190" s="400"/>
      <c r="C1190" s="400"/>
    </row>
    <row r="1191" spans="1:3" hidden="1">
      <c r="A1191" s="400"/>
      <c r="B1191" s="400"/>
      <c r="C1191" s="400"/>
    </row>
    <row r="1192" spans="1:3" hidden="1">
      <c r="A1192" s="400"/>
      <c r="B1192" s="400"/>
      <c r="C1192" s="400"/>
    </row>
    <row r="1193" spans="1:3" hidden="1">
      <c r="A1193" s="400"/>
      <c r="B1193" s="400"/>
      <c r="C1193" s="400"/>
    </row>
    <row r="1194" spans="1:3" hidden="1">
      <c r="A1194" s="400"/>
      <c r="B1194" s="400"/>
      <c r="C1194" s="400"/>
    </row>
    <row r="1195" spans="1:3" hidden="1">
      <c r="A1195" s="400"/>
      <c r="B1195" s="400"/>
      <c r="C1195" s="400"/>
    </row>
    <row r="1196" spans="1:3" hidden="1">
      <c r="A1196" s="400"/>
      <c r="B1196" s="400"/>
      <c r="C1196" s="400"/>
    </row>
    <row r="1197" spans="1:3" hidden="1">
      <c r="A1197" s="400"/>
      <c r="B1197" s="400"/>
      <c r="C1197" s="400"/>
    </row>
    <row r="1198" spans="1:3" hidden="1">
      <c r="A1198" s="400"/>
      <c r="B1198" s="400"/>
      <c r="C1198" s="400"/>
    </row>
    <row r="1199" spans="1:3" hidden="1">
      <c r="A1199" s="400"/>
      <c r="B1199" s="400"/>
      <c r="C1199" s="400"/>
    </row>
    <row r="1200" spans="1:3" hidden="1">
      <c r="A1200" s="400"/>
      <c r="B1200" s="400"/>
      <c r="C1200" s="400"/>
    </row>
    <row r="1201" spans="1:3" hidden="1">
      <c r="A1201" s="400"/>
      <c r="B1201" s="400"/>
      <c r="C1201" s="400"/>
    </row>
    <row r="1202" spans="1:3" hidden="1">
      <c r="A1202" s="400"/>
      <c r="B1202" s="400"/>
      <c r="C1202" s="400"/>
    </row>
    <row r="1203" spans="1:3" hidden="1">
      <c r="A1203" s="400"/>
      <c r="B1203" s="400"/>
      <c r="C1203" s="400"/>
    </row>
    <row r="1204" spans="1:3" hidden="1">
      <c r="A1204" s="400"/>
      <c r="B1204" s="400"/>
      <c r="C1204" s="400"/>
    </row>
    <row r="1205" spans="1:3" hidden="1">
      <c r="A1205" s="400"/>
      <c r="B1205" s="400"/>
      <c r="C1205" s="400"/>
    </row>
    <row r="1206" spans="1:3" hidden="1">
      <c r="A1206" s="400"/>
      <c r="B1206" s="400"/>
      <c r="C1206" s="400"/>
    </row>
    <row r="1207" spans="1:3" hidden="1">
      <c r="A1207" s="400"/>
      <c r="B1207" s="400"/>
      <c r="C1207" s="400"/>
    </row>
    <row r="1208" spans="1:3" hidden="1">
      <c r="A1208" s="400"/>
      <c r="B1208" s="400"/>
      <c r="C1208" s="400"/>
    </row>
    <row r="1209" spans="1:3" hidden="1">
      <c r="A1209" s="400"/>
      <c r="B1209" s="400"/>
      <c r="C1209" s="400"/>
    </row>
    <row r="1210" spans="1:3" hidden="1">
      <c r="A1210" s="400"/>
      <c r="B1210" s="400"/>
      <c r="C1210" s="400"/>
    </row>
    <row r="1211" spans="1:3" hidden="1">
      <c r="A1211" s="400"/>
      <c r="B1211" s="400"/>
      <c r="C1211" s="400"/>
    </row>
    <row r="1212" spans="1:3" hidden="1">
      <c r="A1212" s="400"/>
      <c r="B1212" s="400"/>
      <c r="C1212" s="400"/>
    </row>
    <row r="1213" spans="1:3" hidden="1">
      <c r="A1213" s="400"/>
      <c r="B1213" s="400"/>
      <c r="C1213" s="400"/>
    </row>
    <row r="1214" spans="1:3" hidden="1">
      <c r="A1214" s="400"/>
      <c r="B1214" s="400"/>
      <c r="C1214" s="400"/>
    </row>
    <row r="1215" spans="1:3" hidden="1">
      <c r="A1215" s="400"/>
      <c r="B1215" s="400"/>
      <c r="C1215" s="400"/>
    </row>
    <row r="1216" spans="1:3" hidden="1">
      <c r="A1216" s="400"/>
      <c r="B1216" s="400"/>
      <c r="C1216" s="400"/>
    </row>
    <row r="1217" spans="1:3" hidden="1">
      <c r="A1217" s="400"/>
      <c r="B1217" s="400"/>
      <c r="C1217" s="400"/>
    </row>
    <row r="1218" spans="1:3" hidden="1">
      <c r="A1218" s="400"/>
      <c r="B1218" s="400"/>
      <c r="C1218" s="400"/>
    </row>
    <row r="1219" spans="1:3" hidden="1">
      <c r="A1219" s="400"/>
      <c r="B1219" s="400"/>
      <c r="C1219" s="400"/>
    </row>
    <row r="1220" spans="1:3" hidden="1">
      <c r="A1220" s="400"/>
      <c r="B1220" s="400"/>
      <c r="C1220" s="400"/>
    </row>
    <row r="1221" spans="1:3" hidden="1">
      <c r="A1221" s="400"/>
      <c r="B1221" s="400"/>
      <c r="C1221" s="400"/>
    </row>
    <row r="1222" spans="1:3" hidden="1">
      <c r="A1222" s="400"/>
      <c r="B1222" s="400"/>
      <c r="C1222" s="400"/>
    </row>
    <row r="1223" spans="1:3" hidden="1">
      <c r="A1223" s="400"/>
      <c r="B1223" s="400"/>
      <c r="C1223" s="400"/>
    </row>
    <row r="1224" spans="1:3" hidden="1">
      <c r="A1224" s="400"/>
      <c r="B1224" s="400"/>
      <c r="C1224" s="400"/>
    </row>
    <row r="1225" spans="1:3" hidden="1">
      <c r="A1225" s="400"/>
      <c r="B1225" s="400"/>
      <c r="C1225" s="400"/>
    </row>
    <row r="1226" spans="1:3" hidden="1">
      <c r="A1226" s="400"/>
      <c r="B1226" s="400"/>
      <c r="C1226" s="400"/>
    </row>
    <row r="1227" spans="1:3" hidden="1">
      <c r="A1227" s="400"/>
      <c r="B1227" s="400"/>
      <c r="C1227" s="400"/>
    </row>
    <row r="1228" spans="1:3" hidden="1">
      <c r="A1228" s="400"/>
      <c r="B1228" s="400"/>
      <c r="C1228" s="400"/>
    </row>
    <row r="1229" spans="1:3" hidden="1">
      <c r="A1229" s="400"/>
      <c r="B1229" s="400"/>
      <c r="C1229" s="400"/>
    </row>
    <row r="1230" spans="1:3" hidden="1">
      <c r="A1230" s="400"/>
      <c r="B1230" s="400"/>
      <c r="C1230" s="400"/>
    </row>
    <row r="1231" spans="1:3" hidden="1">
      <c r="A1231" s="400"/>
      <c r="B1231" s="400"/>
      <c r="C1231" s="400"/>
    </row>
    <row r="1232" spans="1:3" hidden="1">
      <c r="A1232" s="400"/>
      <c r="B1232" s="400"/>
      <c r="C1232" s="400"/>
    </row>
    <row r="1233" spans="1:3" hidden="1">
      <c r="A1233" s="400"/>
      <c r="B1233" s="400"/>
      <c r="C1233" s="400"/>
    </row>
    <row r="1234" spans="1:3" hidden="1">
      <c r="A1234" s="400"/>
      <c r="B1234" s="400"/>
      <c r="C1234" s="400"/>
    </row>
    <row r="1235" spans="1:3" hidden="1">
      <c r="A1235" s="400"/>
      <c r="B1235" s="400"/>
      <c r="C1235" s="400"/>
    </row>
    <row r="1236" spans="1:3" hidden="1">
      <c r="A1236" s="400"/>
      <c r="B1236" s="400"/>
      <c r="C1236" s="400"/>
    </row>
    <row r="1237" spans="1:3" hidden="1">
      <c r="A1237" s="400"/>
      <c r="B1237" s="400"/>
      <c r="C1237" s="400"/>
    </row>
    <row r="1238" spans="1:3" hidden="1">
      <c r="A1238" s="400"/>
      <c r="B1238" s="400"/>
      <c r="C1238" s="400"/>
    </row>
    <row r="1239" spans="1:3" hidden="1">
      <c r="A1239" s="400"/>
      <c r="B1239" s="400"/>
      <c r="C1239" s="400"/>
    </row>
    <row r="1240" spans="1:3" hidden="1">
      <c r="A1240" s="400"/>
      <c r="B1240" s="400"/>
      <c r="C1240" s="400"/>
    </row>
    <row r="1241" spans="1:3" hidden="1">
      <c r="A1241" s="400"/>
      <c r="B1241" s="400"/>
      <c r="C1241" s="400"/>
    </row>
    <row r="1242" spans="1:3" hidden="1">
      <c r="A1242" s="400"/>
      <c r="B1242" s="400"/>
      <c r="C1242" s="400"/>
    </row>
    <row r="1243" spans="1:3" hidden="1">
      <c r="A1243" s="400"/>
      <c r="B1243" s="400"/>
      <c r="C1243" s="400"/>
    </row>
    <row r="1244" spans="1:3" hidden="1">
      <c r="A1244" s="400"/>
      <c r="B1244" s="400"/>
      <c r="C1244" s="400"/>
    </row>
    <row r="1245" spans="1:3" hidden="1">
      <c r="A1245" s="400"/>
      <c r="B1245" s="400"/>
      <c r="C1245" s="400"/>
    </row>
    <row r="1246" spans="1:3" hidden="1">
      <c r="A1246" s="400"/>
      <c r="B1246" s="400"/>
      <c r="C1246" s="400"/>
    </row>
    <row r="1247" spans="1:3" hidden="1">
      <c r="A1247" s="400"/>
      <c r="B1247" s="400"/>
      <c r="C1247" s="400"/>
    </row>
    <row r="1248" spans="1:3" hidden="1">
      <c r="A1248" s="400"/>
      <c r="B1248" s="400"/>
      <c r="C1248" s="400"/>
    </row>
    <row r="1249" spans="1:3" hidden="1">
      <c r="A1249" s="400"/>
      <c r="B1249" s="400"/>
      <c r="C1249" s="400"/>
    </row>
    <row r="1250" spans="1:3" hidden="1">
      <c r="A1250" s="400"/>
      <c r="B1250" s="400"/>
      <c r="C1250" s="400"/>
    </row>
    <row r="1251" spans="1:3" hidden="1">
      <c r="A1251" s="400"/>
      <c r="B1251" s="400"/>
      <c r="C1251" s="400"/>
    </row>
    <row r="1252" spans="1:3" hidden="1">
      <c r="A1252" s="400"/>
      <c r="B1252" s="400"/>
      <c r="C1252" s="400"/>
    </row>
    <row r="1253" spans="1:3" hidden="1">
      <c r="A1253" s="400"/>
      <c r="B1253" s="400"/>
      <c r="C1253" s="400"/>
    </row>
    <row r="1254" spans="1:3" hidden="1">
      <c r="A1254" s="400"/>
      <c r="B1254" s="400"/>
      <c r="C1254" s="400"/>
    </row>
    <row r="1255" spans="1:3" hidden="1">
      <c r="A1255" s="400"/>
      <c r="B1255" s="400"/>
      <c r="C1255" s="400"/>
    </row>
    <row r="1256" spans="1:3" hidden="1">
      <c r="A1256" s="400"/>
      <c r="B1256" s="400"/>
      <c r="C1256" s="400"/>
    </row>
    <row r="1257" spans="1:3" hidden="1">
      <c r="A1257" s="400"/>
      <c r="B1257" s="400"/>
      <c r="C1257" s="400"/>
    </row>
    <row r="1258" spans="1:3" hidden="1">
      <c r="A1258" s="400"/>
      <c r="B1258" s="400"/>
      <c r="C1258" s="400"/>
    </row>
    <row r="1259" spans="1:3" hidden="1">
      <c r="A1259" s="400"/>
      <c r="B1259" s="400"/>
      <c r="C1259" s="400"/>
    </row>
    <row r="1260" spans="1:3" hidden="1">
      <c r="A1260" s="400"/>
      <c r="B1260" s="400"/>
      <c r="C1260" s="400"/>
    </row>
    <row r="1261" spans="1:3" hidden="1">
      <c r="A1261" s="400"/>
      <c r="B1261" s="400"/>
      <c r="C1261" s="400"/>
    </row>
    <row r="1262" spans="1:3" hidden="1">
      <c r="A1262" s="400"/>
      <c r="B1262" s="400"/>
      <c r="C1262" s="400"/>
    </row>
    <row r="1263" spans="1:3" hidden="1">
      <c r="A1263" s="400"/>
      <c r="B1263" s="400"/>
      <c r="C1263" s="400"/>
    </row>
    <row r="1264" spans="1:3" hidden="1">
      <c r="A1264" s="400"/>
      <c r="B1264" s="400"/>
      <c r="C1264" s="400"/>
    </row>
    <row r="1265" spans="1:3" hidden="1">
      <c r="A1265" s="400"/>
      <c r="B1265" s="400"/>
      <c r="C1265" s="400"/>
    </row>
    <row r="1266" spans="1:3" hidden="1">
      <c r="A1266" s="400"/>
      <c r="B1266" s="400"/>
      <c r="C1266" s="400"/>
    </row>
    <row r="1267" spans="1:3" hidden="1">
      <c r="A1267" s="400"/>
      <c r="B1267" s="400"/>
      <c r="C1267" s="400"/>
    </row>
    <row r="1268" spans="1:3" hidden="1">
      <c r="A1268" s="400"/>
      <c r="B1268" s="400"/>
      <c r="C1268" s="400"/>
    </row>
    <row r="1269" spans="1:3" hidden="1">
      <c r="A1269" s="400"/>
      <c r="B1269" s="400"/>
      <c r="C1269" s="400"/>
    </row>
    <row r="1270" spans="1:3" hidden="1">
      <c r="A1270" s="400"/>
      <c r="B1270" s="400"/>
      <c r="C1270" s="400"/>
    </row>
    <row r="1271" spans="1:3" hidden="1">
      <c r="A1271" s="400"/>
      <c r="B1271" s="400"/>
      <c r="C1271" s="400"/>
    </row>
    <row r="1272" spans="1:3" hidden="1">
      <c r="A1272" s="400"/>
      <c r="B1272" s="400"/>
      <c r="C1272" s="400"/>
    </row>
    <row r="1273" spans="1:3" hidden="1">
      <c r="A1273" s="400"/>
      <c r="B1273" s="400"/>
      <c r="C1273" s="400"/>
    </row>
    <row r="1274" spans="1:3" hidden="1">
      <c r="A1274" s="400"/>
      <c r="B1274" s="400"/>
      <c r="C1274" s="400"/>
    </row>
    <row r="1275" spans="1:3" hidden="1">
      <c r="A1275" s="400"/>
      <c r="B1275" s="400"/>
      <c r="C1275" s="400"/>
    </row>
    <row r="1276" spans="1:3" hidden="1">
      <c r="A1276" s="400"/>
      <c r="B1276" s="400"/>
      <c r="C1276" s="400"/>
    </row>
    <row r="1277" spans="1:3" hidden="1">
      <c r="A1277" s="400"/>
      <c r="B1277" s="400"/>
      <c r="C1277" s="400"/>
    </row>
    <row r="1278" spans="1:3" hidden="1">
      <c r="A1278" s="400"/>
      <c r="B1278" s="400"/>
      <c r="C1278" s="400"/>
    </row>
    <row r="1279" spans="1:3" hidden="1">
      <c r="A1279" s="400"/>
      <c r="B1279" s="400"/>
      <c r="C1279" s="400"/>
    </row>
    <row r="1280" spans="1:3" hidden="1">
      <c r="A1280" s="400"/>
      <c r="B1280" s="400"/>
      <c r="C1280" s="400"/>
    </row>
    <row r="1281" spans="1:3" hidden="1">
      <c r="A1281" s="400"/>
      <c r="B1281" s="400"/>
      <c r="C1281" s="400"/>
    </row>
    <row r="1282" spans="1:3" hidden="1">
      <c r="A1282" s="400"/>
      <c r="B1282" s="400"/>
      <c r="C1282" s="400"/>
    </row>
    <row r="1283" spans="1:3" hidden="1">
      <c r="A1283" s="400"/>
      <c r="B1283" s="400"/>
      <c r="C1283" s="400"/>
    </row>
    <row r="1284" spans="1:3" hidden="1">
      <c r="A1284" s="400"/>
      <c r="B1284" s="400"/>
      <c r="C1284" s="400"/>
    </row>
    <row r="1285" spans="1:3" hidden="1">
      <c r="A1285" s="400"/>
      <c r="B1285" s="400"/>
      <c r="C1285" s="400"/>
    </row>
    <row r="1286" spans="1:3" hidden="1">
      <c r="A1286" s="400"/>
      <c r="B1286" s="400"/>
      <c r="C1286" s="400"/>
    </row>
    <row r="1287" spans="1:3" hidden="1">
      <c r="A1287" s="400"/>
      <c r="B1287" s="400"/>
      <c r="C1287" s="400"/>
    </row>
    <row r="1288" spans="1:3" hidden="1">
      <c r="A1288" s="400"/>
      <c r="B1288" s="400"/>
      <c r="C1288" s="400"/>
    </row>
    <row r="1289" spans="1:3" hidden="1">
      <c r="A1289" s="400"/>
      <c r="B1289" s="400"/>
      <c r="C1289" s="400"/>
    </row>
    <row r="1290" spans="1:3" hidden="1">
      <c r="A1290" s="400"/>
      <c r="B1290" s="400"/>
      <c r="C1290" s="400"/>
    </row>
    <row r="1291" spans="1:3" hidden="1">
      <c r="A1291" s="400"/>
      <c r="B1291" s="400"/>
      <c r="C1291" s="400"/>
    </row>
    <row r="1292" spans="1:3" hidden="1">
      <c r="A1292" s="400"/>
      <c r="B1292" s="400"/>
      <c r="C1292" s="400"/>
    </row>
    <row r="1293" spans="1:3" hidden="1">
      <c r="A1293" s="400"/>
      <c r="B1293" s="400"/>
      <c r="C1293" s="400"/>
    </row>
    <row r="1294" spans="1:3" hidden="1">
      <c r="A1294" s="400"/>
      <c r="B1294" s="400"/>
      <c r="C1294" s="400"/>
    </row>
    <row r="1295" spans="1:3" hidden="1">
      <c r="A1295" s="400"/>
      <c r="B1295" s="400"/>
      <c r="C1295" s="400"/>
    </row>
    <row r="1296" spans="1:3" hidden="1">
      <c r="A1296" s="400"/>
      <c r="B1296" s="400"/>
      <c r="C1296" s="400"/>
    </row>
    <row r="1297" spans="1:3" hidden="1">
      <c r="A1297" s="400"/>
      <c r="B1297" s="400"/>
      <c r="C1297" s="400"/>
    </row>
    <row r="1298" spans="1:3" hidden="1">
      <c r="A1298" s="400"/>
      <c r="B1298" s="400"/>
      <c r="C1298" s="400"/>
    </row>
    <row r="1299" spans="1:3" hidden="1">
      <c r="A1299" s="400"/>
      <c r="B1299" s="400"/>
      <c r="C1299" s="400"/>
    </row>
    <row r="1300" spans="1:3" hidden="1">
      <c r="A1300" s="400"/>
      <c r="B1300" s="400"/>
      <c r="C1300" s="400"/>
    </row>
    <row r="1301" spans="1:3" hidden="1">
      <c r="A1301" s="400"/>
      <c r="B1301" s="400"/>
      <c r="C1301" s="400"/>
    </row>
    <row r="1302" spans="1:3" hidden="1">
      <c r="A1302" s="400"/>
      <c r="B1302" s="400"/>
      <c r="C1302" s="400"/>
    </row>
    <row r="1303" spans="1:3" hidden="1">
      <c r="A1303" s="400"/>
      <c r="B1303" s="400"/>
      <c r="C1303" s="400"/>
    </row>
    <row r="1304" spans="1:3" hidden="1">
      <c r="A1304" s="400"/>
      <c r="B1304" s="400"/>
      <c r="C1304" s="400"/>
    </row>
    <row r="1305" spans="1:3" hidden="1">
      <c r="A1305" s="400"/>
      <c r="B1305" s="400"/>
      <c r="C1305" s="400"/>
    </row>
    <row r="1306" spans="1:3" hidden="1">
      <c r="A1306" s="400"/>
      <c r="B1306" s="400"/>
      <c r="C1306" s="400"/>
    </row>
    <row r="1307" spans="1:3" hidden="1">
      <c r="A1307" s="400"/>
      <c r="B1307" s="400"/>
      <c r="C1307" s="400"/>
    </row>
    <row r="1308" spans="1:3" hidden="1">
      <c r="A1308" s="400"/>
      <c r="B1308" s="400"/>
      <c r="C1308" s="400"/>
    </row>
    <row r="1309" spans="1:3" hidden="1">
      <c r="A1309" s="400"/>
      <c r="B1309" s="400"/>
      <c r="C1309" s="400"/>
    </row>
    <row r="1310" spans="1:3" hidden="1">
      <c r="A1310" s="400"/>
      <c r="B1310" s="400"/>
      <c r="C1310" s="400"/>
    </row>
    <row r="1311" spans="1:3" hidden="1">
      <c r="A1311" s="400"/>
      <c r="B1311" s="400"/>
      <c r="C1311" s="400"/>
    </row>
    <row r="1312" spans="1:3" hidden="1">
      <c r="A1312" s="400"/>
      <c r="B1312" s="400"/>
      <c r="C1312" s="400"/>
    </row>
    <row r="1313" spans="1:3" hidden="1">
      <c r="A1313" s="400"/>
      <c r="B1313" s="400"/>
      <c r="C1313" s="400"/>
    </row>
    <row r="1314" spans="1:3" hidden="1">
      <c r="A1314" s="400"/>
      <c r="B1314" s="400"/>
      <c r="C1314" s="400"/>
    </row>
    <row r="1315" spans="1:3" hidden="1">
      <c r="A1315" s="400"/>
      <c r="B1315" s="400"/>
      <c r="C1315" s="400"/>
    </row>
    <row r="1316" spans="1:3" hidden="1">
      <c r="A1316" s="400"/>
      <c r="B1316" s="400"/>
      <c r="C1316" s="400"/>
    </row>
    <row r="1317" spans="1:3" hidden="1">
      <c r="A1317" s="400"/>
      <c r="B1317" s="400"/>
      <c r="C1317" s="400"/>
    </row>
    <row r="1318" spans="1:3" hidden="1">
      <c r="A1318" s="400"/>
      <c r="B1318" s="400"/>
      <c r="C1318" s="400"/>
    </row>
    <row r="1319" spans="1:3" hidden="1">
      <c r="A1319" s="400"/>
      <c r="B1319" s="400"/>
      <c r="C1319" s="400"/>
    </row>
    <row r="1320" spans="1:3" hidden="1">
      <c r="A1320" s="400"/>
      <c r="B1320" s="400"/>
      <c r="C1320" s="400"/>
    </row>
    <row r="1321" spans="1:3" hidden="1">
      <c r="A1321" s="400"/>
      <c r="B1321" s="400"/>
      <c r="C1321" s="400"/>
    </row>
    <row r="1322" spans="1:3" hidden="1">
      <c r="A1322" s="400"/>
      <c r="B1322" s="400"/>
      <c r="C1322" s="400"/>
    </row>
    <row r="1323" spans="1:3" hidden="1">
      <c r="A1323" s="400"/>
      <c r="B1323" s="400"/>
      <c r="C1323" s="400"/>
    </row>
    <row r="1324" spans="1:3" hidden="1">
      <c r="A1324" s="400"/>
      <c r="B1324" s="400"/>
      <c r="C1324" s="400"/>
    </row>
    <row r="1325" spans="1:3" hidden="1">
      <c r="A1325" s="400"/>
      <c r="B1325" s="400"/>
      <c r="C1325" s="400"/>
    </row>
    <row r="1326" spans="1:3" hidden="1">
      <c r="A1326" s="400"/>
      <c r="B1326" s="400"/>
      <c r="C1326" s="400"/>
    </row>
    <row r="1327" spans="1:3" hidden="1">
      <c r="A1327" s="400"/>
      <c r="B1327" s="400"/>
      <c r="C1327" s="400"/>
    </row>
    <row r="1328" spans="1:3" hidden="1">
      <c r="A1328" s="400"/>
      <c r="B1328" s="400"/>
      <c r="C1328" s="400"/>
    </row>
    <row r="1329" spans="1:3" hidden="1">
      <c r="A1329" s="400"/>
      <c r="B1329" s="400"/>
      <c r="C1329" s="400"/>
    </row>
    <row r="1330" spans="1:3" hidden="1">
      <c r="A1330" s="400"/>
      <c r="B1330" s="400"/>
      <c r="C1330" s="400"/>
    </row>
    <row r="1331" spans="1:3" hidden="1">
      <c r="A1331" s="400"/>
      <c r="B1331" s="400"/>
      <c r="C1331" s="400"/>
    </row>
    <row r="1332" spans="1:3" hidden="1">
      <c r="A1332" s="400"/>
      <c r="B1332" s="400"/>
      <c r="C1332" s="400"/>
    </row>
    <row r="1333" spans="1:3" hidden="1">
      <c r="A1333" s="400"/>
      <c r="B1333" s="400"/>
      <c r="C1333" s="400"/>
    </row>
    <row r="1334" spans="1:3" hidden="1">
      <c r="A1334" s="400"/>
      <c r="B1334" s="400"/>
      <c r="C1334" s="400"/>
    </row>
    <row r="1335" spans="1:3" hidden="1">
      <c r="A1335" s="400"/>
      <c r="B1335" s="400"/>
      <c r="C1335" s="400"/>
    </row>
    <row r="1336" spans="1:3" hidden="1">
      <c r="A1336" s="400"/>
      <c r="B1336" s="400"/>
      <c r="C1336" s="400"/>
    </row>
    <row r="1337" spans="1:3" hidden="1">
      <c r="A1337" s="400"/>
      <c r="B1337" s="400"/>
      <c r="C1337" s="400"/>
    </row>
    <row r="1338" spans="1:3" hidden="1">
      <c r="A1338" s="400"/>
      <c r="B1338" s="400"/>
      <c r="C1338" s="400"/>
    </row>
    <row r="1339" spans="1:3" hidden="1">
      <c r="A1339" s="400"/>
      <c r="B1339" s="400"/>
      <c r="C1339" s="400"/>
    </row>
    <row r="1340" spans="1:3" hidden="1">
      <c r="A1340" s="400"/>
      <c r="B1340" s="400"/>
      <c r="C1340" s="400"/>
    </row>
    <row r="1341" spans="1:3" hidden="1">
      <c r="A1341" s="400"/>
      <c r="B1341" s="400"/>
      <c r="C1341" s="400"/>
    </row>
    <row r="1342" spans="1:3" hidden="1">
      <c r="A1342" s="400"/>
      <c r="B1342" s="400"/>
      <c r="C1342" s="400"/>
    </row>
    <row r="1343" spans="1:3" hidden="1">
      <c r="A1343" s="400"/>
      <c r="B1343" s="400"/>
      <c r="C1343" s="400"/>
    </row>
    <row r="1344" spans="1:3" hidden="1">
      <c r="A1344" s="400"/>
      <c r="B1344" s="400"/>
      <c r="C1344" s="400"/>
    </row>
    <row r="1345" spans="1:3" hidden="1">
      <c r="A1345" s="400"/>
      <c r="B1345" s="400"/>
      <c r="C1345" s="400"/>
    </row>
    <row r="1346" spans="1:3" hidden="1">
      <c r="A1346" s="400"/>
      <c r="B1346" s="400"/>
      <c r="C1346" s="400"/>
    </row>
    <row r="1347" spans="1:3" hidden="1">
      <c r="A1347" s="400"/>
      <c r="B1347" s="400"/>
      <c r="C1347" s="400"/>
    </row>
    <row r="1348" spans="1:3" hidden="1">
      <c r="A1348" s="400"/>
      <c r="B1348" s="400"/>
      <c r="C1348" s="400"/>
    </row>
    <row r="1349" spans="1:3" hidden="1">
      <c r="A1349" s="400"/>
      <c r="B1349" s="400"/>
      <c r="C1349" s="400"/>
    </row>
    <row r="1350" spans="1:3" hidden="1">
      <c r="A1350" s="400"/>
      <c r="B1350" s="400"/>
      <c r="C1350" s="400"/>
    </row>
    <row r="1351" spans="1:3" hidden="1">
      <c r="A1351" s="400"/>
      <c r="B1351" s="400"/>
      <c r="C1351" s="400"/>
    </row>
    <row r="1352" spans="1:3" hidden="1">
      <c r="A1352" s="400"/>
      <c r="B1352" s="400"/>
      <c r="C1352" s="400"/>
    </row>
    <row r="1353" spans="1:3" hidden="1">
      <c r="A1353" s="400"/>
      <c r="B1353" s="400"/>
      <c r="C1353" s="400"/>
    </row>
    <row r="1354" spans="1:3" hidden="1">
      <c r="A1354" s="400"/>
      <c r="B1354" s="400"/>
      <c r="C1354" s="400"/>
    </row>
    <row r="1355" spans="1:3" hidden="1">
      <c r="A1355" s="400"/>
      <c r="B1355" s="400"/>
      <c r="C1355" s="400"/>
    </row>
    <row r="1356" spans="1:3" hidden="1">
      <c r="A1356" s="400"/>
      <c r="B1356" s="400"/>
      <c r="C1356" s="400"/>
    </row>
    <row r="1357" spans="1:3" hidden="1">
      <c r="A1357" s="400"/>
      <c r="B1357" s="400"/>
      <c r="C1357" s="400"/>
    </row>
    <row r="1358" spans="1:3" hidden="1">
      <c r="A1358" s="400"/>
      <c r="B1358" s="400"/>
      <c r="C1358" s="400"/>
    </row>
    <row r="1359" spans="1:3" hidden="1">
      <c r="A1359" s="400"/>
      <c r="B1359" s="400"/>
      <c r="C1359" s="400"/>
    </row>
    <row r="1360" spans="1:3" hidden="1">
      <c r="A1360" s="400"/>
      <c r="B1360" s="400"/>
      <c r="C1360" s="400"/>
    </row>
    <row r="1361" spans="1:3" hidden="1">
      <c r="A1361" s="400"/>
      <c r="B1361" s="400"/>
      <c r="C1361" s="400"/>
    </row>
    <row r="1362" spans="1:3" hidden="1">
      <c r="A1362" s="400"/>
      <c r="B1362" s="400"/>
      <c r="C1362" s="400"/>
    </row>
    <row r="1363" spans="1:3" hidden="1">
      <c r="A1363" s="400"/>
      <c r="B1363" s="400"/>
      <c r="C1363" s="400"/>
    </row>
    <row r="1364" spans="1:3" hidden="1">
      <c r="A1364" s="400"/>
      <c r="B1364" s="400"/>
      <c r="C1364" s="400"/>
    </row>
    <row r="1365" spans="1:3" hidden="1">
      <c r="A1365" s="400"/>
      <c r="B1365" s="400"/>
      <c r="C1365" s="400"/>
    </row>
    <row r="1366" spans="1:3" hidden="1">
      <c r="A1366" s="400"/>
      <c r="B1366" s="400"/>
      <c r="C1366" s="400"/>
    </row>
    <row r="1367" spans="1:3" hidden="1">
      <c r="A1367" s="400"/>
      <c r="B1367" s="400"/>
      <c r="C1367" s="400"/>
    </row>
    <row r="1368" spans="1:3" hidden="1">
      <c r="A1368" s="400"/>
      <c r="B1368" s="400"/>
      <c r="C1368" s="400"/>
    </row>
    <row r="1369" spans="1:3" hidden="1">
      <c r="A1369" s="400"/>
      <c r="B1369" s="400"/>
      <c r="C1369" s="400"/>
    </row>
    <row r="1370" spans="1:3" hidden="1">
      <c r="A1370" s="400"/>
      <c r="B1370" s="400"/>
      <c r="C1370" s="400"/>
    </row>
    <row r="1371" spans="1:3" hidden="1">
      <c r="A1371" s="400"/>
      <c r="B1371" s="400"/>
      <c r="C1371" s="400"/>
    </row>
    <row r="1372" spans="1:3" hidden="1">
      <c r="A1372" s="400"/>
      <c r="B1372" s="400"/>
      <c r="C1372" s="400"/>
    </row>
    <row r="1373" spans="1:3" hidden="1">
      <c r="A1373" s="400"/>
      <c r="B1373" s="400"/>
      <c r="C1373" s="400"/>
    </row>
    <row r="1374" spans="1:3" hidden="1">
      <c r="A1374" s="400"/>
      <c r="B1374" s="400"/>
      <c r="C1374" s="400"/>
    </row>
    <row r="1375" spans="1:3" hidden="1">
      <c r="A1375" s="400"/>
      <c r="B1375" s="400"/>
      <c r="C1375" s="400"/>
    </row>
    <row r="1376" spans="1:3" hidden="1">
      <c r="A1376" s="400"/>
      <c r="B1376" s="400"/>
      <c r="C1376" s="400"/>
    </row>
    <row r="1377" spans="1:3" hidden="1">
      <c r="A1377" s="400"/>
      <c r="B1377" s="400"/>
      <c r="C1377" s="400"/>
    </row>
    <row r="1378" spans="1:3" hidden="1">
      <c r="A1378" s="400"/>
      <c r="B1378" s="400"/>
      <c r="C1378" s="400"/>
    </row>
    <row r="1379" spans="1:3" hidden="1">
      <c r="A1379" s="400"/>
      <c r="B1379" s="400"/>
      <c r="C1379" s="400"/>
    </row>
    <row r="1380" spans="1:3" hidden="1">
      <c r="A1380" s="400"/>
      <c r="B1380" s="400"/>
      <c r="C1380" s="400"/>
    </row>
    <row r="1381" spans="1:3" hidden="1">
      <c r="A1381" s="400"/>
      <c r="B1381" s="400"/>
      <c r="C1381" s="400"/>
    </row>
    <row r="1382" spans="1:3" hidden="1">
      <c r="A1382" s="400"/>
      <c r="B1382" s="400"/>
      <c r="C1382" s="400"/>
    </row>
    <row r="1383" spans="1:3" hidden="1">
      <c r="A1383" s="400"/>
      <c r="B1383" s="400"/>
      <c r="C1383" s="400"/>
    </row>
    <row r="1384" spans="1:3" hidden="1">
      <c r="A1384" s="400"/>
      <c r="B1384" s="400"/>
      <c r="C1384" s="400"/>
    </row>
    <row r="1385" spans="1:3" hidden="1">
      <c r="A1385" s="400"/>
      <c r="B1385" s="400"/>
      <c r="C1385" s="400"/>
    </row>
    <row r="1386" spans="1:3" hidden="1">
      <c r="A1386" s="400"/>
      <c r="B1386" s="400"/>
      <c r="C1386" s="400"/>
    </row>
    <row r="1387" spans="1:3" hidden="1">
      <c r="A1387" s="400"/>
      <c r="B1387" s="400"/>
      <c r="C1387" s="400"/>
    </row>
    <row r="1388" spans="1:3" hidden="1">
      <c r="A1388" s="400"/>
      <c r="B1388" s="400"/>
      <c r="C1388" s="400"/>
    </row>
    <row r="1389" spans="1:3" hidden="1">
      <c r="A1389" s="400"/>
      <c r="B1389" s="400"/>
      <c r="C1389" s="400"/>
    </row>
    <row r="1390" spans="1:3" hidden="1">
      <c r="A1390" s="400"/>
      <c r="B1390" s="400"/>
      <c r="C1390" s="400"/>
    </row>
    <row r="1391" spans="1:3" hidden="1">
      <c r="A1391" s="400"/>
      <c r="B1391" s="400"/>
      <c r="C1391" s="400"/>
    </row>
    <row r="1392" spans="1:3" hidden="1">
      <c r="A1392" s="400"/>
      <c r="B1392" s="400"/>
      <c r="C1392" s="400"/>
    </row>
    <row r="1393" spans="1:3" hidden="1">
      <c r="A1393" s="400"/>
      <c r="B1393" s="400"/>
      <c r="C1393" s="400"/>
    </row>
    <row r="1394" spans="1:3" hidden="1">
      <c r="A1394" s="400"/>
      <c r="B1394" s="400"/>
      <c r="C1394" s="400"/>
    </row>
    <row r="1395" spans="1:3" hidden="1">
      <c r="A1395" s="400"/>
      <c r="B1395" s="400"/>
      <c r="C1395" s="400"/>
    </row>
    <row r="1396" spans="1:3" hidden="1">
      <c r="A1396" s="400"/>
      <c r="B1396" s="400"/>
      <c r="C1396" s="400"/>
    </row>
    <row r="1397" spans="1:3" hidden="1">
      <c r="A1397" s="400"/>
      <c r="B1397" s="400"/>
      <c r="C1397" s="400"/>
    </row>
    <row r="1398" spans="1:3" hidden="1">
      <c r="A1398" s="400"/>
      <c r="B1398" s="400"/>
      <c r="C1398" s="400"/>
    </row>
    <row r="1399" spans="1:3" hidden="1">
      <c r="A1399" s="400"/>
      <c r="B1399" s="400"/>
      <c r="C1399" s="400"/>
    </row>
    <row r="1400" spans="1:3" hidden="1">
      <c r="A1400" s="400"/>
      <c r="B1400" s="400"/>
      <c r="C1400" s="400"/>
    </row>
    <row r="1401" spans="1:3" hidden="1">
      <c r="A1401" s="400"/>
      <c r="B1401" s="400"/>
      <c r="C1401" s="400"/>
    </row>
    <row r="1402" spans="1:3" hidden="1">
      <c r="A1402" s="400"/>
      <c r="B1402" s="400"/>
      <c r="C1402" s="400"/>
    </row>
    <row r="1403" spans="1:3" hidden="1">
      <c r="A1403" s="400"/>
      <c r="B1403" s="400"/>
      <c r="C1403" s="400"/>
    </row>
    <row r="1404" spans="1:3" hidden="1">
      <c r="A1404" s="400"/>
      <c r="B1404" s="400"/>
      <c r="C1404" s="400"/>
    </row>
    <row r="1407" spans="1:3" hidden="1">
      <c r="A1407" s="400"/>
      <c r="B1407" s="400"/>
      <c r="C1407" s="400"/>
    </row>
    <row r="1408" spans="1:3" hidden="1">
      <c r="A1408" s="400"/>
      <c r="B1408" s="400"/>
      <c r="C1408" s="400"/>
    </row>
    <row r="1409" spans="1:3" hidden="1">
      <c r="A1409" s="400"/>
      <c r="B1409" s="400"/>
      <c r="C1409" s="400"/>
    </row>
    <row r="1410" spans="1:3" hidden="1">
      <c r="A1410" s="400"/>
      <c r="B1410" s="400"/>
      <c r="C1410" s="400"/>
    </row>
    <row r="1411" spans="1:3" hidden="1">
      <c r="A1411" s="400"/>
      <c r="B1411" s="400"/>
      <c r="C1411" s="400"/>
    </row>
    <row r="1412" spans="1:3" hidden="1">
      <c r="A1412" s="400"/>
      <c r="B1412" s="400"/>
      <c r="C1412" s="400"/>
    </row>
    <row r="1413" spans="1:3" hidden="1">
      <c r="A1413" s="400"/>
      <c r="B1413" s="400"/>
      <c r="C1413" s="400"/>
    </row>
    <row r="1414" spans="1:3" hidden="1">
      <c r="A1414" s="400"/>
      <c r="B1414" s="400"/>
      <c r="C1414" s="400"/>
    </row>
    <row r="1415" spans="1:3" hidden="1">
      <c r="A1415" s="400"/>
      <c r="B1415" s="400"/>
      <c r="C1415" s="400"/>
    </row>
    <row r="1416" spans="1:3" hidden="1">
      <c r="A1416" s="400"/>
      <c r="B1416" s="400"/>
      <c r="C1416" s="400"/>
    </row>
    <row r="1417" spans="1:3" hidden="1">
      <c r="A1417" s="400"/>
      <c r="B1417" s="400"/>
      <c r="C1417" s="400"/>
    </row>
    <row r="1418" spans="1:3" hidden="1">
      <c r="A1418" s="400"/>
      <c r="B1418" s="400"/>
      <c r="C1418" s="400"/>
    </row>
    <row r="1419" spans="1:3" hidden="1">
      <c r="A1419" s="400"/>
      <c r="B1419" s="400"/>
      <c r="C1419" s="400"/>
    </row>
    <row r="1420" spans="1:3" hidden="1">
      <c r="A1420" s="400"/>
      <c r="B1420" s="400"/>
      <c r="C1420" s="400"/>
    </row>
    <row r="1421" spans="1:3" hidden="1">
      <c r="A1421" s="400"/>
      <c r="B1421" s="400"/>
      <c r="C1421" s="400"/>
    </row>
    <row r="1422" spans="1:3" hidden="1">
      <c r="A1422" s="400"/>
      <c r="B1422" s="400"/>
      <c r="C1422" s="400"/>
    </row>
    <row r="1423" spans="1:3" hidden="1">
      <c r="A1423" s="400"/>
      <c r="B1423" s="400"/>
      <c r="C1423" s="400"/>
    </row>
    <row r="1424" spans="1:3" hidden="1">
      <c r="A1424" s="400"/>
      <c r="B1424" s="400"/>
      <c r="C1424" s="400"/>
    </row>
    <row r="1425" spans="1:3" hidden="1">
      <c r="A1425" s="400"/>
      <c r="B1425" s="400"/>
      <c r="C1425" s="400"/>
    </row>
    <row r="1426" spans="1:3" hidden="1">
      <c r="A1426" s="400"/>
      <c r="B1426" s="400"/>
      <c r="C1426" s="400"/>
    </row>
    <row r="1427" spans="1:3" hidden="1">
      <c r="A1427" s="400"/>
      <c r="B1427" s="400"/>
      <c r="C1427" s="400"/>
    </row>
    <row r="1428" spans="1:3" hidden="1">
      <c r="A1428" s="400"/>
      <c r="B1428" s="400"/>
      <c r="C1428" s="400"/>
    </row>
    <row r="1429" spans="1:3" hidden="1">
      <c r="A1429" s="400"/>
      <c r="B1429" s="400"/>
      <c r="C1429" s="400"/>
    </row>
    <row r="1430" spans="1:3" hidden="1">
      <c r="A1430" s="400"/>
      <c r="B1430" s="400"/>
      <c r="C1430" s="400"/>
    </row>
    <row r="1431" spans="1:3" hidden="1">
      <c r="A1431" s="400"/>
      <c r="B1431" s="400"/>
      <c r="C1431" s="400"/>
    </row>
    <row r="1432" spans="1:3" hidden="1">
      <c r="A1432" s="400"/>
      <c r="B1432" s="400"/>
      <c r="C1432" s="400"/>
    </row>
    <row r="1433" spans="1:3" hidden="1">
      <c r="A1433" s="400"/>
      <c r="B1433" s="400"/>
      <c r="C1433" s="400"/>
    </row>
    <row r="1434" spans="1:3" hidden="1">
      <c r="A1434" s="400"/>
      <c r="B1434" s="400"/>
      <c r="C1434" s="400"/>
    </row>
    <row r="1435" spans="1:3" hidden="1">
      <c r="A1435" s="400"/>
      <c r="B1435" s="400"/>
      <c r="C1435" s="400"/>
    </row>
    <row r="1436" spans="1:3" hidden="1">
      <c r="A1436" s="400"/>
      <c r="B1436" s="400"/>
      <c r="C1436" s="400"/>
    </row>
    <row r="1437" spans="1:3" hidden="1">
      <c r="A1437" s="400"/>
      <c r="B1437" s="400"/>
      <c r="C1437" s="400"/>
    </row>
    <row r="1438" spans="1:3" hidden="1">
      <c r="A1438" s="400"/>
      <c r="B1438" s="400"/>
      <c r="C1438" s="400"/>
    </row>
    <row r="1439" spans="1:3" hidden="1">
      <c r="A1439" s="400"/>
      <c r="B1439" s="400"/>
      <c r="C1439" s="400"/>
    </row>
    <row r="1440" spans="1:3" hidden="1">
      <c r="A1440" s="400"/>
      <c r="B1440" s="400"/>
      <c r="C1440" s="400"/>
    </row>
    <row r="1441" spans="1:3" hidden="1">
      <c r="A1441" s="400"/>
      <c r="B1441" s="400"/>
      <c r="C1441" s="400"/>
    </row>
    <row r="1442" spans="1:3" hidden="1">
      <c r="A1442" s="400"/>
      <c r="B1442" s="400"/>
      <c r="C1442" s="400"/>
    </row>
    <row r="1443" spans="1:3" hidden="1">
      <c r="A1443" s="400"/>
      <c r="B1443" s="400"/>
      <c r="C1443" s="400"/>
    </row>
    <row r="1444" spans="1:3" hidden="1">
      <c r="A1444" s="400"/>
      <c r="B1444" s="400"/>
      <c r="C1444" s="400"/>
    </row>
    <row r="1445" spans="1:3" hidden="1">
      <c r="A1445" s="400"/>
      <c r="B1445" s="400"/>
      <c r="C1445" s="400"/>
    </row>
    <row r="1446" spans="1:3" hidden="1">
      <c r="A1446" s="400"/>
      <c r="B1446" s="400"/>
      <c r="C1446" s="400"/>
    </row>
    <row r="1447" spans="1:3" hidden="1">
      <c r="A1447" s="400"/>
      <c r="B1447" s="400"/>
      <c r="C1447" s="400"/>
    </row>
    <row r="1448" spans="1:3" hidden="1">
      <c r="A1448" s="400"/>
      <c r="B1448" s="400"/>
      <c r="C1448" s="400"/>
    </row>
    <row r="1449" spans="1:3" hidden="1">
      <c r="A1449" s="400"/>
      <c r="B1449" s="400"/>
      <c r="C1449" s="400"/>
    </row>
    <row r="1450" spans="1:3" hidden="1">
      <c r="A1450" s="400"/>
      <c r="B1450" s="400"/>
      <c r="C1450" s="400"/>
    </row>
    <row r="1451" spans="1:3" hidden="1">
      <c r="A1451" s="400"/>
      <c r="B1451" s="400"/>
      <c r="C1451" s="400"/>
    </row>
    <row r="1452" spans="1:3" hidden="1">
      <c r="A1452" s="400"/>
      <c r="B1452" s="400"/>
      <c r="C1452" s="400"/>
    </row>
    <row r="1453" spans="1:3" hidden="1">
      <c r="A1453" s="400"/>
      <c r="B1453" s="400"/>
      <c r="C1453" s="400"/>
    </row>
    <row r="1454" spans="1:3" hidden="1">
      <c r="A1454" s="400"/>
      <c r="B1454" s="400"/>
      <c r="C1454" s="400"/>
    </row>
    <row r="1455" spans="1:3" hidden="1">
      <c r="A1455" s="400"/>
      <c r="B1455" s="400"/>
      <c r="C1455" s="400"/>
    </row>
    <row r="1456" spans="1:3" hidden="1">
      <c r="A1456" s="400"/>
      <c r="B1456" s="400"/>
      <c r="C1456" s="400"/>
    </row>
    <row r="1457" spans="1:3" hidden="1">
      <c r="A1457" s="400"/>
      <c r="B1457" s="400"/>
      <c r="C1457" s="400"/>
    </row>
    <row r="1458" spans="1:3" hidden="1">
      <c r="A1458" s="400"/>
      <c r="B1458" s="400"/>
      <c r="C1458" s="400"/>
    </row>
    <row r="1459" spans="1:3" hidden="1">
      <c r="A1459" s="400"/>
      <c r="B1459" s="400"/>
      <c r="C1459" s="400"/>
    </row>
    <row r="1460" spans="1:3" hidden="1">
      <c r="A1460" s="400"/>
      <c r="B1460" s="400"/>
      <c r="C1460" s="400"/>
    </row>
    <row r="1461" spans="1:3" hidden="1">
      <c r="A1461" s="400"/>
      <c r="B1461" s="400"/>
      <c r="C1461" s="400"/>
    </row>
    <row r="1462" spans="1:3" hidden="1">
      <c r="A1462" s="400"/>
      <c r="B1462" s="400"/>
      <c r="C1462" s="400"/>
    </row>
    <row r="1463" spans="1:3" hidden="1">
      <c r="A1463" s="400"/>
      <c r="B1463" s="400"/>
      <c r="C1463" s="400"/>
    </row>
    <row r="1464" spans="1:3" hidden="1">
      <c r="A1464" s="400"/>
      <c r="B1464" s="400"/>
      <c r="C1464" s="400"/>
    </row>
    <row r="1465" spans="1:3" hidden="1">
      <c r="A1465" s="400"/>
      <c r="B1465" s="400"/>
      <c r="C1465" s="400"/>
    </row>
    <row r="1466" spans="1:3" hidden="1">
      <c r="A1466" s="400"/>
      <c r="B1466" s="400"/>
      <c r="C1466" s="400"/>
    </row>
    <row r="1467" spans="1:3" hidden="1">
      <c r="A1467" s="400"/>
      <c r="B1467" s="400"/>
      <c r="C1467" s="400"/>
    </row>
    <row r="1468" spans="1:3" hidden="1">
      <c r="A1468" s="400"/>
      <c r="B1468" s="400"/>
      <c r="C1468" s="400"/>
    </row>
    <row r="1469" spans="1:3" hidden="1">
      <c r="A1469" s="400"/>
      <c r="B1469" s="400"/>
      <c r="C1469" s="400"/>
    </row>
    <row r="1470" spans="1:3" hidden="1">
      <c r="A1470" s="400"/>
      <c r="B1470" s="400"/>
      <c r="C1470" s="400"/>
    </row>
    <row r="1471" spans="1:3" hidden="1">
      <c r="A1471" s="400"/>
      <c r="B1471" s="400"/>
      <c r="C1471" s="400"/>
    </row>
    <row r="1472" spans="1:3" hidden="1">
      <c r="A1472" s="400"/>
      <c r="B1472" s="400"/>
      <c r="C1472" s="400"/>
    </row>
    <row r="1473" spans="1:3" hidden="1">
      <c r="A1473" s="400"/>
      <c r="B1473" s="400"/>
      <c r="C1473" s="400"/>
    </row>
    <row r="1474" spans="1:3" hidden="1">
      <c r="A1474" s="400"/>
      <c r="B1474" s="400"/>
      <c r="C1474" s="400"/>
    </row>
    <row r="1475" spans="1:3" hidden="1">
      <c r="A1475" s="400"/>
      <c r="B1475" s="400"/>
      <c r="C1475" s="400"/>
    </row>
    <row r="1476" spans="1:3" hidden="1">
      <c r="A1476" s="400"/>
      <c r="B1476" s="400"/>
      <c r="C1476" s="400"/>
    </row>
    <row r="1477" spans="1:3" hidden="1">
      <c r="A1477" s="400"/>
      <c r="B1477" s="400"/>
      <c r="C1477" s="400"/>
    </row>
    <row r="1478" spans="1:3" hidden="1">
      <c r="A1478" s="400"/>
      <c r="B1478" s="400"/>
      <c r="C1478" s="400"/>
    </row>
    <row r="1479" spans="1:3" hidden="1">
      <c r="A1479" s="400"/>
      <c r="B1479" s="400"/>
      <c r="C1479" s="400"/>
    </row>
    <row r="1480" spans="1:3" hidden="1">
      <c r="A1480" s="400"/>
      <c r="B1480" s="400"/>
      <c r="C1480" s="400"/>
    </row>
    <row r="1481" spans="1:3" hidden="1">
      <c r="A1481" s="400"/>
      <c r="B1481" s="400"/>
      <c r="C1481" s="400"/>
    </row>
    <row r="1482" spans="1:3" hidden="1">
      <c r="A1482" s="400"/>
      <c r="B1482" s="400"/>
      <c r="C1482" s="400"/>
    </row>
    <row r="1483" spans="1:3" hidden="1">
      <c r="A1483" s="400"/>
      <c r="B1483" s="400"/>
      <c r="C1483" s="400"/>
    </row>
    <row r="1484" spans="1:3" hidden="1">
      <c r="A1484" s="400"/>
      <c r="B1484" s="400"/>
      <c r="C1484" s="400"/>
    </row>
    <row r="1485" spans="1:3" hidden="1">
      <c r="A1485" s="400"/>
      <c r="B1485" s="400"/>
      <c r="C1485" s="400"/>
    </row>
    <row r="1486" spans="1:3" hidden="1">
      <c r="A1486" s="400"/>
      <c r="B1486" s="400"/>
      <c r="C1486" s="400"/>
    </row>
    <row r="1487" spans="1:3" hidden="1">
      <c r="A1487" s="400"/>
      <c r="B1487" s="400"/>
      <c r="C1487" s="400"/>
    </row>
    <row r="1488" spans="1:3" hidden="1">
      <c r="A1488" s="400"/>
      <c r="B1488" s="400"/>
      <c r="C1488" s="400"/>
    </row>
    <row r="1489" spans="1:3" hidden="1">
      <c r="A1489" s="400"/>
      <c r="B1489" s="400"/>
      <c r="C1489" s="400"/>
    </row>
    <row r="1490" spans="1:3" hidden="1">
      <c r="A1490" s="400"/>
      <c r="B1490" s="400"/>
      <c r="C1490" s="400"/>
    </row>
    <row r="1491" spans="1:3" hidden="1">
      <c r="A1491" s="400"/>
      <c r="B1491" s="400"/>
      <c r="C1491" s="400"/>
    </row>
    <row r="1492" spans="1:3" hidden="1">
      <c r="A1492" s="400"/>
      <c r="B1492" s="400"/>
      <c r="C1492" s="400"/>
    </row>
    <row r="1493" spans="1:3" hidden="1">
      <c r="A1493" s="400"/>
      <c r="B1493" s="400"/>
      <c r="C1493" s="400"/>
    </row>
    <row r="1494" spans="1:3" hidden="1">
      <c r="A1494" s="400"/>
      <c r="B1494" s="400"/>
      <c r="C1494" s="400"/>
    </row>
    <row r="1495" spans="1:3" hidden="1">
      <c r="A1495" s="400"/>
      <c r="B1495" s="400"/>
      <c r="C1495" s="400"/>
    </row>
    <row r="1496" spans="1:3" hidden="1">
      <c r="A1496" s="400"/>
      <c r="B1496" s="400"/>
      <c r="C1496" s="400"/>
    </row>
    <row r="1497" spans="1:3" hidden="1">
      <c r="A1497" s="400"/>
      <c r="B1497" s="400"/>
      <c r="C1497" s="400"/>
    </row>
    <row r="1498" spans="1:3" hidden="1">
      <c r="A1498" s="400"/>
      <c r="B1498" s="400"/>
      <c r="C1498" s="400"/>
    </row>
    <row r="1499" spans="1:3" hidden="1">
      <c r="A1499" s="400"/>
      <c r="B1499" s="400"/>
      <c r="C1499" s="400"/>
    </row>
    <row r="1500" spans="1:3" hidden="1">
      <c r="A1500" s="400"/>
      <c r="B1500" s="400"/>
      <c r="C1500" s="400"/>
    </row>
    <row r="1501" spans="1:3" hidden="1">
      <c r="A1501" s="400"/>
      <c r="B1501" s="400"/>
      <c r="C1501" s="400"/>
    </row>
    <row r="1502" spans="1:3" hidden="1">
      <c r="A1502" s="400"/>
      <c r="B1502" s="400"/>
      <c r="C1502" s="400"/>
    </row>
    <row r="1503" spans="1:3" hidden="1">
      <c r="A1503" s="400"/>
      <c r="B1503" s="400"/>
      <c r="C1503" s="400"/>
    </row>
    <row r="1504" spans="1:3" hidden="1">
      <c r="A1504" s="400"/>
      <c r="B1504" s="400"/>
      <c r="C1504" s="400"/>
    </row>
    <row r="1505" spans="1:3" hidden="1">
      <c r="A1505" s="400"/>
      <c r="B1505" s="400"/>
      <c r="C1505" s="400"/>
    </row>
    <row r="1506" spans="1:3" hidden="1">
      <c r="A1506" s="400"/>
      <c r="B1506" s="400"/>
      <c r="C1506" s="400"/>
    </row>
    <row r="1507" spans="1:3" hidden="1">
      <c r="A1507" s="400"/>
      <c r="B1507" s="400"/>
      <c r="C1507" s="400"/>
    </row>
    <row r="1508" spans="1:3" hidden="1">
      <c r="A1508" s="400"/>
      <c r="B1508" s="400"/>
      <c r="C1508" s="400"/>
    </row>
    <row r="1509" spans="1:3" hidden="1">
      <c r="A1509" s="400"/>
      <c r="B1509" s="400"/>
      <c r="C1509" s="400"/>
    </row>
    <row r="1510" spans="1:3" hidden="1">
      <c r="A1510" s="400"/>
      <c r="B1510" s="400"/>
      <c r="C1510" s="400"/>
    </row>
    <row r="1511" spans="1:3" hidden="1">
      <c r="A1511" s="400"/>
      <c r="B1511" s="400"/>
      <c r="C1511" s="400"/>
    </row>
    <row r="1512" spans="1:3" hidden="1">
      <c r="A1512" s="400"/>
      <c r="B1512" s="400"/>
      <c r="C1512" s="400"/>
    </row>
    <row r="1513" spans="1:3" hidden="1">
      <c r="A1513" s="400"/>
      <c r="B1513" s="400"/>
      <c r="C1513" s="400"/>
    </row>
    <row r="1514" spans="1:3" hidden="1">
      <c r="A1514" s="400"/>
      <c r="B1514" s="400"/>
      <c r="C1514" s="400"/>
    </row>
    <row r="1515" spans="1:3" hidden="1">
      <c r="A1515" s="400"/>
      <c r="B1515" s="400"/>
      <c r="C1515" s="400"/>
    </row>
    <row r="1516" spans="1:3" hidden="1">
      <c r="A1516" s="400"/>
      <c r="B1516" s="400"/>
      <c r="C1516" s="400"/>
    </row>
    <row r="1517" spans="1:3" hidden="1">
      <c r="A1517" s="400"/>
      <c r="B1517" s="400"/>
      <c r="C1517" s="400"/>
    </row>
    <row r="1518" spans="1:3" hidden="1">
      <c r="A1518" s="400"/>
      <c r="B1518" s="400"/>
      <c r="C1518" s="400"/>
    </row>
    <row r="1519" spans="1:3" hidden="1">
      <c r="A1519" s="400"/>
      <c r="B1519" s="400"/>
      <c r="C1519" s="400"/>
    </row>
    <row r="1520" spans="1:3" hidden="1">
      <c r="A1520" s="400"/>
      <c r="B1520" s="400"/>
      <c r="C1520" s="400"/>
    </row>
    <row r="1521" spans="1:3" hidden="1">
      <c r="A1521" s="400"/>
      <c r="B1521" s="400"/>
      <c r="C1521" s="400"/>
    </row>
    <row r="1522" spans="1:3" hidden="1">
      <c r="A1522" s="400"/>
      <c r="B1522" s="400"/>
      <c r="C1522" s="400"/>
    </row>
    <row r="1523" spans="1:3" hidden="1">
      <c r="A1523" s="400"/>
      <c r="B1523" s="400"/>
      <c r="C1523" s="400"/>
    </row>
    <row r="1524" spans="1:3" hidden="1">
      <c r="A1524" s="400"/>
      <c r="B1524" s="400"/>
      <c r="C1524" s="400"/>
    </row>
    <row r="1525" spans="1:3" hidden="1">
      <c r="A1525" s="400"/>
      <c r="B1525" s="400"/>
      <c r="C1525" s="400"/>
    </row>
    <row r="1526" spans="1:3" hidden="1">
      <c r="A1526" s="400"/>
      <c r="B1526" s="400"/>
      <c r="C1526" s="400"/>
    </row>
    <row r="1527" spans="1:3" hidden="1">
      <c r="A1527" s="400"/>
      <c r="B1527" s="400"/>
      <c r="C1527" s="400"/>
    </row>
    <row r="1528" spans="1:3" hidden="1">
      <c r="A1528" s="400"/>
      <c r="B1528" s="400"/>
      <c r="C1528" s="400"/>
    </row>
    <row r="1529" spans="1:3" hidden="1">
      <c r="A1529" s="400"/>
      <c r="B1529" s="400"/>
      <c r="C1529" s="400"/>
    </row>
    <row r="1530" spans="1:3" hidden="1">
      <c r="A1530" s="400"/>
      <c r="B1530" s="400"/>
      <c r="C1530" s="400"/>
    </row>
    <row r="1531" spans="1:3" hidden="1">
      <c r="A1531" s="400"/>
      <c r="B1531" s="400"/>
      <c r="C1531" s="400"/>
    </row>
    <row r="1532" spans="1:3" hidden="1">
      <c r="A1532" s="400"/>
      <c r="B1532" s="400"/>
      <c r="C1532" s="400"/>
    </row>
    <row r="1533" spans="1:3" hidden="1">
      <c r="A1533" s="400"/>
      <c r="B1533" s="400"/>
      <c r="C1533" s="400"/>
    </row>
    <row r="1534" spans="1:3" hidden="1">
      <c r="A1534" s="400"/>
      <c r="B1534" s="400"/>
      <c r="C1534" s="400"/>
    </row>
    <row r="1535" spans="1:3" hidden="1">
      <c r="A1535" s="400"/>
      <c r="B1535" s="400"/>
      <c r="C1535" s="400"/>
    </row>
    <row r="1536" spans="1:3" hidden="1">
      <c r="A1536" s="400"/>
      <c r="B1536" s="400"/>
      <c r="C1536" s="400"/>
    </row>
    <row r="1537" spans="1:3" hidden="1">
      <c r="A1537" s="400"/>
      <c r="B1537" s="400"/>
      <c r="C1537" s="400"/>
    </row>
    <row r="1538" spans="1:3" hidden="1">
      <c r="A1538" s="400"/>
      <c r="B1538" s="400"/>
      <c r="C1538" s="400"/>
    </row>
    <row r="1539" spans="1:3" hidden="1">
      <c r="A1539" s="400"/>
      <c r="B1539" s="400"/>
      <c r="C1539" s="400"/>
    </row>
    <row r="1540" spans="1:3" hidden="1">
      <c r="A1540" s="400"/>
      <c r="B1540" s="400"/>
      <c r="C1540" s="400"/>
    </row>
    <row r="1541" spans="1:3" hidden="1">
      <c r="A1541" s="400"/>
      <c r="B1541" s="400"/>
      <c r="C1541" s="400"/>
    </row>
    <row r="1542" spans="1:3" hidden="1">
      <c r="A1542" s="400"/>
      <c r="B1542" s="400"/>
      <c r="C1542" s="400"/>
    </row>
    <row r="1543" spans="1:3" hidden="1">
      <c r="A1543" s="400"/>
      <c r="B1543" s="400"/>
      <c r="C1543" s="400"/>
    </row>
    <row r="1544" spans="1:3" hidden="1">
      <c r="A1544" s="400"/>
      <c r="B1544" s="400"/>
      <c r="C1544" s="400"/>
    </row>
    <row r="1545" spans="1:3" hidden="1">
      <c r="A1545" s="400"/>
      <c r="B1545" s="400"/>
      <c r="C1545" s="400"/>
    </row>
    <row r="1546" spans="1:3" hidden="1">
      <c r="A1546" s="400"/>
      <c r="B1546" s="400"/>
      <c r="C1546" s="400"/>
    </row>
    <row r="1547" spans="1:3" hidden="1">
      <c r="A1547" s="400"/>
      <c r="B1547" s="400"/>
      <c r="C1547" s="400"/>
    </row>
    <row r="1548" spans="1:3" hidden="1">
      <c r="A1548" s="400"/>
      <c r="B1548" s="400"/>
      <c r="C1548" s="400"/>
    </row>
    <row r="1549" spans="1:3" hidden="1">
      <c r="A1549" s="400"/>
      <c r="B1549" s="400"/>
      <c r="C1549" s="400"/>
    </row>
    <row r="1553" spans="7:9" hidden="1">
      <c r="G1553" s="1569"/>
      <c r="H1553" s="1569"/>
      <c r="I1553" s="156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90" workbookViewId="0">
      <selection activeCell="AC218" sqref="AC218"/>
    </sheetView>
  </sheetViews>
  <sheetFormatPr defaultColWidth="0" defaultRowHeight="0" customHeight="1" zeroHeight="1"/>
  <cols>
    <col min="1" max="45" width="2.5703125" customWidth="1"/>
    <col min="46" max="46" width="12.42578125" customWidth="1"/>
    <col min="47" max="16384" width="12.42578125" hidden="1"/>
  </cols>
  <sheetData>
    <row r="1" spans="1:58" ht="12.95" customHeight="1">
      <c r="J1" s="100"/>
      <c r="AS1" s="1023">
        <v>4</v>
      </c>
      <c r="BD1" s="3" t="s">
        <v>2418</v>
      </c>
      <c r="BE1" s="3"/>
      <c r="BF1" s="3"/>
    </row>
    <row r="2" spans="1:58" ht="12.95" customHeight="1">
      <c r="BD2" s="3" t="s">
        <v>2419</v>
      </c>
      <c r="BE2" s="3" t="s">
        <v>2420</v>
      </c>
      <c r="BF2" s="3" t="s">
        <v>2421</v>
      </c>
    </row>
    <row r="3" spans="1:58" ht="12.95" customHeight="1">
      <c r="BD3" s="3" t="s">
        <v>2513</v>
      </c>
      <c r="BE3" t="str">
        <f>AC220</f>
        <v>Northern (Butte, El Dorado, Placer, Sacramento, San Joaquin, Shasta, Solano, Sutter, Yuba, and Yolo Counties)</v>
      </c>
    </row>
    <row r="4" spans="1:58" ht="12.95" customHeight="1">
      <c r="BD4" s="3" t="s">
        <v>2428</v>
      </c>
      <c r="BE4" s="1175"/>
    </row>
    <row r="5" spans="1:58" ht="12.95" customHeight="1">
      <c r="BD5" s="3" t="s">
        <v>2429</v>
      </c>
      <c r="BE5">
        <f>SUMIF($AC$726:$AC$760,"&lt;=20%",$G$726:G$760)</f>
        <v>0</v>
      </c>
      <c r="BF5" s="3" t="s">
        <v>2434</v>
      </c>
    </row>
    <row r="6" spans="1:58" ht="12.95" customHeight="1">
      <c r="BD6" s="3" t="s">
        <v>2430</v>
      </c>
      <c r="BE6" s="1178">
        <f>SUMIF($AC$726:$AC$760,"&lt;=25%",$G$726:G$760)-SUM($BE$5:BE5)</f>
        <v>0</v>
      </c>
    </row>
    <row r="7" spans="1:58" ht="12.95" customHeight="1">
      <c r="BD7" s="1176" t="s">
        <v>2422</v>
      </c>
      <c r="BE7" s="1178">
        <f>SUMIF($AC$726:$AC$760,"&lt;=30%",$G$726:G$760)-SUM($BE$5:BE6)</f>
        <v>12</v>
      </c>
    </row>
    <row r="8" spans="1:58" ht="26.25" customHeight="1">
      <c r="A8" s="1734" t="s">
        <v>100</v>
      </c>
      <c r="B8" s="1734"/>
      <c r="C8" s="1734"/>
      <c r="D8" s="1734"/>
      <c r="E8" s="1734"/>
      <c r="F8" s="1734"/>
      <c r="G8" s="1734"/>
      <c r="H8" s="1734"/>
      <c r="I8" s="1734"/>
      <c r="J8" s="1734"/>
      <c r="K8" s="1734"/>
      <c r="L8" s="1734"/>
      <c r="M8" s="1734"/>
      <c r="N8" s="1734"/>
      <c r="O8" s="1734"/>
      <c r="P8" s="1734"/>
      <c r="Q8" s="1734"/>
      <c r="R8" s="1734"/>
      <c r="S8" s="1734"/>
      <c r="T8" s="1734"/>
      <c r="U8" s="1734"/>
      <c r="V8" s="1734"/>
      <c r="W8" s="1734"/>
      <c r="X8" s="1734"/>
      <c r="Y8" s="1734"/>
      <c r="Z8" s="1734"/>
      <c r="AA8" s="1734"/>
      <c r="AB8" s="1734"/>
      <c r="AC8" s="1734"/>
      <c r="AD8" s="1734"/>
      <c r="AE8" s="1734"/>
      <c r="AF8" s="1734"/>
      <c r="AG8" s="1734"/>
      <c r="AH8" s="1734"/>
      <c r="AI8" s="1734"/>
      <c r="AJ8" s="1734"/>
      <c r="AK8" s="1734"/>
      <c r="AL8" s="1734"/>
      <c r="AM8" s="1734"/>
      <c r="AN8" s="1734"/>
      <c r="AO8" s="1734"/>
      <c r="AP8" s="1734"/>
      <c r="AQ8" s="1734"/>
      <c r="AR8" s="1734"/>
      <c r="AS8" s="1734"/>
      <c r="AT8" s="1734"/>
      <c r="AU8" s="892"/>
      <c r="AV8" s="892"/>
      <c r="AW8" s="892"/>
      <c r="AX8" s="892"/>
      <c r="AY8" s="892"/>
      <c r="BD8" s="3" t="s">
        <v>2431</v>
      </c>
      <c r="BE8" s="1178">
        <f>SUMIF($AC$726:$AC$760,"&lt;=35%",$G$726:G$760)-SUM($BE$5:BE7)</f>
        <v>0</v>
      </c>
    </row>
    <row r="9" spans="1:58" ht="12.95" customHeight="1">
      <c r="A9" s="1607" t="s">
        <v>2029</v>
      </c>
      <c r="B9" s="1607"/>
      <c r="C9" s="1607"/>
      <c r="D9" s="1607"/>
      <c r="E9" s="1607"/>
      <c r="F9" s="1607"/>
      <c r="G9" s="1607"/>
      <c r="H9" s="1607"/>
      <c r="I9" s="1607"/>
      <c r="J9" s="1607"/>
      <c r="K9" s="1607"/>
      <c r="L9" s="1607"/>
      <c r="M9" s="1607"/>
      <c r="N9" s="1607"/>
      <c r="O9" s="1607"/>
      <c r="P9" s="1607"/>
      <c r="Q9" s="1607"/>
      <c r="R9" s="1607"/>
      <c r="S9" s="1607"/>
      <c r="T9" s="1607"/>
      <c r="U9" s="1607"/>
      <c r="V9" s="1607"/>
      <c r="W9" s="1607"/>
      <c r="X9" s="1607"/>
      <c r="Y9" s="1607"/>
      <c r="Z9" s="1607"/>
      <c r="AA9" s="1607"/>
      <c r="AB9" s="1607"/>
      <c r="AC9" s="1607"/>
      <c r="AD9" s="1607"/>
      <c r="AE9" s="1607"/>
      <c r="AF9" s="1607"/>
      <c r="AG9" s="1607"/>
      <c r="AH9" s="1607"/>
      <c r="AI9" s="1607"/>
      <c r="AJ9" s="1607"/>
      <c r="AK9" s="1607"/>
      <c r="AL9" s="1607"/>
      <c r="AM9" s="1607"/>
      <c r="AN9" s="1607"/>
      <c r="AO9" s="1607"/>
      <c r="AP9" s="1607"/>
      <c r="AQ9" s="1607"/>
      <c r="AR9" s="1607"/>
      <c r="AS9" s="1607"/>
      <c r="AT9" s="1607"/>
      <c r="AU9" s="13"/>
      <c r="AV9" s="13"/>
      <c r="AW9" s="13"/>
      <c r="AX9" s="13"/>
      <c r="AY9" s="13"/>
      <c r="BD9" s="1177" t="s">
        <v>2423</v>
      </c>
      <c r="BE9" s="1178">
        <f>SUMIF($AC$726:$AC$760,"&lt;=40%",$G$726:G$760)-SUM($BE$5:BE8)</f>
        <v>0</v>
      </c>
    </row>
    <row r="10" spans="1:58" ht="12.95" customHeight="1">
      <c r="A10" s="1607" t="s">
        <v>2593</v>
      </c>
      <c r="B10" s="1607"/>
      <c r="C10" s="1607"/>
      <c r="D10" s="1607"/>
      <c r="E10" s="1607"/>
      <c r="F10" s="1607"/>
      <c r="G10" s="1607"/>
      <c r="H10" s="1607"/>
      <c r="I10" s="1607"/>
      <c r="J10" s="1607"/>
      <c r="K10" s="1607"/>
      <c r="L10" s="1607"/>
      <c r="M10" s="1607"/>
      <c r="N10" s="1607"/>
      <c r="O10" s="1607"/>
      <c r="P10" s="1607"/>
      <c r="Q10" s="1607"/>
      <c r="R10" s="1607"/>
      <c r="S10" s="1607"/>
      <c r="T10" s="1607"/>
      <c r="U10" s="1607"/>
      <c r="V10" s="1607"/>
      <c r="W10" s="1607"/>
      <c r="X10" s="1607"/>
      <c r="Y10" s="1607"/>
      <c r="Z10" s="1607"/>
      <c r="AA10" s="1607"/>
      <c r="AB10" s="1607"/>
      <c r="AC10" s="1607"/>
      <c r="AD10" s="1607"/>
      <c r="AE10" s="1607"/>
      <c r="AF10" s="1607"/>
      <c r="AG10" s="1607"/>
      <c r="AH10" s="1607"/>
      <c r="AI10" s="1607"/>
      <c r="AJ10" s="1607"/>
      <c r="AK10" s="1607"/>
      <c r="AL10" s="1607"/>
      <c r="AM10" s="1607"/>
      <c r="AN10" s="1607"/>
      <c r="AO10" s="1607"/>
      <c r="AP10" s="1607"/>
      <c r="AQ10" s="1607"/>
      <c r="AR10" s="1607"/>
      <c r="AS10" s="1607"/>
      <c r="AT10" s="1607"/>
      <c r="AU10" s="13"/>
      <c r="AV10" s="13"/>
      <c r="AW10" s="13"/>
      <c r="AX10" s="13"/>
      <c r="AY10" s="13"/>
      <c r="BD10" s="3" t="s">
        <v>2432</v>
      </c>
      <c r="BE10" s="1178">
        <f>SUMIF($AC$726:$AC$760,"&lt;=45%",$G$726:G$760)-SUM($BE$5:BE9)</f>
        <v>0</v>
      </c>
    </row>
    <row r="11" spans="1:58" ht="12.95" customHeight="1">
      <c r="A11" s="1607" t="s">
        <v>2521</v>
      </c>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c r="AU11" s="13"/>
      <c r="AV11" s="13"/>
      <c r="AW11" s="13"/>
      <c r="AX11" s="13"/>
      <c r="AY11" s="13"/>
      <c r="BD11" s="1176" t="s">
        <v>2424</v>
      </c>
      <c r="BE11" s="1178">
        <f>SUMIF($AC$726:$AC$760,"&lt;=50%",$G$726:G$760)-SUM($BE$5:BE10)</f>
        <v>24</v>
      </c>
    </row>
    <row r="12" spans="1:58" ht="12.95" customHeight="1">
      <c r="A12" s="1735" t="s">
        <v>2628</v>
      </c>
      <c r="B12" s="1735"/>
      <c r="C12" s="1735"/>
      <c r="D12" s="1735"/>
      <c r="E12" s="1735"/>
      <c r="F12" s="1735"/>
      <c r="G12" s="1735"/>
      <c r="H12" s="1735"/>
      <c r="I12" s="1735"/>
      <c r="J12" s="1735"/>
      <c r="K12" s="1735"/>
      <c r="L12" s="1735"/>
      <c r="M12" s="1735"/>
      <c r="N12" s="1735"/>
      <c r="O12" s="1735"/>
      <c r="P12" s="1735"/>
      <c r="Q12" s="1735"/>
      <c r="R12" s="1735"/>
      <c r="S12" s="1735"/>
      <c r="T12" s="1735"/>
      <c r="U12" s="1735"/>
      <c r="V12" s="1735"/>
      <c r="W12" s="1735"/>
      <c r="X12" s="1735"/>
      <c r="Y12" s="1735"/>
      <c r="Z12" s="1735"/>
      <c r="AA12" s="1735"/>
      <c r="AB12" s="1735"/>
      <c r="AC12" s="1735"/>
      <c r="AD12" s="1735"/>
      <c r="AE12" s="1735"/>
      <c r="AF12" s="1735"/>
      <c r="AG12" s="1735"/>
      <c r="AH12" s="1735"/>
      <c r="AI12" s="1735"/>
      <c r="AJ12" s="1735"/>
      <c r="AK12" s="1735"/>
      <c r="AL12" s="1735"/>
      <c r="AM12" s="1735"/>
      <c r="AN12" s="1735"/>
      <c r="AO12" s="1735"/>
      <c r="AP12" s="1735"/>
      <c r="AQ12" s="1735"/>
      <c r="AR12" s="1735"/>
      <c r="AS12" s="1735"/>
      <c r="AT12" s="1735"/>
      <c r="AU12" s="6"/>
      <c r="AV12" s="6"/>
      <c r="AW12" s="6"/>
      <c r="AX12" s="6"/>
      <c r="AY12" s="6"/>
      <c r="BD12" s="3" t="s">
        <v>2433</v>
      </c>
      <c r="BE12" s="1178">
        <f>SUMIF($AC$726:$AC$760,"&lt;=55%",$G$726:G$760)-SUM($BE$5:BE11)</f>
        <v>0</v>
      </c>
    </row>
    <row r="13" spans="1:58" ht="12.95" customHeight="1">
      <c r="A13" s="1526" t="s">
        <v>2030</v>
      </c>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c r="AM13" s="1526"/>
      <c r="AN13" s="1526"/>
      <c r="AO13" s="1526"/>
      <c r="AP13" s="1526"/>
      <c r="AQ13" s="1526"/>
      <c r="AR13" s="1526"/>
      <c r="AS13" s="1526"/>
      <c r="AT13" s="1526"/>
      <c r="AU13" s="893"/>
      <c r="AV13" s="893"/>
      <c r="AW13" s="893"/>
      <c r="AX13" s="893"/>
      <c r="AY13" s="893"/>
      <c r="BD13" s="1177" t="s">
        <v>2425</v>
      </c>
      <c r="BE13" s="1178">
        <f>SUMIF($AC$726:$AC$760,"&lt;=60%",$G$726:G$760)-SUM($BE$5:BE12)</f>
        <v>60</v>
      </c>
    </row>
    <row r="14" spans="1:58" ht="12.95" customHeight="1">
      <c r="A14" s="1526"/>
      <c r="B14" s="1526"/>
      <c r="C14" s="1526"/>
      <c r="D14" s="1526"/>
      <c r="E14" s="1526"/>
      <c r="F14" s="1526"/>
      <c r="G14" s="1526"/>
      <c r="H14" s="1526"/>
      <c r="I14" s="1526"/>
      <c r="J14" s="1526"/>
      <c r="K14" s="1526"/>
      <c r="L14" s="1526"/>
      <c r="M14" s="1526"/>
      <c r="N14" s="1526"/>
      <c r="O14" s="1526"/>
      <c r="P14" s="1526"/>
      <c r="Q14" s="1526"/>
      <c r="R14" s="1526"/>
      <c r="S14" s="1526"/>
      <c r="T14" s="1526"/>
      <c r="U14" s="1526"/>
      <c r="V14" s="1526"/>
      <c r="W14" s="1526"/>
      <c r="X14" s="1526"/>
      <c r="Y14" s="1526"/>
      <c r="Z14" s="1526"/>
      <c r="AA14" s="1526"/>
      <c r="AB14" s="1526"/>
      <c r="AC14" s="1526"/>
      <c r="AD14" s="1526"/>
      <c r="AE14" s="1526"/>
      <c r="AF14" s="1526"/>
      <c r="AG14" s="1526"/>
      <c r="AH14" s="1526"/>
      <c r="AI14" s="1526"/>
      <c r="AJ14" s="1526"/>
      <c r="AK14" s="1526"/>
      <c r="AL14" s="1526"/>
      <c r="AM14" s="1526"/>
      <c r="AN14" s="1526"/>
      <c r="AO14" s="1526"/>
      <c r="AP14" s="1526"/>
      <c r="AQ14" s="1526"/>
      <c r="AR14" s="1526"/>
      <c r="AS14" s="1526"/>
      <c r="AT14" s="1526"/>
      <c r="AU14" s="893"/>
      <c r="AV14" s="893"/>
      <c r="AW14" s="893"/>
      <c r="AX14" s="893"/>
      <c r="AY14" s="893"/>
      <c r="BD14" s="1176" t="s">
        <v>2426</v>
      </c>
      <c r="BE14" s="1178">
        <f>SUMIF($AC$726:$AC$760,"&lt;=70%",$G$726:G$760)-SUM($BE$5:BE13)</f>
        <v>22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77" t="s">
        <v>2427</v>
      </c>
      <c r="BE15" s="1178">
        <f>SUMIF($AC$726:$AC$760,"&lt;=80%",$G$726:G$760)-SUM($BE$5:BE14)</f>
        <v>0</v>
      </c>
    </row>
    <row r="16" spans="1:58" ht="12.95" customHeight="1">
      <c r="A16" s="57" t="s">
        <v>2031</v>
      </c>
      <c r="C16" s="4"/>
      <c r="D16" s="4"/>
      <c r="E16" s="4"/>
      <c r="F16" s="4"/>
      <c r="G16" s="4"/>
      <c r="H16" s="1742" t="s">
        <v>2636</v>
      </c>
      <c r="I16" s="1743"/>
      <c r="J16" s="1743"/>
      <c r="K16" s="1743"/>
      <c r="L16" s="1743"/>
      <c r="M16" s="1743"/>
      <c r="N16" s="1743"/>
      <c r="O16" s="1743"/>
      <c r="P16" s="1743"/>
      <c r="Q16" s="1743"/>
      <c r="R16" s="1743"/>
      <c r="S16" s="1743"/>
      <c r="T16" s="1743"/>
      <c r="U16" s="1743"/>
      <c r="V16" s="1743"/>
      <c r="W16" s="1743"/>
      <c r="X16" s="1743"/>
      <c r="Y16" s="1743"/>
      <c r="Z16" s="1743"/>
      <c r="AA16" s="1743"/>
      <c r="AB16" s="1743"/>
      <c r="AC16" s="1743"/>
      <c r="AD16" s="1743"/>
      <c r="AE16" s="1743"/>
      <c r="AF16" s="1743"/>
      <c r="AG16" s="1743"/>
      <c r="AH16" s="1743"/>
      <c r="AI16" s="1743"/>
      <c r="AJ16" s="1743"/>
      <c r="BD16" s="1177" t="s">
        <v>655</v>
      </c>
      <c r="BE16" s="1178" t="str">
        <f>Application!H18</f>
        <v>Russell at Truxel Apartments</v>
      </c>
    </row>
    <row r="17" spans="1:58" ht="12.95" customHeight="1">
      <c r="BD17" s="1176" t="s">
        <v>2439</v>
      </c>
      <c r="BE17" s="1178">
        <f>Application!AA943</f>
        <v>0</v>
      </c>
    </row>
    <row r="18" spans="1:58" ht="12.95" customHeight="1">
      <c r="A18" s="57" t="s">
        <v>101</v>
      </c>
      <c r="C18" s="4"/>
      <c r="D18" s="4"/>
      <c r="E18" s="4"/>
      <c r="F18" s="4"/>
      <c r="G18" s="4"/>
      <c r="H18" s="1703" t="s">
        <v>2640</v>
      </c>
      <c r="I18" s="1740"/>
      <c r="J18" s="1740"/>
      <c r="K18" s="1740"/>
      <c r="L18" s="1740"/>
      <c r="M18" s="1740"/>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BD18" s="1177" t="s">
        <v>2440</v>
      </c>
      <c r="BE18" s="1178">
        <f>AA943</f>
        <v>0</v>
      </c>
    </row>
    <row r="19" spans="1:58" ht="12.95" customHeight="1">
      <c r="BD19" s="1176" t="s">
        <v>2441</v>
      </c>
      <c r="BE19" s="1178">
        <f>Application!M26</f>
        <v>2859066</v>
      </c>
    </row>
    <row r="20" spans="1:58" ht="12.95" customHeight="1">
      <c r="A20" s="1736" t="s">
        <v>870</v>
      </c>
      <c r="B20" s="1736"/>
      <c r="C20" s="1736"/>
      <c r="D20" s="1736"/>
      <c r="E20" s="1736"/>
      <c r="F20" s="1736"/>
      <c r="G20" s="1736"/>
      <c r="H20" s="1736"/>
      <c r="I20" s="1736"/>
      <c r="J20" s="1736"/>
      <c r="K20" s="1736"/>
      <c r="L20" s="1736"/>
      <c r="M20" s="1736"/>
      <c r="N20" s="1736"/>
      <c r="O20" s="1736"/>
      <c r="P20" s="1736"/>
      <c r="Q20" s="1736"/>
      <c r="R20" s="1736"/>
      <c r="S20" s="1736"/>
      <c r="T20" s="1736"/>
      <c r="U20" s="1736"/>
      <c r="V20" s="1736"/>
      <c r="W20" s="1736"/>
      <c r="X20" s="1736"/>
      <c r="Y20" s="1736"/>
      <c r="Z20" s="1736"/>
      <c r="AA20" s="1736"/>
      <c r="AB20" s="1736"/>
      <c r="AC20" s="1736"/>
      <c r="AD20" s="1736"/>
      <c r="AE20" s="1736"/>
      <c r="AF20" s="1736"/>
      <c r="AG20" s="1736"/>
      <c r="AH20" s="1736"/>
      <c r="AI20" s="1736"/>
      <c r="AJ20" s="1736"/>
      <c r="AK20" s="1736"/>
      <c r="AL20" s="1736"/>
      <c r="AM20" s="1736"/>
      <c r="AN20" s="1736"/>
      <c r="AO20" s="1736"/>
      <c r="AP20" s="1736"/>
      <c r="AQ20" s="1736"/>
      <c r="AR20" s="1736"/>
      <c r="AS20" s="1736"/>
      <c r="AT20" s="1736"/>
      <c r="AU20" s="894"/>
      <c r="AV20" s="894"/>
      <c r="AW20" s="894"/>
      <c r="AX20" s="894"/>
      <c r="AY20" s="894"/>
      <c r="BD20" s="1177" t="s">
        <v>2442</v>
      </c>
      <c r="BE20" s="1178">
        <f>Application!M27</f>
        <v>16248638</v>
      </c>
    </row>
    <row r="21" spans="1:58" ht="12.95" customHeight="1">
      <c r="A21" s="1660" t="s">
        <v>1006</v>
      </c>
      <c r="B21" s="1660"/>
      <c r="C21" s="1660"/>
      <c r="D21" s="1660"/>
      <c r="E21" s="1660"/>
      <c r="F21" s="1660"/>
      <c r="G21" s="1660"/>
      <c r="H21" s="1660"/>
      <c r="I21" s="1660"/>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0"/>
      <c r="AK21" s="1660"/>
      <c r="AL21" s="1660"/>
      <c r="AM21" s="895"/>
      <c r="AN21" s="895"/>
      <c r="AO21" s="895"/>
      <c r="AP21" s="895"/>
      <c r="AQ21" s="895"/>
      <c r="AR21" s="895"/>
      <c r="AS21" s="895"/>
      <c r="AT21" s="895"/>
      <c r="AU21" s="895"/>
      <c r="AV21" s="895"/>
      <c r="AW21" s="895"/>
      <c r="AX21" s="895"/>
      <c r="AY21" s="895"/>
      <c r="BD21" s="1176" t="s">
        <v>2443</v>
      </c>
      <c r="BE21" s="1178">
        <f>Application!AM562</f>
        <v>15120000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77" t="s">
        <v>282</v>
      </c>
      <c r="BE22" s="1178">
        <f>'Sources and Uses Budget'!B105</f>
        <v>58141072</v>
      </c>
      <c r="BF22" s="3" t="s">
        <v>2514</v>
      </c>
    </row>
    <row r="23" spans="1:58" ht="12.95" customHeight="1">
      <c r="A23" s="1561" t="s">
        <v>2097</v>
      </c>
      <c r="B23" s="1561"/>
      <c r="C23" s="1561"/>
      <c r="D23" s="1561"/>
      <c r="E23" s="1561"/>
      <c r="F23" s="1561"/>
      <c r="G23" s="1561"/>
      <c r="H23" s="1561"/>
      <c r="I23" s="1561"/>
      <c r="J23" s="1561"/>
      <c r="K23" s="1561"/>
      <c r="L23" s="1561"/>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c r="AN23" s="1561"/>
      <c r="AO23" s="1561"/>
      <c r="AP23" s="1561"/>
      <c r="AQ23" s="1561"/>
      <c r="AR23" s="1561"/>
      <c r="AS23" s="1561"/>
      <c r="AT23" s="1561"/>
      <c r="AU23" s="18"/>
      <c r="AV23" s="18"/>
      <c r="AW23" s="18"/>
      <c r="AX23" s="18"/>
      <c r="AY23" s="18"/>
      <c r="AZ23" s="18"/>
      <c r="BD23" s="1176" t="s">
        <v>2444</v>
      </c>
      <c r="BE23" s="1178">
        <f>'Sources and Uses Budget'!B4</f>
        <v>1</v>
      </c>
    </row>
    <row r="24" spans="1:58" ht="12.95" customHeight="1">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c r="AN24" s="1561"/>
      <c r="AO24" s="1561"/>
      <c r="AP24" s="1561"/>
      <c r="AQ24" s="1561"/>
      <c r="AR24" s="1561"/>
      <c r="AS24" s="1561"/>
      <c r="AT24" s="1561"/>
      <c r="AU24" s="18"/>
      <c r="AV24" s="18"/>
      <c r="AW24" s="18"/>
      <c r="AX24" s="18"/>
      <c r="AY24" s="18"/>
      <c r="AZ24" s="18"/>
      <c r="BD24" s="1177" t="s">
        <v>2445</v>
      </c>
      <c r="BE24" s="1178">
        <f>Application!AG459</f>
        <v>114067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76" t="s">
        <v>2446</v>
      </c>
      <c r="BE25" s="1178" t="str">
        <f>Application!D208</f>
        <v>40%/60%</v>
      </c>
    </row>
    <row r="26" spans="1:58" ht="12.95" customHeight="1">
      <c r="A26" s="4"/>
      <c r="C26" s="4"/>
      <c r="D26" s="4"/>
      <c r="E26" s="4"/>
      <c r="F26" s="4"/>
      <c r="G26" s="4"/>
      <c r="H26" s="4"/>
      <c r="I26" s="4"/>
      <c r="J26" s="4"/>
      <c r="K26" s="4"/>
      <c r="L26" s="4"/>
      <c r="M26" s="1741">
        <f>'Basis &amp; Credits'!AB56</f>
        <v>2859066</v>
      </c>
      <c r="N26" s="1741"/>
      <c r="O26" s="1741"/>
      <c r="P26" s="1741"/>
      <c r="Q26" s="1741"/>
      <c r="R26" s="4" t="s">
        <v>758</v>
      </c>
      <c r="S26" s="4"/>
      <c r="T26" s="4"/>
      <c r="U26" s="4"/>
      <c r="V26" s="4"/>
      <c r="W26" s="4"/>
      <c r="X26" s="4"/>
      <c r="Y26" s="4"/>
      <c r="Z26" s="4"/>
      <c r="AF26" s="4"/>
      <c r="AG26" s="4"/>
      <c r="AH26" s="4"/>
      <c r="AI26" s="4"/>
      <c r="AJ26" s="4"/>
      <c r="AK26" s="4"/>
      <c r="BD26" s="1177" t="s">
        <v>1625</v>
      </c>
      <c r="BE26" s="1178" t="b">
        <f>Application!M365="Yes"</f>
        <v>0</v>
      </c>
    </row>
    <row r="27" spans="1:58" ht="12.95" customHeight="1">
      <c r="A27" s="4"/>
      <c r="C27" s="4"/>
      <c r="D27" s="4"/>
      <c r="E27" s="4"/>
      <c r="F27" s="4"/>
      <c r="G27" s="4"/>
      <c r="H27" s="4"/>
      <c r="I27" s="4"/>
      <c r="J27" s="4"/>
      <c r="K27" s="4"/>
      <c r="L27" s="4"/>
      <c r="M27" s="1661">
        <f>'Basis &amp; Credits'!AB78</f>
        <v>16248638</v>
      </c>
      <c r="N27" s="1661"/>
      <c r="O27" s="1661"/>
      <c r="P27" s="1661"/>
      <c r="Q27" s="1661"/>
      <c r="R27" s="3" t="s">
        <v>1264</v>
      </c>
      <c r="S27" s="4"/>
      <c r="T27" s="4"/>
      <c r="U27" s="4"/>
      <c r="V27" s="4"/>
      <c r="W27" s="4"/>
      <c r="X27" s="4"/>
      <c r="Y27" s="4"/>
      <c r="Z27" s="4"/>
      <c r="AF27" s="4"/>
      <c r="AG27" s="4"/>
      <c r="AH27" s="4"/>
      <c r="AI27" s="4"/>
      <c r="AJ27" s="4"/>
      <c r="AK27" s="4"/>
      <c r="BD27" s="1176" t="s">
        <v>2050</v>
      </c>
      <c r="BE27" s="1178"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77" t="s">
        <v>2447</v>
      </c>
      <c r="BE28" s="1178" t="b">
        <f>Application!M366="Yes"</f>
        <v>0</v>
      </c>
    </row>
    <row r="29" spans="1:58" ht="12.95" customHeight="1">
      <c r="A29" s="1737" t="s">
        <v>2098</v>
      </c>
      <c r="B29" s="1737"/>
      <c r="C29" s="1737"/>
      <c r="D29" s="1737"/>
      <c r="E29" s="1737"/>
      <c r="F29" s="1737"/>
      <c r="G29" s="1737"/>
      <c r="H29" s="1737"/>
      <c r="I29" s="1737"/>
      <c r="J29" s="1737"/>
      <c r="K29" s="1737"/>
      <c r="L29" s="1737"/>
      <c r="M29" s="1737"/>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c r="AL29" s="1737"/>
      <c r="AM29" s="1737"/>
      <c r="AN29" s="1737"/>
      <c r="AO29" s="1737"/>
      <c r="AP29" s="1737"/>
      <c r="AQ29" s="1737"/>
      <c r="AR29" s="1737"/>
      <c r="AS29" s="1737"/>
      <c r="AT29" s="1737"/>
      <c r="BD29" s="1176" t="s">
        <v>2448</v>
      </c>
      <c r="BE29" s="1178" t="b">
        <f>Application!M367="Yes"</f>
        <v>0</v>
      </c>
    </row>
    <row r="30" spans="1:58" ht="12.95" customHeight="1">
      <c r="A30" s="1737"/>
      <c r="B30" s="1737"/>
      <c r="C30" s="1737"/>
      <c r="D30" s="1737"/>
      <c r="E30" s="1737"/>
      <c r="F30" s="1737"/>
      <c r="G30" s="1737"/>
      <c r="H30" s="1737"/>
      <c r="I30" s="1737"/>
      <c r="J30" s="1737"/>
      <c r="K30" s="1737"/>
      <c r="L30" s="1737"/>
      <c r="M30" s="1737"/>
      <c r="N30" s="1737"/>
      <c r="O30" s="1737"/>
      <c r="P30" s="1737"/>
      <c r="Q30" s="1737"/>
      <c r="R30" s="1737"/>
      <c r="S30" s="1737"/>
      <c r="T30" s="1737"/>
      <c r="U30" s="1737"/>
      <c r="V30" s="1737"/>
      <c r="W30" s="1737"/>
      <c r="X30" s="1737"/>
      <c r="Y30" s="1737"/>
      <c r="Z30" s="1737"/>
      <c r="AA30" s="1737"/>
      <c r="AB30" s="1737"/>
      <c r="AC30" s="1737"/>
      <c r="AD30" s="1737"/>
      <c r="AE30" s="1737"/>
      <c r="AF30" s="1737"/>
      <c r="AG30" s="1737"/>
      <c r="AH30" s="1737"/>
      <c r="AI30" s="1737"/>
      <c r="AJ30" s="1737"/>
      <c r="AK30" s="1737"/>
      <c r="AL30" s="1737"/>
      <c r="AM30" s="1737"/>
      <c r="AN30" s="1737"/>
      <c r="AO30" s="1737"/>
      <c r="AP30" s="1737"/>
      <c r="AQ30" s="1737"/>
      <c r="AR30" s="1737"/>
      <c r="AS30" s="1737"/>
      <c r="AT30" s="1737"/>
      <c r="AZ30" s="20"/>
      <c r="BD30" s="1177" t="s">
        <v>28</v>
      </c>
      <c r="BE30" s="1178" t="b">
        <f>Application!AJ364="Yes"</f>
        <v>0</v>
      </c>
    </row>
    <row r="31" spans="1:58" ht="12.95" customHeight="1">
      <c r="A31" s="1737"/>
      <c r="B31" s="1737"/>
      <c r="C31" s="1737"/>
      <c r="D31" s="1737"/>
      <c r="E31" s="1737"/>
      <c r="F31" s="1737"/>
      <c r="G31" s="1737"/>
      <c r="H31" s="1737"/>
      <c r="I31" s="1737"/>
      <c r="J31" s="1737"/>
      <c r="K31" s="1737"/>
      <c r="L31" s="1737"/>
      <c r="M31" s="1737"/>
      <c r="N31" s="1737"/>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737"/>
      <c r="AM31" s="1737"/>
      <c r="AN31" s="1737"/>
      <c r="AO31" s="1737"/>
      <c r="AP31" s="1737"/>
      <c r="AQ31" s="1737"/>
      <c r="AR31" s="1737"/>
      <c r="AS31" s="1737"/>
      <c r="AT31" s="1737"/>
      <c r="AU31" s="20"/>
      <c r="AV31" s="20"/>
      <c r="AW31" s="20"/>
      <c r="AX31" s="20"/>
      <c r="AY31" s="20"/>
      <c r="AZ31" s="20"/>
      <c r="BD31" s="1176" t="s">
        <v>2449</v>
      </c>
      <c r="BE31" s="1178"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77" t="s">
        <v>2450</v>
      </c>
      <c r="BE32" s="1178">
        <f>IF(ISNUMBER(Application!W473),W473,0)</f>
        <v>0</v>
      </c>
    </row>
    <row r="33" spans="1:57" ht="12.95" hidden="1" customHeight="1">
      <c r="A33" s="517" t="s">
        <v>1275</v>
      </c>
      <c r="C33" s="517"/>
      <c r="D33" s="517"/>
      <c r="E33" s="517"/>
      <c r="F33" s="517"/>
      <c r="G33" s="517"/>
      <c r="H33" s="517"/>
      <c r="I33" s="517"/>
      <c r="J33" s="517"/>
      <c r="K33" s="517"/>
      <c r="L33" s="517"/>
      <c r="M33" s="517"/>
      <c r="N33" s="517"/>
      <c r="O33" s="1599" t="s">
        <v>668</v>
      </c>
      <c r="P33" s="1599"/>
      <c r="Q33" s="1738" t="s">
        <v>2099</v>
      </c>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c r="AS33" s="1738"/>
      <c r="AT33" s="1738"/>
      <c r="AU33" s="20"/>
      <c r="AV33" s="20"/>
      <c r="AW33" s="20"/>
      <c r="AX33" s="20"/>
      <c r="AY33" s="20"/>
      <c r="BD33" s="1176" t="s">
        <v>2515</v>
      </c>
      <c r="BE33" s="1178" t="str">
        <f>Application!D220</f>
        <v>Capital Region: El Dorado, Placer, Sacramento, Sutter, Yuba, and Yolo Counties</v>
      </c>
    </row>
    <row r="34" spans="1:57" ht="12.95" hidden="1" customHeight="1">
      <c r="A34" s="1737" t="s">
        <v>2100</v>
      </c>
      <c r="B34" s="1737"/>
      <c r="C34" s="1737"/>
      <c r="D34" s="1737"/>
      <c r="E34" s="1737"/>
      <c r="F34" s="1737"/>
      <c r="G34" s="1737"/>
      <c r="H34" s="1737"/>
      <c r="I34" s="1737"/>
      <c r="J34" s="1737"/>
      <c r="K34" s="1737"/>
      <c r="L34" s="1737"/>
      <c r="M34" s="1737"/>
      <c r="N34" s="1737"/>
      <c r="O34" s="1737"/>
      <c r="P34" s="1737"/>
      <c r="Q34" s="1737"/>
      <c r="R34" s="1737"/>
      <c r="S34" s="1737"/>
      <c r="T34" s="1737"/>
      <c r="U34" s="1737"/>
      <c r="V34" s="1737"/>
      <c r="W34" s="1737"/>
      <c r="X34" s="1737"/>
      <c r="Y34" s="1737"/>
      <c r="Z34" s="1737"/>
      <c r="AA34" s="1737"/>
      <c r="AB34" s="1737"/>
      <c r="AC34" s="1737"/>
      <c r="AD34" s="1737"/>
      <c r="AE34" s="1737"/>
      <c r="AF34" s="1737"/>
      <c r="AG34" s="1737"/>
      <c r="AH34" s="1737"/>
      <c r="AI34" s="1737"/>
      <c r="AJ34" s="1737"/>
      <c r="AK34" s="1737"/>
      <c r="AL34" s="1737"/>
      <c r="AM34" s="1737"/>
      <c r="AN34" s="1737"/>
      <c r="AO34" s="1737"/>
      <c r="AP34" s="1737"/>
      <c r="AQ34" s="1737"/>
      <c r="AR34" s="1737"/>
      <c r="AS34" s="1737"/>
      <c r="AT34" s="1737"/>
      <c r="AU34" s="20"/>
      <c r="AV34" s="20"/>
      <c r="AW34" s="20"/>
      <c r="AX34" s="20"/>
      <c r="AY34" s="20"/>
      <c r="AZ34" s="20"/>
      <c r="BD34" s="1177" t="s">
        <v>2451</v>
      </c>
      <c r="BE34" s="1178" t="str">
        <f>Application!I185</f>
        <v xml:space="preserve">3625 Fong Ranch Road </v>
      </c>
    </row>
    <row r="35" spans="1:57" ht="12.95" hidden="1" customHeight="1">
      <c r="A35" s="1737"/>
      <c r="B35" s="1737"/>
      <c r="C35" s="1737"/>
      <c r="D35" s="1737"/>
      <c r="E35" s="1737"/>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c r="AL35" s="1737"/>
      <c r="AM35" s="1737"/>
      <c r="AN35" s="1737"/>
      <c r="AO35" s="1737"/>
      <c r="AP35" s="1737"/>
      <c r="AQ35" s="1737"/>
      <c r="AR35" s="1737"/>
      <c r="AS35" s="1737"/>
      <c r="AT35" s="1737"/>
      <c r="AU35" s="20"/>
      <c r="AV35" s="20"/>
      <c r="AW35" s="20"/>
      <c r="AX35" s="20"/>
      <c r="AY35" s="20"/>
      <c r="AZ35" s="20"/>
      <c r="BD35" s="1176" t="s">
        <v>2452</v>
      </c>
      <c r="BE35" s="1178" t="str">
        <f>IF(Application!E187="","",Application!E187)</f>
        <v/>
      </c>
    </row>
    <row r="36" spans="1:57" ht="12.95" hidden="1" customHeight="1">
      <c r="A36" s="1737"/>
      <c r="B36" s="1737"/>
      <c r="C36" s="1737"/>
      <c r="D36" s="1737"/>
      <c r="E36" s="1737"/>
      <c r="F36" s="1737"/>
      <c r="G36" s="1737"/>
      <c r="H36" s="1737"/>
      <c r="I36" s="1737"/>
      <c r="J36" s="1737"/>
      <c r="K36" s="1737"/>
      <c r="L36" s="1737"/>
      <c r="M36" s="1737"/>
      <c r="N36" s="1737"/>
      <c r="O36" s="1737"/>
      <c r="P36" s="1737"/>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c r="AL36" s="1737"/>
      <c r="AM36" s="1737"/>
      <c r="AN36" s="1737"/>
      <c r="AO36" s="1737"/>
      <c r="AP36" s="1737"/>
      <c r="AQ36" s="1737"/>
      <c r="AR36" s="1737"/>
      <c r="AS36" s="1737"/>
      <c r="AT36" s="1737"/>
      <c r="AU36" s="20"/>
      <c r="AV36" s="20"/>
      <c r="AW36" s="20"/>
      <c r="AX36" s="20"/>
      <c r="AY36" s="20"/>
      <c r="AZ36" s="20"/>
      <c r="BD36" s="1177" t="s">
        <v>2453</v>
      </c>
      <c r="BE36" s="1178" t="str">
        <f>Application!I189</f>
        <v>Sacramento</v>
      </c>
    </row>
    <row r="37" spans="1:57" ht="12.95" hidden="1" customHeight="1">
      <c r="A37" s="1737"/>
      <c r="B37" s="1737"/>
      <c r="C37" s="1737"/>
      <c r="D37" s="1737"/>
      <c r="E37" s="1737"/>
      <c r="F37" s="1737"/>
      <c r="G37" s="1737"/>
      <c r="H37" s="1737"/>
      <c r="I37" s="1737"/>
      <c r="J37" s="1737"/>
      <c r="K37" s="1737"/>
      <c r="L37" s="1737"/>
      <c r="M37" s="1737"/>
      <c r="N37" s="1737"/>
      <c r="O37" s="1737"/>
      <c r="P37" s="1737"/>
      <c r="Q37" s="1737"/>
      <c r="R37" s="1737"/>
      <c r="S37" s="1737"/>
      <c r="T37" s="1737"/>
      <c r="U37" s="1737"/>
      <c r="V37" s="1737"/>
      <c r="W37" s="1737"/>
      <c r="X37" s="1737"/>
      <c r="Y37" s="1737"/>
      <c r="Z37" s="1737"/>
      <c r="AA37" s="1737"/>
      <c r="AB37" s="1737"/>
      <c r="AC37" s="1737"/>
      <c r="AD37" s="1737"/>
      <c r="AE37" s="1737"/>
      <c r="AF37" s="1737"/>
      <c r="AG37" s="1737"/>
      <c r="AH37" s="1737"/>
      <c r="AI37" s="1737"/>
      <c r="AJ37" s="1737"/>
      <c r="AK37" s="1737"/>
      <c r="AL37" s="1737"/>
      <c r="AM37" s="1737"/>
      <c r="AN37" s="1737"/>
      <c r="AO37" s="1737"/>
      <c r="AP37" s="1737"/>
      <c r="AQ37" s="1737"/>
      <c r="AR37" s="1737"/>
      <c r="AS37" s="1737"/>
      <c r="AT37" s="1737"/>
      <c r="AZ37" s="20"/>
      <c r="BD37" s="1176" t="s">
        <v>2454</v>
      </c>
      <c r="BE37" s="1178" t="str">
        <f>Application!T189</f>
        <v>Sacramento</v>
      </c>
    </row>
    <row r="38" spans="1:57" ht="12.95" hidden="1" customHeight="1">
      <c r="A38" s="3"/>
      <c r="AZ38" s="20"/>
      <c r="BD38" s="1177" t="s">
        <v>2455</v>
      </c>
      <c r="BE38" s="1178">
        <f>Application!I190</f>
        <v>95833</v>
      </c>
    </row>
    <row r="39" spans="1:57" ht="12.95" customHeight="1">
      <c r="A39" s="1528" t="s">
        <v>2101</v>
      </c>
      <c r="B39" s="1528"/>
      <c r="C39" s="1528"/>
      <c r="D39" s="1528"/>
      <c r="E39" s="1528"/>
      <c r="F39" s="1528"/>
      <c r="G39" s="1528"/>
      <c r="H39" s="1528"/>
      <c r="I39" s="1528"/>
      <c r="J39" s="1528"/>
      <c r="K39" s="1528"/>
      <c r="L39" s="1528"/>
      <c r="M39" s="1528"/>
      <c r="N39" s="1528"/>
      <c r="O39" s="1528"/>
      <c r="P39" s="1528"/>
      <c r="Q39" s="1528"/>
      <c r="R39" s="1528"/>
      <c r="S39" s="1528"/>
      <c r="T39" s="1528"/>
      <c r="U39" s="1528"/>
      <c r="V39" s="1528"/>
      <c r="W39" s="1528"/>
      <c r="X39" s="1528"/>
      <c r="Y39" s="1528"/>
      <c r="Z39" s="1528"/>
      <c r="AA39" s="1528"/>
      <c r="AB39" s="1528"/>
      <c r="AC39" s="1528"/>
      <c r="AD39" s="1528"/>
      <c r="AE39" s="1528"/>
      <c r="AF39" s="1528"/>
      <c r="AG39" s="1528"/>
      <c r="AH39" s="1528"/>
      <c r="AI39" s="1528"/>
      <c r="AJ39" s="1528"/>
      <c r="AK39" s="1528"/>
      <c r="AL39" s="1528"/>
      <c r="AM39" s="1528"/>
      <c r="AN39" s="1528"/>
      <c r="AO39" s="1528"/>
      <c r="AP39" s="1528"/>
      <c r="AQ39" s="1528"/>
      <c r="AR39" s="1528"/>
      <c r="AS39" s="1528"/>
      <c r="AT39" s="1528"/>
      <c r="AZ39" s="20"/>
      <c r="BD39" s="1176" t="s">
        <v>2456</v>
      </c>
      <c r="BE39" s="1178">
        <f>Application!AG446</f>
        <v>119</v>
      </c>
    </row>
    <row r="40" spans="1:57" ht="12.95" customHeight="1">
      <c r="A40" s="1528"/>
      <c r="B40" s="1528"/>
      <c r="C40" s="1528"/>
      <c r="D40" s="1528"/>
      <c r="E40" s="1528"/>
      <c r="F40" s="1528"/>
      <c r="G40" s="1528"/>
      <c r="H40" s="1528"/>
      <c r="I40" s="1528"/>
      <c r="J40" s="1528"/>
      <c r="K40" s="1528"/>
      <c r="L40" s="1528"/>
      <c r="M40" s="1528"/>
      <c r="N40" s="1528"/>
      <c r="O40" s="1528"/>
      <c r="P40" s="1528"/>
      <c r="Q40" s="1528"/>
      <c r="R40" s="1528"/>
      <c r="S40" s="1528"/>
      <c r="T40" s="1528"/>
      <c r="U40" s="1528"/>
      <c r="V40" s="1528"/>
      <c r="W40" s="1528"/>
      <c r="X40" s="1528"/>
      <c r="Y40" s="1528"/>
      <c r="Z40" s="1528"/>
      <c r="AA40" s="1528"/>
      <c r="AB40" s="1528"/>
      <c r="AC40" s="1528"/>
      <c r="AD40" s="1528"/>
      <c r="AE40" s="1528"/>
      <c r="AF40" s="1528"/>
      <c r="AG40" s="1528"/>
      <c r="AH40" s="1528"/>
      <c r="AI40" s="1528"/>
      <c r="AJ40" s="1528"/>
      <c r="AK40" s="1528"/>
      <c r="AL40" s="1528"/>
      <c r="AM40" s="1528"/>
      <c r="AN40" s="1528"/>
      <c r="AO40" s="1528"/>
      <c r="AP40" s="1528"/>
      <c r="AQ40" s="1528"/>
      <c r="AR40" s="1528"/>
      <c r="AS40" s="1528"/>
      <c r="AT40" s="1528"/>
      <c r="AU40" s="20"/>
      <c r="AV40" s="20"/>
      <c r="AW40" s="20"/>
      <c r="AX40" s="20"/>
      <c r="AY40" s="20"/>
      <c r="AZ40" s="20"/>
      <c r="BD40" s="1177" t="s">
        <v>383</v>
      </c>
      <c r="BE40" s="1178">
        <f>Application!AG449</f>
        <v>118</v>
      </c>
    </row>
    <row r="41" spans="1:57" ht="12.95" customHeight="1">
      <c r="A41" s="1528"/>
      <c r="B41" s="1528"/>
      <c r="C41" s="1528"/>
      <c r="D41" s="1528"/>
      <c r="E41" s="1528"/>
      <c r="F41" s="1528"/>
      <c r="G41" s="1528"/>
      <c r="H41" s="1528"/>
      <c r="I41" s="1528"/>
      <c r="J41" s="1528"/>
      <c r="K41" s="1528"/>
      <c r="L41" s="1528"/>
      <c r="M41" s="1528"/>
      <c r="N41" s="1528"/>
      <c r="O41" s="1528"/>
      <c r="P41" s="1528"/>
      <c r="Q41" s="1528"/>
      <c r="R41" s="1528"/>
      <c r="S41" s="1528"/>
      <c r="T41" s="1528"/>
      <c r="U41" s="1528"/>
      <c r="V41" s="1528"/>
      <c r="W41" s="1528"/>
      <c r="X41" s="1528"/>
      <c r="Y41" s="1528"/>
      <c r="Z41" s="1528"/>
      <c r="AA41" s="1528"/>
      <c r="AB41" s="1528"/>
      <c r="AC41" s="1528"/>
      <c r="AD41" s="1528"/>
      <c r="AE41" s="1528"/>
      <c r="AF41" s="1528"/>
      <c r="AG41" s="1528"/>
      <c r="AH41" s="1528"/>
      <c r="AI41" s="1528"/>
      <c r="AJ41" s="1528"/>
      <c r="AK41" s="1528"/>
      <c r="AL41" s="1528"/>
      <c r="AM41" s="1528"/>
      <c r="AN41" s="1528"/>
      <c r="AO41" s="1528"/>
      <c r="AP41" s="1528"/>
      <c r="AQ41" s="1528"/>
      <c r="AR41" s="1528"/>
      <c r="AS41" s="1528"/>
      <c r="AT41" s="1528"/>
      <c r="AU41" s="20"/>
      <c r="AV41" s="20"/>
      <c r="AW41" s="20"/>
      <c r="AX41" s="20"/>
      <c r="AY41" s="20"/>
      <c r="AZ41" s="20"/>
      <c r="BD41" s="1176" t="s">
        <v>286</v>
      </c>
      <c r="BE41" s="1178">
        <f>Application!AG447</f>
        <v>0</v>
      </c>
    </row>
    <row r="42" spans="1:57" ht="12.95" customHeight="1">
      <c r="A42" s="1528"/>
      <c r="B42" s="1528"/>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28"/>
      <c r="AM42" s="1528"/>
      <c r="AN42" s="1528"/>
      <c r="AO42" s="1528"/>
      <c r="AP42" s="1528"/>
      <c r="AQ42" s="1528"/>
      <c r="AR42" s="1528"/>
      <c r="AS42" s="1528"/>
      <c r="AT42" s="1528"/>
      <c r="AZ42" s="20"/>
      <c r="BD42" s="1177" t="s">
        <v>2457</v>
      </c>
      <c r="BE42" s="1180">
        <f>Application!AC761</f>
        <v>0.56779661016949134</v>
      </c>
    </row>
    <row r="43" spans="1:57" ht="12.95" customHeight="1">
      <c r="A43" s="1528"/>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28"/>
      <c r="AM43" s="1528"/>
      <c r="AN43" s="1528"/>
      <c r="AO43" s="1528"/>
      <c r="AP43" s="1528"/>
      <c r="AQ43" s="1528"/>
      <c r="AR43" s="1528"/>
      <c r="AS43" s="1528"/>
      <c r="AT43" s="1528"/>
      <c r="AU43" s="20"/>
      <c r="AV43" s="20"/>
      <c r="AW43" s="20"/>
      <c r="AX43" s="20"/>
      <c r="AY43" s="20"/>
      <c r="AZ43" s="20"/>
      <c r="BD43" s="1176" t="s">
        <v>2458</v>
      </c>
      <c r="BE43" s="1180">
        <f>Application!AH761</f>
        <v>0.56778623741625522</v>
      </c>
    </row>
    <row r="44" spans="1:57" ht="12.95" customHeight="1">
      <c r="A44" s="1528"/>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28"/>
      <c r="AM44" s="1528"/>
      <c r="AN44" s="1528"/>
      <c r="AO44" s="1528"/>
      <c r="AP44" s="1528"/>
      <c r="AQ44" s="1528"/>
      <c r="AR44" s="1528"/>
      <c r="AS44" s="1528"/>
      <c r="AT44" s="1528"/>
      <c r="AU44" s="20"/>
      <c r="AV44" s="20"/>
      <c r="AW44" s="20"/>
      <c r="AX44" s="20"/>
      <c r="AY44" s="20"/>
      <c r="AZ44" s="20"/>
      <c r="BD44" s="1177" t="s">
        <v>2459</v>
      </c>
      <c r="BE44" s="1178">
        <f>Application!AC463</f>
        <v>488580.43697478989</v>
      </c>
    </row>
    <row r="45" spans="1:57" ht="12.95" customHeight="1">
      <c r="A45" s="517"/>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76" t="s">
        <v>2460</v>
      </c>
      <c r="BE45" s="1178">
        <f>Application!AE433</f>
        <v>2</v>
      </c>
    </row>
    <row r="46" spans="1:57" ht="12.95" customHeight="1">
      <c r="A46" s="1561" t="s">
        <v>2102</v>
      </c>
      <c r="B46" s="1561"/>
      <c r="C46" s="1561"/>
      <c r="D46" s="1561"/>
      <c r="E46" s="1561"/>
      <c r="F46" s="1561"/>
      <c r="G46" s="1561"/>
      <c r="H46" s="1561"/>
      <c r="I46" s="1561"/>
      <c r="J46" s="1561"/>
      <c r="K46" s="1561"/>
      <c r="L46" s="1561"/>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c r="AN46" s="1561"/>
      <c r="AO46" s="1561"/>
      <c r="AP46" s="1561"/>
      <c r="AQ46" s="1561"/>
      <c r="AR46" s="1561"/>
      <c r="AS46" s="1561"/>
      <c r="AT46" s="1561"/>
      <c r="AU46" s="20"/>
      <c r="AV46" s="20"/>
      <c r="AW46" s="20"/>
      <c r="AX46" s="20"/>
      <c r="AY46" s="20"/>
      <c r="AZ46" s="20"/>
      <c r="BD46" s="1177" t="s">
        <v>2461</v>
      </c>
      <c r="BE46" s="1178" t="b">
        <f>Application!T195="Yes"</f>
        <v>0</v>
      </c>
    </row>
    <row r="47" spans="1:57" ht="12.95" customHeight="1">
      <c r="A47" s="1561"/>
      <c r="B47" s="1561"/>
      <c r="C47" s="1561"/>
      <c r="D47" s="1561"/>
      <c r="E47" s="1561"/>
      <c r="F47" s="1561"/>
      <c r="G47" s="1561"/>
      <c r="H47" s="1561"/>
      <c r="I47" s="1561"/>
      <c r="J47" s="1561"/>
      <c r="K47" s="1561"/>
      <c r="L47" s="1561"/>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c r="AN47" s="1561"/>
      <c r="AO47" s="1561"/>
      <c r="AP47" s="1561"/>
      <c r="AQ47" s="1561"/>
      <c r="AR47" s="1561"/>
      <c r="AS47" s="1561"/>
      <c r="AT47" s="1561"/>
      <c r="AU47" s="20"/>
      <c r="AV47" s="20"/>
      <c r="AW47" s="20"/>
      <c r="AX47" s="20"/>
      <c r="AY47" s="20"/>
      <c r="AZ47" s="20"/>
      <c r="BD47" s="1176" t="s">
        <v>2462</v>
      </c>
      <c r="BE47" s="1178" t="b">
        <f>Application!T196="Yes"</f>
        <v>1</v>
      </c>
    </row>
    <row r="48" spans="1:57" ht="12.95" customHeight="1">
      <c r="A48" s="1561"/>
      <c r="B48" s="1561"/>
      <c r="C48" s="1561"/>
      <c r="D48" s="1561"/>
      <c r="E48" s="1561"/>
      <c r="F48" s="1561"/>
      <c r="G48" s="1561"/>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c r="AN48" s="1561"/>
      <c r="AO48" s="1561"/>
      <c r="AP48" s="1561"/>
      <c r="AQ48" s="1561"/>
      <c r="AR48" s="1561"/>
      <c r="AS48" s="1561"/>
      <c r="AT48" s="1561"/>
      <c r="AU48" s="20"/>
      <c r="AV48" s="20"/>
      <c r="AW48" s="20"/>
      <c r="AX48" s="20"/>
      <c r="AY48" s="20"/>
      <c r="AZ48" s="20"/>
      <c r="BD48" s="1177" t="s">
        <v>2463</v>
      </c>
      <c r="BE48" s="1178" t="str">
        <f>Application!M252</f>
        <v>Anton Fong Ranch, LLC</v>
      </c>
    </row>
    <row r="49" spans="1:57" ht="12.95" customHeight="1">
      <c r="A49" s="1561"/>
      <c r="B49" s="1561"/>
      <c r="C49" s="1561"/>
      <c r="D49" s="1561"/>
      <c r="E49" s="1561"/>
      <c r="F49" s="1561"/>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c r="AN49" s="1561"/>
      <c r="AO49" s="1561"/>
      <c r="AP49" s="1561"/>
      <c r="AQ49" s="1561"/>
      <c r="AR49" s="1561"/>
      <c r="AS49" s="1561"/>
      <c r="AT49" s="1561"/>
      <c r="AU49" s="20"/>
      <c r="AV49" s="20"/>
      <c r="AW49" s="20"/>
      <c r="AX49" s="20"/>
      <c r="AY49" s="20"/>
      <c r="AZ49" s="20"/>
      <c r="BD49" s="1176" t="s">
        <v>2464</v>
      </c>
      <c r="BE49" s="1178" t="str">
        <f>Application!M255</f>
        <v>Trisha Malone</v>
      </c>
    </row>
    <row r="50" spans="1:57" ht="12.95" customHeight="1">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c r="AP50" s="453"/>
      <c r="AQ50" s="453"/>
      <c r="AR50" s="453"/>
      <c r="AS50" s="453"/>
      <c r="AT50" s="453"/>
      <c r="AU50" s="20"/>
      <c r="AV50" s="20"/>
      <c r="AW50" s="20"/>
      <c r="AX50" s="20"/>
      <c r="AY50" s="20"/>
      <c r="AZ50" s="20"/>
      <c r="BD50" s="1177" t="s">
        <v>2465</v>
      </c>
      <c r="BE50" s="1178" t="str">
        <f>Application!AA258</f>
        <v>Anton DevCo, LLC</v>
      </c>
    </row>
    <row r="51" spans="1:57" ht="12.95" customHeight="1">
      <c r="A51" s="1528" t="s">
        <v>2103</v>
      </c>
      <c r="B51" s="1528"/>
      <c r="C51" s="1528"/>
      <c r="D51" s="1528"/>
      <c r="E51" s="1528"/>
      <c r="F51" s="1528"/>
      <c r="G51" s="1528"/>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528"/>
      <c r="AH51" s="1528"/>
      <c r="AI51" s="1528"/>
      <c r="AJ51" s="1528"/>
      <c r="AK51" s="1528"/>
      <c r="AL51" s="1528"/>
      <c r="AM51" s="1528"/>
      <c r="AN51" s="1528"/>
      <c r="AO51" s="1528"/>
      <c r="AP51" s="1528"/>
      <c r="AQ51" s="1528"/>
      <c r="AR51" s="1528"/>
      <c r="AS51" s="1528"/>
      <c r="AT51" s="1528"/>
      <c r="AU51" s="20"/>
      <c r="AV51" s="20"/>
      <c r="AW51" s="20"/>
      <c r="AX51" s="20"/>
      <c r="AY51" s="20"/>
      <c r="AZ51" s="20"/>
      <c r="BD51" s="1176" t="s">
        <v>2466</v>
      </c>
      <c r="BE51" s="1178" t="str">
        <f>Application!M260</f>
        <v>PacH Anton South Holdings, LLC</v>
      </c>
    </row>
    <row r="52" spans="1:57" ht="12.95" customHeight="1">
      <c r="A52" s="1528"/>
      <c r="B52" s="1528"/>
      <c r="C52" s="1528"/>
      <c r="D52" s="1528"/>
      <c r="E52" s="1528"/>
      <c r="F52" s="1528"/>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528"/>
      <c r="AM52" s="1528"/>
      <c r="AN52" s="1528"/>
      <c r="AO52" s="1528"/>
      <c r="AP52" s="1528"/>
      <c r="AQ52" s="1528"/>
      <c r="AR52" s="1528"/>
      <c r="AS52" s="1528"/>
      <c r="AT52" s="1528"/>
      <c r="AU52" s="20"/>
      <c r="AV52" s="20"/>
      <c r="AW52" s="20"/>
      <c r="AX52" s="20"/>
      <c r="AY52" s="20"/>
      <c r="AZ52" s="20"/>
      <c r="BD52" s="1177" t="s">
        <v>2467</v>
      </c>
      <c r="BE52" s="1178" t="str">
        <f>Application!M263</f>
        <v>Mark Weise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76" t="s">
        <v>2468</v>
      </c>
      <c r="BE53" s="1178" t="str">
        <f>Application!AA266</f>
        <v>Pacific Housing, Inc.</v>
      </c>
    </row>
    <row r="54" spans="1:57" ht="12.95" customHeight="1">
      <c r="A54" s="1528" t="s">
        <v>2104</v>
      </c>
      <c r="B54" s="1528"/>
      <c r="C54" s="1528"/>
      <c r="D54" s="1528"/>
      <c r="E54" s="1528"/>
      <c r="F54" s="1528"/>
      <c r="G54" s="1528"/>
      <c r="H54" s="1528"/>
      <c r="I54" s="1528"/>
      <c r="J54" s="1528"/>
      <c r="K54" s="1528"/>
      <c r="L54" s="1528"/>
      <c r="M54" s="1528"/>
      <c r="N54" s="1528"/>
      <c r="O54" s="1528"/>
      <c r="P54" s="1528"/>
      <c r="Q54" s="1528"/>
      <c r="R54" s="1528"/>
      <c r="S54" s="1528"/>
      <c r="T54" s="1528"/>
      <c r="U54" s="1528"/>
      <c r="V54" s="1528"/>
      <c r="W54" s="1528"/>
      <c r="X54" s="1528"/>
      <c r="Y54" s="1528"/>
      <c r="Z54" s="1528"/>
      <c r="AA54" s="1528"/>
      <c r="AB54" s="1528"/>
      <c r="AC54" s="1528"/>
      <c r="AD54" s="1528"/>
      <c r="AE54" s="1528"/>
      <c r="AF54" s="1528"/>
      <c r="AG54" s="1528"/>
      <c r="AH54" s="1528"/>
      <c r="AI54" s="1528"/>
      <c r="AJ54" s="1528"/>
      <c r="AK54" s="1528"/>
      <c r="AL54" s="1528"/>
      <c r="AM54" s="1528"/>
      <c r="AN54" s="1528"/>
      <c r="AO54" s="1528"/>
      <c r="AP54" s="1528"/>
      <c r="AQ54" s="1528"/>
      <c r="AR54" s="1528"/>
      <c r="AS54" s="1528"/>
      <c r="AT54" s="1528"/>
      <c r="AU54" s="20"/>
      <c r="AV54" s="20"/>
      <c r="AW54" s="20"/>
      <c r="AX54" s="20"/>
      <c r="AY54" s="20"/>
      <c r="AZ54" s="21"/>
      <c r="BD54" s="1177" t="s">
        <v>2469</v>
      </c>
      <c r="BE54" s="1178">
        <f>Application!M268</f>
        <v>0</v>
      </c>
    </row>
    <row r="55" spans="1:57" ht="12.95" customHeight="1">
      <c r="A55" s="1528"/>
      <c r="B55" s="1528"/>
      <c r="C55" s="1528"/>
      <c r="D55" s="1528"/>
      <c r="E55" s="1528"/>
      <c r="F55" s="1528"/>
      <c r="G55" s="1528"/>
      <c r="H55" s="1528"/>
      <c r="I55" s="1528"/>
      <c r="J55" s="1528"/>
      <c r="K55" s="1528"/>
      <c r="L55" s="1528"/>
      <c r="M55" s="1528"/>
      <c r="N55" s="1528"/>
      <c r="O55" s="1528"/>
      <c r="P55" s="1528"/>
      <c r="Q55" s="1528"/>
      <c r="R55" s="1528"/>
      <c r="S55" s="1528"/>
      <c r="T55" s="1528"/>
      <c r="U55" s="1528"/>
      <c r="V55" s="1528"/>
      <c r="W55" s="1528"/>
      <c r="X55" s="1528"/>
      <c r="Y55" s="1528"/>
      <c r="Z55" s="1528"/>
      <c r="AA55" s="1528"/>
      <c r="AB55" s="1528"/>
      <c r="AC55" s="1528"/>
      <c r="AD55" s="1528"/>
      <c r="AE55" s="1528"/>
      <c r="AF55" s="1528"/>
      <c r="AG55" s="1528"/>
      <c r="AH55" s="1528"/>
      <c r="AI55" s="1528"/>
      <c r="AJ55" s="1528"/>
      <c r="AK55" s="1528"/>
      <c r="AL55" s="1528"/>
      <c r="AM55" s="1528"/>
      <c r="AN55" s="1528"/>
      <c r="AO55" s="1528"/>
      <c r="AP55" s="1528"/>
      <c r="AQ55" s="1528"/>
      <c r="AR55" s="1528"/>
      <c r="AS55" s="1528"/>
      <c r="AT55" s="1528"/>
      <c r="AZ55" s="21"/>
      <c r="BD55" s="1176" t="s">
        <v>2470</v>
      </c>
      <c r="BE55" s="1178">
        <f>Application!M271</f>
        <v>0</v>
      </c>
    </row>
    <row r="56" spans="1:57" ht="12.95" customHeight="1">
      <c r="A56" s="1528"/>
      <c r="B56" s="1528"/>
      <c r="C56" s="1528"/>
      <c r="D56" s="1528"/>
      <c r="E56" s="1528"/>
      <c r="F56" s="1528"/>
      <c r="G56" s="1528"/>
      <c r="H56" s="1528"/>
      <c r="I56" s="1528"/>
      <c r="J56" s="1528"/>
      <c r="K56" s="1528"/>
      <c r="L56" s="1528"/>
      <c r="M56" s="1528"/>
      <c r="N56" s="1528"/>
      <c r="O56" s="1528"/>
      <c r="P56" s="1528"/>
      <c r="Q56" s="1528"/>
      <c r="R56" s="1528"/>
      <c r="S56" s="1528"/>
      <c r="T56" s="1528"/>
      <c r="U56" s="1528"/>
      <c r="V56" s="1528"/>
      <c r="W56" s="1528"/>
      <c r="X56" s="1528"/>
      <c r="Y56" s="1528"/>
      <c r="Z56" s="1528"/>
      <c r="AA56" s="1528"/>
      <c r="AB56" s="1528"/>
      <c r="AC56" s="1528"/>
      <c r="AD56" s="1528"/>
      <c r="AE56" s="1528"/>
      <c r="AF56" s="1528"/>
      <c r="AG56" s="1528"/>
      <c r="AH56" s="1528"/>
      <c r="AI56" s="1528"/>
      <c r="AJ56" s="1528"/>
      <c r="AK56" s="1528"/>
      <c r="AL56" s="1528"/>
      <c r="AM56" s="1528"/>
      <c r="AN56" s="1528"/>
      <c r="AO56" s="1528"/>
      <c r="AP56" s="1528"/>
      <c r="AQ56" s="1528"/>
      <c r="AR56" s="1528"/>
      <c r="AS56" s="1528"/>
      <c r="AT56" s="1528"/>
      <c r="BD56" s="1177" t="s">
        <v>2471</v>
      </c>
      <c r="BE56" s="1178">
        <f>Application!AA274</f>
        <v>0</v>
      </c>
    </row>
    <row r="57" spans="1:57" ht="12.95" customHeight="1">
      <c r="A57" s="1528"/>
      <c r="B57" s="1528"/>
      <c r="C57" s="1528"/>
      <c r="D57" s="1528"/>
      <c r="E57" s="1528"/>
      <c r="F57" s="1528"/>
      <c r="G57" s="1528"/>
      <c r="H57" s="1528"/>
      <c r="I57" s="1528"/>
      <c r="J57" s="1528"/>
      <c r="K57" s="1528"/>
      <c r="L57" s="1528"/>
      <c r="M57" s="1528"/>
      <c r="N57" s="1528"/>
      <c r="O57" s="1528"/>
      <c r="P57" s="1528"/>
      <c r="Q57" s="1528"/>
      <c r="R57" s="1528"/>
      <c r="S57" s="1528"/>
      <c r="T57" s="1528"/>
      <c r="U57" s="1528"/>
      <c r="V57" s="1528"/>
      <c r="W57" s="1528"/>
      <c r="X57" s="1528"/>
      <c r="Y57" s="1528"/>
      <c r="Z57" s="1528"/>
      <c r="AA57" s="1528"/>
      <c r="AB57" s="1528"/>
      <c r="AC57" s="1528"/>
      <c r="AD57" s="1528"/>
      <c r="AE57" s="1528"/>
      <c r="AF57" s="1528"/>
      <c r="AG57" s="1528"/>
      <c r="AH57" s="1528"/>
      <c r="AI57" s="1528"/>
      <c r="AJ57" s="1528"/>
      <c r="AK57" s="1528"/>
      <c r="AL57" s="1528"/>
      <c r="AM57" s="1528"/>
      <c r="AN57" s="1528"/>
      <c r="AO57" s="1528"/>
      <c r="AP57" s="1528"/>
      <c r="AQ57" s="1528"/>
      <c r="AR57" s="1528"/>
      <c r="AS57" s="1528"/>
      <c r="AT57" s="1528"/>
      <c r="BD57" s="1176" t="s">
        <v>2472</v>
      </c>
      <c r="BE57" s="1178" t="str">
        <f>Application!H296</f>
        <v>Anton DevCo, LLC</v>
      </c>
    </row>
    <row r="58" spans="1:57" ht="12.95" customHeight="1">
      <c r="A58" s="1528"/>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BD58" s="1177" t="s">
        <v>2473</v>
      </c>
      <c r="BE58" s="1178" t="str">
        <f>Application!H297</f>
        <v>2277 Fair Oaks Blvd, Ste 230</v>
      </c>
    </row>
    <row r="59" spans="1:57" ht="12.95" customHeight="1">
      <c r="A59" s="517"/>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76" t="s">
        <v>2474</v>
      </c>
      <c r="BE59" s="1178" t="str">
        <f>Application!H298</f>
        <v>Sacramento, CA 95825</v>
      </c>
    </row>
    <row r="60" spans="1:57" ht="12.95" customHeight="1">
      <c r="A60" s="1528" t="s">
        <v>2105</v>
      </c>
      <c r="B60" s="1528"/>
      <c r="C60" s="1528"/>
      <c r="D60" s="1528"/>
      <c r="E60" s="1528"/>
      <c r="F60" s="1528"/>
      <c r="G60" s="1528"/>
      <c r="H60" s="1528"/>
      <c r="I60" s="1528"/>
      <c r="J60" s="1528"/>
      <c r="K60" s="1528"/>
      <c r="L60" s="1528"/>
      <c r="M60" s="1528"/>
      <c r="N60" s="1528"/>
      <c r="O60" s="1528"/>
      <c r="P60" s="1528"/>
      <c r="Q60" s="1528"/>
      <c r="R60" s="1528"/>
      <c r="S60" s="1528"/>
      <c r="T60" s="1528"/>
      <c r="U60" s="1528"/>
      <c r="V60" s="1528"/>
      <c r="W60" s="1528"/>
      <c r="X60" s="1528"/>
      <c r="Y60" s="1528"/>
      <c r="Z60" s="1528"/>
      <c r="AA60" s="1528"/>
      <c r="AB60" s="1528"/>
      <c r="AC60" s="1528"/>
      <c r="AD60" s="1528"/>
      <c r="AE60" s="1528"/>
      <c r="AF60" s="1528"/>
      <c r="AG60" s="1528"/>
      <c r="AH60" s="1528"/>
      <c r="AI60" s="1528"/>
      <c r="AJ60" s="1528"/>
      <c r="AK60" s="1528"/>
      <c r="AL60" s="1528"/>
      <c r="AM60" s="1528"/>
      <c r="AN60" s="1528"/>
      <c r="AO60" s="1528"/>
      <c r="AP60" s="1528"/>
      <c r="AQ60" s="1528"/>
      <c r="AR60" s="1528"/>
      <c r="AS60" s="1528"/>
      <c r="AT60" s="1528"/>
      <c r="AU60" s="20"/>
      <c r="AV60" s="20"/>
      <c r="AW60" s="20"/>
      <c r="AX60" s="20"/>
      <c r="AY60" s="20"/>
      <c r="AZ60" s="20"/>
      <c r="BD60" s="1177" t="s">
        <v>2475</v>
      </c>
      <c r="BE60" s="1178" t="str">
        <f>Application!H299</f>
        <v>Trisha Malone</v>
      </c>
    </row>
    <row r="61" spans="1:57" ht="12.95" customHeight="1">
      <c r="A61" s="1528"/>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c r="AO61" s="1528"/>
      <c r="AP61" s="1528"/>
      <c r="AQ61" s="1528"/>
      <c r="AR61" s="1528"/>
      <c r="AS61" s="1528"/>
      <c r="AT61" s="1528"/>
      <c r="AU61" s="20"/>
      <c r="AV61" s="20"/>
      <c r="AW61" s="20"/>
      <c r="AX61" s="20"/>
      <c r="AY61" s="20"/>
      <c r="AZ61" s="20"/>
      <c r="BD61" s="1176" t="s">
        <v>2476</v>
      </c>
      <c r="BE61" s="1178" t="str">
        <f>Application!H302</f>
        <v>tmalone@antondev.com</v>
      </c>
    </row>
    <row r="62" spans="1:57" ht="12.95" customHeight="1">
      <c r="A62" s="517"/>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77" t="s">
        <v>2477</v>
      </c>
      <c r="BE62" s="1181">
        <f>'Basis &amp; Credits'!AB50</f>
        <v>0.82991700000000002</v>
      </c>
    </row>
    <row r="63" spans="1:57" ht="12.95" customHeight="1">
      <c r="A63" s="91" t="s">
        <v>2106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76" t="s">
        <v>1247</v>
      </c>
      <c r="BE63" s="1181">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77" t="s">
        <v>2478</v>
      </c>
      <c r="BE64" s="1178" t="b">
        <f>Application!X180="Yes"</f>
        <v>0</v>
      </c>
    </row>
    <row r="65" spans="1:57" ht="12.95" customHeight="1">
      <c r="A65" s="1739" t="s">
        <v>2107</v>
      </c>
      <c r="B65" s="1739"/>
      <c r="C65" s="1739"/>
      <c r="D65" s="1739"/>
      <c r="E65" s="1739"/>
      <c r="F65" s="1739"/>
      <c r="G65" s="1739"/>
      <c r="H65" s="1739"/>
      <c r="I65" s="1739"/>
      <c r="J65" s="1739"/>
      <c r="K65" s="1739"/>
      <c r="L65" s="1739"/>
      <c r="M65" s="1739"/>
      <c r="N65" s="1739"/>
      <c r="O65" s="1739"/>
      <c r="P65" s="1739"/>
      <c r="Q65" s="1739"/>
      <c r="R65" s="1739"/>
      <c r="S65" s="1739"/>
      <c r="T65" s="1739"/>
      <c r="U65" s="1739"/>
      <c r="V65" s="1739"/>
      <c r="W65" s="1739"/>
      <c r="X65" s="1739"/>
      <c r="Y65" s="1739"/>
      <c r="Z65" s="1739"/>
      <c r="AA65" s="1739"/>
      <c r="AB65" s="1739"/>
      <c r="AC65" s="1739"/>
      <c r="AD65" s="1739"/>
      <c r="AE65" s="1739"/>
      <c r="AF65" s="1739"/>
      <c r="AG65" s="1739"/>
      <c r="AH65" s="1739"/>
      <c r="AI65" s="1739"/>
      <c r="AJ65" s="1739"/>
      <c r="AK65" s="1739"/>
      <c r="AL65" s="1739"/>
      <c r="AM65" s="1739"/>
      <c r="AN65" s="1739"/>
      <c r="AO65" s="1739"/>
      <c r="AP65" s="1739"/>
      <c r="AQ65" s="1739"/>
      <c r="AR65" s="1739"/>
      <c r="AS65" s="1739"/>
      <c r="AT65" s="1739"/>
      <c r="AU65" s="21"/>
      <c r="AV65" s="21"/>
      <c r="AW65" s="21"/>
      <c r="AX65" s="21"/>
      <c r="AY65" s="21"/>
      <c r="AZ65" s="20"/>
      <c r="BD65" s="1176" t="s">
        <v>2512</v>
      </c>
      <c r="BE65" s="1178" t="str">
        <f>Z205</f>
        <v>$500M</v>
      </c>
    </row>
    <row r="66" spans="1:57" ht="12.95" customHeight="1">
      <c r="A66" s="1739"/>
      <c r="B66" s="1739"/>
      <c r="C66" s="1739"/>
      <c r="D66" s="1739"/>
      <c r="E66" s="1739"/>
      <c r="F66" s="1739"/>
      <c r="G66" s="1739"/>
      <c r="H66" s="1739"/>
      <c r="I66" s="1739"/>
      <c r="J66" s="1739"/>
      <c r="K66" s="1739"/>
      <c r="L66" s="1739"/>
      <c r="M66" s="1739"/>
      <c r="N66" s="1739"/>
      <c r="O66" s="1739"/>
      <c r="P66" s="1739"/>
      <c r="Q66" s="1739"/>
      <c r="R66" s="1739"/>
      <c r="S66" s="1739"/>
      <c r="T66" s="1739"/>
      <c r="U66" s="1739"/>
      <c r="V66" s="1739"/>
      <c r="W66" s="1739"/>
      <c r="X66" s="1739"/>
      <c r="Y66" s="1739"/>
      <c r="Z66" s="1739"/>
      <c r="AA66" s="1739"/>
      <c r="AB66" s="1739"/>
      <c r="AC66" s="1739"/>
      <c r="AD66" s="1739"/>
      <c r="AE66" s="1739"/>
      <c r="AF66" s="1739"/>
      <c r="AG66" s="1739"/>
      <c r="AH66" s="1739"/>
      <c r="AI66" s="1739"/>
      <c r="AJ66" s="1739"/>
      <c r="AK66" s="1739"/>
      <c r="AL66" s="1739"/>
      <c r="AM66" s="1739"/>
      <c r="AN66" s="1739"/>
      <c r="AO66" s="1739"/>
      <c r="AP66" s="1739"/>
      <c r="AQ66" s="1739"/>
      <c r="AR66" s="1739"/>
      <c r="AS66" s="1739"/>
      <c r="AT66" s="1739"/>
      <c r="AU66" s="21"/>
      <c r="AV66" s="21"/>
      <c r="AW66" s="21"/>
      <c r="AX66" s="21"/>
      <c r="AY66" s="21"/>
      <c r="AZ66" s="20"/>
      <c r="BD66" s="1177" t="s">
        <v>2479</v>
      </c>
      <c r="BE66" s="1178" t="b">
        <f>Application!Z205="State Farmworker Credit"</f>
        <v>0</v>
      </c>
    </row>
    <row r="67" spans="1:57" ht="12.95" customHeight="1">
      <c r="A67" s="1739"/>
      <c r="B67" s="1739"/>
      <c r="C67" s="1739"/>
      <c r="D67" s="1739"/>
      <c r="E67" s="1739"/>
      <c r="F67" s="1739"/>
      <c r="G67" s="1739"/>
      <c r="H67" s="1739"/>
      <c r="I67" s="1739"/>
      <c r="J67" s="1739"/>
      <c r="K67" s="1739"/>
      <c r="L67" s="1739"/>
      <c r="M67" s="1739"/>
      <c r="N67" s="1739"/>
      <c r="O67" s="1739"/>
      <c r="P67" s="1739"/>
      <c r="Q67" s="1739"/>
      <c r="R67" s="1739"/>
      <c r="S67" s="1739"/>
      <c r="T67" s="1739"/>
      <c r="U67" s="1739"/>
      <c r="V67" s="1739"/>
      <c r="W67" s="1739"/>
      <c r="X67" s="1739"/>
      <c r="Y67" s="1739"/>
      <c r="Z67" s="1739"/>
      <c r="AA67" s="1739"/>
      <c r="AB67" s="1739"/>
      <c r="AC67" s="1739"/>
      <c r="AD67" s="1739"/>
      <c r="AE67" s="1739"/>
      <c r="AF67" s="1739"/>
      <c r="AG67" s="1739"/>
      <c r="AH67" s="1739"/>
      <c r="AI67" s="1739"/>
      <c r="AJ67" s="1739"/>
      <c r="AK67" s="1739"/>
      <c r="AL67" s="1739"/>
      <c r="AM67" s="1739"/>
      <c r="AN67" s="1739"/>
      <c r="AO67" s="1739"/>
      <c r="AP67" s="1739"/>
      <c r="AQ67" s="1739"/>
      <c r="AR67" s="1739"/>
      <c r="AS67" s="1739"/>
      <c r="AT67" s="1739"/>
      <c r="AZ67" s="20"/>
      <c r="BD67" s="1176" t="s">
        <v>2480</v>
      </c>
      <c r="BE67" s="1178"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77" t="s">
        <v>2481</v>
      </c>
      <c r="BE68" s="1178">
        <f>'Sources and Uses Budget'!D105</f>
        <v>0</v>
      </c>
    </row>
    <row r="69" spans="1:57" ht="12.95" customHeight="1">
      <c r="A69" s="1739" t="s">
        <v>2108</v>
      </c>
      <c r="B69" s="1739"/>
      <c r="C69" s="1739"/>
      <c r="D69" s="1739"/>
      <c r="E69" s="1739"/>
      <c r="F69" s="1739"/>
      <c r="G69" s="1739"/>
      <c r="H69" s="1739"/>
      <c r="I69" s="1739"/>
      <c r="J69" s="1739"/>
      <c r="K69" s="1739"/>
      <c r="L69" s="1739"/>
      <c r="M69" s="1739"/>
      <c r="N69" s="1739"/>
      <c r="O69" s="1739"/>
      <c r="P69" s="1739"/>
      <c r="Q69" s="1739"/>
      <c r="R69" s="1739"/>
      <c r="S69" s="1739"/>
      <c r="T69" s="1739"/>
      <c r="U69" s="1739"/>
      <c r="V69" s="1739"/>
      <c r="W69" s="1739"/>
      <c r="X69" s="1739"/>
      <c r="Y69" s="1739"/>
      <c r="Z69" s="1739"/>
      <c r="AA69" s="1739"/>
      <c r="AB69" s="1739"/>
      <c r="AC69" s="1739"/>
      <c r="AD69" s="1739"/>
      <c r="AE69" s="1739"/>
      <c r="AF69" s="1739"/>
      <c r="AG69" s="1739"/>
      <c r="AH69" s="1739"/>
      <c r="AI69" s="1739"/>
      <c r="AJ69" s="1739"/>
      <c r="AK69" s="1739"/>
      <c r="AL69" s="1739"/>
      <c r="AM69" s="1739"/>
      <c r="AN69" s="1739"/>
      <c r="AO69" s="1739"/>
      <c r="AP69" s="1739"/>
      <c r="AQ69" s="1739"/>
      <c r="AR69" s="1739"/>
      <c r="AS69" s="1739"/>
      <c r="AT69" s="1739"/>
      <c r="AZ69" s="20"/>
      <c r="BD69" s="1176" t="s">
        <v>2482</v>
      </c>
      <c r="BE69" s="1178" t="str">
        <f>Application!W708</f>
        <v>California Housing Finance Agency</v>
      </c>
    </row>
    <row r="70" spans="1:57" ht="12.95" customHeight="1">
      <c r="A70" s="1739"/>
      <c r="B70" s="1739"/>
      <c r="C70" s="1739"/>
      <c r="D70" s="1739"/>
      <c r="E70" s="1739"/>
      <c r="F70" s="1739"/>
      <c r="G70" s="1739"/>
      <c r="H70" s="1739"/>
      <c r="I70" s="1739"/>
      <c r="J70" s="1739"/>
      <c r="K70" s="1739"/>
      <c r="L70" s="1739"/>
      <c r="M70" s="1739"/>
      <c r="N70" s="1739"/>
      <c r="O70" s="1739"/>
      <c r="P70" s="1739"/>
      <c r="Q70" s="1739"/>
      <c r="R70" s="1739"/>
      <c r="S70" s="1739"/>
      <c r="T70" s="1739"/>
      <c r="U70" s="1739"/>
      <c r="V70" s="1739"/>
      <c r="W70" s="1739"/>
      <c r="X70" s="1739"/>
      <c r="Y70" s="1739"/>
      <c r="Z70" s="1739"/>
      <c r="AA70" s="1739"/>
      <c r="AB70" s="1739"/>
      <c r="AC70" s="1739"/>
      <c r="AD70" s="1739"/>
      <c r="AE70" s="1739"/>
      <c r="AF70" s="1739"/>
      <c r="AG70" s="1739"/>
      <c r="AH70" s="1739"/>
      <c r="AI70" s="1739"/>
      <c r="AJ70" s="1739"/>
      <c r="AK70" s="1739"/>
      <c r="AL70" s="1739"/>
      <c r="AM70" s="1739"/>
      <c r="AN70" s="1739"/>
      <c r="AO70" s="1739"/>
      <c r="AP70" s="1739"/>
      <c r="AQ70" s="1739"/>
      <c r="AR70" s="1739"/>
      <c r="AS70" s="1739"/>
      <c r="AT70" s="1739"/>
      <c r="AU70" s="20"/>
      <c r="AV70" s="20"/>
      <c r="AW70" s="20"/>
      <c r="AX70" s="20"/>
      <c r="AY70" s="20"/>
      <c r="AZ70" s="20"/>
      <c r="BD70" s="1177" t="s">
        <v>2483</v>
      </c>
      <c r="BE70" s="1178">
        <f ca="1">'Points System'!AF843</f>
        <v>111</v>
      </c>
    </row>
    <row r="71" spans="1:57" ht="12.95" customHeight="1">
      <c r="A71" s="517"/>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76" t="s">
        <v>2604</v>
      </c>
      <c r="BE71" s="1178">
        <f>'Points System'!AF826</f>
        <v>0</v>
      </c>
    </row>
    <row r="72" spans="1:57" ht="12.95" customHeight="1">
      <c r="A72" s="1737" t="s">
        <v>2109</v>
      </c>
      <c r="B72" s="1737"/>
      <c r="C72" s="1737"/>
      <c r="D72" s="1737"/>
      <c r="E72" s="1737"/>
      <c r="F72" s="1737"/>
      <c r="G72" s="1737"/>
      <c r="H72" s="1737"/>
      <c r="I72" s="1737"/>
      <c r="J72" s="1737"/>
      <c r="K72" s="1737"/>
      <c r="L72" s="1737"/>
      <c r="M72" s="1737"/>
      <c r="N72" s="1737"/>
      <c r="O72" s="1737"/>
      <c r="P72" s="1737"/>
      <c r="Q72" s="1737"/>
      <c r="R72" s="1737"/>
      <c r="S72" s="1737"/>
      <c r="T72" s="1737"/>
      <c r="U72" s="1737"/>
      <c r="V72" s="1737"/>
      <c r="W72" s="1737"/>
      <c r="X72" s="1737"/>
      <c r="Y72" s="1737"/>
      <c r="Z72" s="1737"/>
      <c r="AA72" s="1737"/>
      <c r="AB72" s="1737"/>
      <c r="AC72" s="1737"/>
      <c r="AD72" s="1737"/>
      <c r="AE72" s="1737"/>
      <c r="AF72" s="1737"/>
      <c r="AG72" s="1737"/>
      <c r="AH72" s="1737"/>
      <c r="AI72" s="1737"/>
      <c r="AJ72" s="1737"/>
      <c r="AK72" s="1737"/>
      <c r="AL72" s="1737"/>
      <c r="AM72" s="1737"/>
      <c r="AN72" s="1737"/>
      <c r="AO72" s="1737"/>
      <c r="AP72" s="1737"/>
      <c r="AQ72" s="1737"/>
      <c r="AR72" s="1737"/>
      <c r="AS72" s="1737"/>
      <c r="AT72" s="1737"/>
      <c r="AU72" s="20"/>
      <c r="AV72" s="20"/>
      <c r="AW72" s="20"/>
      <c r="AX72" s="20"/>
      <c r="AY72" s="20"/>
      <c r="AZ72" s="20"/>
      <c r="BD72" s="1177" t="s">
        <v>2484</v>
      </c>
      <c r="BE72" s="1178">
        <f>'Points System'!AF827</f>
        <v>10</v>
      </c>
    </row>
    <row r="73" spans="1:57" ht="12.95" customHeight="1">
      <c r="A73" s="1737"/>
      <c r="B73" s="1737"/>
      <c r="C73" s="1737"/>
      <c r="D73" s="1737"/>
      <c r="E73" s="1737"/>
      <c r="F73" s="1737"/>
      <c r="G73" s="1737"/>
      <c r="H73" s="1737"/>
      <c r="I73" s="1737"/>
      <c r="J73" s="1737"/>
      <c r="K73" s="1737"/>
      <c r="L73" s="1737"/>
      <c r="M73" s="1737"/>
      <c r="N73" s="1737"/>
      <c r="O73" s="1737"/>
      <c r="P73" s="1737"/>
      <c r="Q73" s="1737"/>
      <c r="R73" s="1737"/>
      <c r="S73" s="1737"/>
      <c r="T73" s="1737"/>
      <c r="U73" s="1737"/>
      <c r="V73" s="1737"/>
      <c r="W73" s="1737"/>
      <c r="X73" s="1737"/>
      <c r="Y73" s="1737"/>
      <c r="Z73" s="1737"/>
      <c r="AA73" s="1737"/>
      <c r="AB73" s="1737"/>
      <c r="AC73" s="1737"/>
      <c r="AD73" s="1737"/>
      <c r="AE73" s="1737"/>
      <c r="AF73" s="1737"/>
      <c r="AG73" s="1737"/>
      <c r="AH73" s="1737"/>
      <c r="AI73" s="1737"/>
      <c r="AJ73" s="1737"/>
      <c r="AK73" s="1737"/>
      <c r="AL73" s="1737"/>
      <c r="AM73" s="1737"/>
      <c r="AN73" s="1737"/>
      <c r="AO73" s="1737"/>
      <c r="AP73" s="1737"/>
      <c r="AQ73" s="1737"/>
      <c r="AR73" s="1737"/>
      <c r="AS73" s="1737"/>
      <c r="AT73" s="1737"/>
      <c r="AU73" s="20"/>
      <c r="AV73" s="20"/>
      <c r="AW73" s="20"/>
      <c r="AX73" s="20"/>
      <c r="AY73" s="20"/>
      <c r="AZ73" s="20"/>
      <c r="BD73" s="1176" t="s">
        <v>2485</v>
      </c>
      <c r="BE73" s="1178">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77" t="s">
        <v>2486</v>
      </c>
      <c r="BE74" s="1178">
        <f>'Points System'!AF829</f>
        <v>10</v>
      </c>
    </row>
    <row r="75" spans="1:57" ht="12.95" customHeight="1">
      <c r="A75" s="2046" t="s">
        <v>2110</v>
      </c>
      <c r="B75" s="2046"/>
      <c r="C75" s="2046"/>
      <c r="D75" s="2046"/>
      <c r="E75" s="2046"/>
      <c r="F75" s="2046"/>
      <c r="G75" s="2046"/>
      <c r="H75" s="2046"/>
      <c r="I75" s="2046"/>
      <c r="J75" s="2046"/>
      <c r="K75" s="2046"/>
      <c r="L75" s="2046"/>
      <c r="M75" s="2046"/>
      <c r="N75" s="2046"/>
      <c r="O75" s="2046"/>
      <c r="P75" s="2046"/>
      <c r="Q75" s="2046"/>
      <c r="R75" s="2046"/>
      <c r="S75" s="2046"/>
      <c r="T75" s="2046"/>
      <c r="U75" s="2046"/>
      <c r="V75" s="2046"/>
      <c r="W75" s="2046"/>
      <c r="X75" s="2046"/>
      <c r="Y75" s="2046"/>
      <c r="Z75" s="2046"/>
      <c r="AA75" s="2046"/>
      <c r="AB75" s="2046"/>
      <c r="AC75" s="2046"/>
      <c r="AD75" s="2046"/>
      <c r="AE75" s="2046"/>
      <c r="AF75" s="2046"/>
      <c r="AG75" s="2046"/>
      <c r="AH75" s="2046"/>
      <c r="AI75" s="2046"/>
      <c r="AJ75" s="2046"/>
      <c r="AK75" s="2046"/>
      <c r="AL75" s="2046"/>
      <c r="AM75" s="2046"/>
      <c r="AN75" s="2046"/>
      <c r="AO75" s="2046"/>
      <c r="AP75" s="2046"/>
      <c r="AQ75" s="2046"/>
      <c r="AR75" s="2046"/>
      <c r="AS75" s="2046"/>
      <c r="AT75" s="2046"/>
      <c r="AU75" s="20"/>
      <c r="AV75" s="20"/>
      <c r="AW75" s="20"/>
      <c r="AX75" s="20"/>
      <c r="AY75" s="20"/>
      <c r="AZ75" s="20"/>
      <c r="BD75" s="1176" t="s">
        <v>2487</v>
      </c>
      <c r="BE75" s="1178">
        <f>'Points System'!AF830</f>
        <v>10</v>
      </c>
    </row>
    <row r="76" spans="1:57" ht="12.95" customHeight="1">
      <c r="A76" s="2046"/>
      <c r="B76" s="2046"/>
      <c r="C76" s="2046"/>
      <c r="D76" s="2046"/>
      <c r="E76" s="2046"/>
      <c r="F76" s="2046"/>
      <c r="G76" s="2046"/>
      <c r="H76" s="2046"/>
      <c r="I76" s="2046"/>
      <c r="J76" s="2046"/>
      <c r="K76" s="2046"/>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6"/>
      <c r="AK76" s="2046"/>
      <c r="AL76" s="2046"/>
      <c r="AM76" s="2046"/>
      <c r="AN76" s="2046"/>
      <c r="AO76" s="2046"/>
      <c r="AP76" s="2046"/>
      <c r="AQ76" s="2046"/>
      <c r="AR76" s="2046"/>
      <c r="AS76" s="2046"/>
      <c r="AT76" s="2046"/>
      <c r="AU76" s="20"/>
      <c r="AV76" s="20"/>
      <c r="AW76" s="20"/>
      <c r="AX76" s="20"/>
      <c r="AY76" s="20"/>
      <c r="AZ76" s="17"/>
      <c r="BD76" s="1177" t="s">
        <v>2488</v>
      </c>
      <c r="BE76" s="1178">
        <f>'Points System'!AF833</f>
        <v>10</v>
      </c>
    </row>
    <row r="77" spans="1:57" ht="12.95" customHeight="1">
      <c r="A77" s="2046"/>
      <c r="B77" s="2046"/>
      <c r="C77" s="2046"/>
      <c r="D77" s="2046"/>
      <c r="E77" s="2046"/>
      <c r="F77" s="2046"/>
      <c r="G77" s="2046"/>
      <c r="H77" s="2046"/>
      <c r="I77" s="2046"/>
      <c r="J77" s="2046"/>
      <c r="K77" s="2046"/>
      <c r="L77" s="2046"/>
      <c r="M77" s="2046"/>
      <c r="N77" s="2046"/>
      <c r="O77" s="2046"/>
      <c r="P77" s="2046"/>
      <c r="Q77" s="2046"/>
      <c r="R77" s="2046"/>
      <c r="S77" s="2046"/>
      <c r="T77" s="2046"/>
      <c r="U77" s="2046"/>
      <c r="V77" s="2046"/>
      <c r="W77" s="2046"/>
      <c r="X77" s="2046"/>
      <c r="Y77" s="2046"/>
      <c r="Z77" s="2046"/>
      <c r="AA77" s="2046"/>
      <c r="AB77" s="2046"/>
      <c r="AC77" s="2046"/>
      <c r="AD77" s="2046"/>
      <c r="AE77" s="2046"/>
      <c r="AF77" s="2046"/>
      <c r="AG77" s="2046"/>
      <c r="AH77" s="2046"/>
      <c r="AI77" s="2046"/>
      <c r="AJ77" s="2046"/>
      <c r="AK77" s="2046"/>
      <c r="AL77" s="2046"/>
      <c r="AM77" s="2046"/>
      <c r="AN77" s="2046"/>
      <c r="AO77" s="2046"/>
      <c r="AP77" s="2046"/>
      <c r="AQ77" s="2046"/>
      <c r="AR77" s="2046"/>
      <c r="AS77" s="2046"/>
      <c r="AT77" s="2046"/>
      <c r="AU77" s="20"/>
      <c r="AV77" s="20"/>
      <c r="AW77" s="20"/>
      <c r="AX77" s="20"/>
      <c r="AY77" s="20"/>
      <c r="AZ77" s="17"/>
      <c r="BD77" s="1176" t="s">
        <v>2489</v>
      </c>
      <c r="BE77" s="1178">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77" t="s">
        <v>2490</v>
      </c>
      <c r="BE78" s="1178">
        <f>'Points System'!AF836</f>
        <v>10</v>
      </c>
    </row>
    <row r="79" spans="1:57" ht="12.95" customHeight="1">
      <c r="A79" s="1739" t="s">
        <v>2111</v>
      </c>
      <c r="B79" s="1739"/>
      <c r="C79" s="1739"/>
      <c r="D79" s="1739"/>
      <c r="E79" s="1739"/>
      <c r="F79" s="1739"/>
      <c r="G79" s="1739"/>
      <c r="H79" s="1739"/>
      <c r="I79" s="1739"/>
      <c r="J79" s="1739"/>
      <c r="K79" s="1739"/>
      <c r="L79" s="1739"/>
      <c r="M79" s="1739"/>
      <c r="N79" s="1739"/>
      <c r="O79" s="1739"/>
      <c r="P79" s="1739"/>
      <c r="Q79" s="1739"/>
      <c r="R79" s="1739"/>
      <c r="S79" s="1739"/>
      <c r="T79" s="1739"/>
      <c r="U79" s="1739"/>
      <c r="V79" s="1739"/>
      <c r="W79" s="1739"/>
      <c r="X79" s="1739"/>
      <c r="Y79" s="1739"/>
      <c r="Z79" s="1739"/>
      <c r="AA79" s="1739"/>
      <c r="AB79" s="1739"/>
      <c r="AC79" s="1739"/>
      <c r="AD79" s="1739"/>
      <c r="AE79" s="1739"/>
      <c r="AF79" s="1739"/>
      <c r="AG79" s="1739"/>
      <c r="AH79" s="1739"/>
      <c r="AI79" s="1739"/>
      <c r="AJ79" s="1739"/>
      <c r="AK79" s="1739"/>
      <c r="AL79" s="1739"/>
      <c r="AM79" s="1739"/>
      <c r="AN79" s="1739"/>
      <c r="AO79" s="1739"/>
      <c r="AP79" s="1739"/>
      <c r="AQ79" s="1739"/>
      <c r="AR79" s="1739"/>
      <c r="AS79" s="1739"/>
      <c r="AT79" s="1739"/>
      <c r="AU79" s="20"/>
      <c r="AV79" s="20"/>
      <c r="AW79" s="20"/>
      <c r="AX79" s="20"/>
      <c r="AY79" s="20"/>
      <c r="AZ79" s="20"/>
      <c r="BD79" s="1176" t="s">
        <v>2605</v>
      </c>
      <c r="BE79" s="1178">
        <f>'Points System'!AF837</f>
        <v>9</v>
      </c>
    </row>
    <row r="80" spans="1:57" ht="12.95" customHeight="1">
      <c r="A80" s="1739"/>
      <c r="B80" s="1739"/>
      <c r="C80" s="1739"/>
      <c r="D80" s="1739"/>
      <c r="E80" s="1739"/>
      <c r="F80" s="1739"/>
      <c r="G80" s="1739"/>
      <c r="H80" s="1739"/>
      <c r="I80" s="1739"/>
      <c r="J80" s="1739"/>
      <c r="K80" s="1739"/>
      <c r="L80" s="1739"/>
      <c r="M80" s="1739"/>
      <c r="N80" s="1739"/>
      <c r="O80" s="1739"/>
      <c r="P80" s="1739"/>
      <c r="Q80" s="1739"/>
      <c r="R80" s="1739"/>
      <c r="S80" s="1739"/>
      <c r="T80" s="1739"/>
      <c r="U80" s="1739"/>
      <c r="V80" s="1739"/>
      <c r="W80" s="1739"/>
      <c r="X80" s="1739"/>
      <c r="Y80" s="1739"/>
      <c r="Z80" s="1739"/>
      <c r="AA80" s="1739"/>
      <c r="AB80" s="1739"/>
      <c r="AC80" s="1739"/>
      <c r="AD80" s="1739"/>
      <c r="AE80" s="1739"/>
      <c r="AF80" s="1739"/>
      <c r="AG80" s="1739"/>
      <c r="AH80" s="1739"/>
      <c r="AI80" s="1739"/>
      <c r="AJ80" s="1739"/>
      <c r="AK80" s="1739"/>
      <c r="AL80" s="1739"/>
      <c r="AM80" s="1739"/>
      <c r="AN80" s="1739"/>
      <c r="AO80" s="1739"/>
      <c r="AP80" s="1739"/>
      <c r="AQ80" s="1739"/>
      <c r="AR80" s="1739"/>
      <c r="AS80" s="1739"/>
      <c r="AT80" s="1739"/>
      <c r="AU80" s="20"/>
      <c r="AV80" s="20"/>
      <c r="AW80" s="20"/>
      <c r="AX80" s="20"/>
      <c r="AY80" s="20"/>
      <c r="AZ80" s="20"/>
      <c r="BD80" s="1177" t="s">
        <v>2491</v>
      </c>
      <c r="BE80" s="1178">
        <f>'Points System'!AF839</f>
        <v>10</v>
      </c>
    </row>
    <row r="81" spans="1:57" ht="12.95" customHeight="1">
      <c r="A81" s="1739"/>
      <c r="B81" s="1739"/>
      <c r="C81" s="1739"/>
      <c r="D81" s="1739"/>
      <c r="E81" s="1739"/>
      <c r="F81" s="1739"/>
      <c r="G81" s="1739"/>
      <c r="H81" s="1739"/>
      <c r="I81" s="1739"/>
      <c r="J81" s="1739"/>
      <c r="K81" s="1739"/>
      <c r="L81" s="1739"/>
      <c r="M81" s="1739"/>
      <c r="N81" s="1739"/>
      <c r="O81" s="1739"/>
      <c r="P81" s="1739"/>
      <c r="Q81" s="1739"/>
      <c r="R81" s="1739"/>
      <c r="S81" s="1739"/>
      <c r="T81" s="1739"/>
      <c r="U81" s="1739"/>
      <c r="V81" s="1739"/>
      <c r="W81" s="1739"/>
      <c r="X81" s="1739"/>
      <c r="Y81" s="1739"/>
      <c r="Z81" s="1739"/>
      <c r="AA81" s="1739"/>
      <c r="AB81" s="1739"/>
      <c r="AC81" s="1739"/>
      <c r="AD81" s="1739"/>
      <c r="AE81" s="1739"/>
      <c r="AF81" s="1739"/>
      <c r="AG81" s="1739"/>
      <c r="AH81" s="1739"/>
      <c r="AI81" s="1739"/>
      <c r="AJ81" s="1739"/>
      <c r="AK81" s="1739"/>
      <c r="AL81" s="1739"/>
      <c r="AM81" s="1739"/>
      <c r="AN81" s="1739"/>
      <c r="AO81" s="1739"/>
      <c r="AP81" s="1739"/>
      <c r="AQ81" s="1739"/>
      <c r="AR81" s="1739"/>
      <c r="AS81" s="1739"/>
      <c r="AT81" s="1739"/>
      <c r="AU81" s="20"/>
      <c r="AV81" s="20"/>
      <c r="AW81" s="20"/>
      <c r="AX81" s="20"/>
      <c r="AY81" s="20"/>
      <c r="AZ81" s="20"/>
      <c r="BD81" s="1176" t="s">
        <v>2492</v>
      </c>
      <c r="BE81" s="1178">
        <f>'Points System'!AF840</f>
        <v>12</v>
      </c>
    </row>
    <row r="82" spans="1:57" ht="12.95" customHeight="1">
      <c r="A82" s="517"/>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77" t="s">
        <v>2493</v>
      </c>
      <c r="BE82" s="1178">
        <f>'Points System'!AF841</f>
        <v>10</v>
      </c>
    </row>
    <row r="83" spans="1:57" ht="12.95" customHeight="1">
      <c r="A83" s="1528" t="s">
        <v>2112</v>
      </c>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20"/>
      <c r="AV83" s="20"/>
      <c r="AW83" s="20"/>
      <c r="AX83" s="20"/>
      <c r="AY83" s="20"/>
      <c r="AZ83" s="20"/>
      <c r="BD83" s="1176" t="s">
        <v>2494</v>
      </c>
      <c r="BE83" s="1182">
        <f>'Tie Breaker'!H5</f>
        <v>0.96540919235217548</v>
      </c>
    </row>
    <row r="84" spans="1:57" ht="12.95" customHeight="1">
      <c r="A84" s="1528"/>
      <c r="B84" s="1528"/>
      <c r="C84" s="1528"/>
      <c r="D84" s="1528"/>
      <c r="E84" s="1528"/>
      <c r="F84" s="1528"/>
      <c r="G84" s="1528"/>
      <c r="H84" s="1528"/>
      <c r="I84" s="1528"/>
      <c r="J84" s="1528"/>
      <c r="K84" s="1528"/>
      <c r="L84" s="1528"/>
      <c r="M84" s="1528"/>
      <c r="N84" s="1528"/>
      <c r="O84" s="1528"/>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20"/>
      <c r="AV84" s="20"/>
      <c r="AW84" s="20"/>
      <c r="AX84" s="20"/>
      <c r="AY84" s="20"/>
      <c r="AZ84" s="20"/>
      <c r="BD84" s="1177" t="s">
        <v>2495</v>
      </c>
      <c r="BE84" s="1178" t="str">
        <f>Application!O153</f>
        <v>City of Sacramento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76" t="s">
        <v>2496</v>
      </c>
      <c r="BE85" s="1178" t="str">
        <f>Application!O154</f>
        <v>Maraskeshia Smith</v>
      </c>
    </row>
    <row r="86" spans="1:57" ht="12.95" customHeight="1">
      <c r="A86" s="1528" t="s">
        <v>2113</v>
      </c>
      <c r="B86" s="1528"/>
      <c r="C86" s="1528"/>
      <c r="D86" s="1528"/>
      <c r="E86" s="1528"/>
      <c r="F86" s="1528"/>
      <c r="G86" s="1528"/>
      <c r="H86" s="1528"/>
      <c r="I86" s="1528"/>
      <c r="J86" s="1528"/>
      <c r="K86" s="1528"/>
      <c r="L86" s="1528"/>
      <c r="M86" s="1528"/>
      <c r="N86" s="1528"/>
      <c r="O86" s="1528"/>
      <c r="P86" s="1528"/>
      <c r="Q86" s="1528"/>
      <c r="R86" s="1528"/>
      <c r="S86" s="1528"/>
      <c r="T86" s="1528"/>
      <c r="U86" s="1528"/>
      <c r="V86" s="1528"/>
      <c r="W86" s="1528"/>
      <c r="X86" s="1528"/>
      <c r="Y86" s="1528"/>
      <c r="Z86" s="1528"/>
      <c r="AA86" s="1528"/>
      <c r="AB86" s="1528"/>
      <c r="AC86" s="1528"/>
      <c r="AD86" s="1528"/>
      <c r="AE86" s="1528"/>
      <c r="AF86" s="1528"/>
      <c r="AG86" s="1528"/>
      <c r="AH86" s="1528"/>
      <c r="AI86" s="1528"/>
      <c r="AJ86" s="1528"/>
      <c r="AK86" s="1528"/>
      <c r="AL86" s="1528"/>
      <c r="AM86" s="1528"/>
      <c r="AN86" s="1528"/>
      <c r="AO86" s="1528"/>
      <c r="AP86" s="1528"/>
      <c r="AQ86" s="1528"/>
      <c r="AR86" s="1528"/>
      <c r="AS86" s="1528"/>
      <c r="AT86" s="1528"/>
      <c r="AU86" s="20"/>
      <c r="AV86" s="20"/>
      <c r="AW86" s="20"/>
      <c r="AX86" s="20"/>
      <c r="AY86" s="20"/>
      <c r="AZ86" s="20"/>
      <c r="BD86" s="1177" t="s">
        <v>2497</v>
      </c>
      <c r="BE86" s="1178" t="str">
        <f>Application!O155</f>
        <v>City Manager</v>
      </c>
    </row>
    <row r="87" spans="1:57" ht="12.95" customHeight="1">
      <c r="A87" s="1528"/>
      <c r="B87" s="1528"/>
      <c r="C87" s="1528"/>
      <c r="D87" s="1528"/>
      <c r="E87" s="1528"/>
      <c r="F87" s="1528"/>
      <c r="G87" s="1528"/>
      <c r="H87" s="1528"/>
      <c r="I87" s="1528"/>
      <c r="J87" s="1528"/>
      <c r="K87" s="1528"/>
      <c r="L87" s="1528"/>
      <c r="M87" s="1528"/>
      <c r="N87" s="1528"/>
      <c r="O87" s="1528"/>
      <c r="P87" s="1528"/>
      <c r="Q87" s="1528"/>
      <c r="R87" s="1528"/>
      <c r="S87" s="1528"/>
      <c r="T87" s="1528"/>
      <c r="U87" s="1528"/>
      <c r="V87" s="1528"/>
      <c r="W87" s="1528"/>
      <c r="X87" s="1528"/>
      <c r="Y87" s="1528"/>
      <c r="Z87" s="1528"/>
      <c r="AA87" s="1528"/>
      <c r="AB87" s="1528"/>
      <c r="AC87" s="1528"/>
      <c r="AD87" s="1528"/>
      <c r="AE87" s="1528"/>
      <c r="AF87" s="1528"/>
      <c r="AG87" s="1528"/>
      <c r="AH87" s="1528"/>
      <c r="AI87" s="1528"/>
      <c r="AJ87" s="1528"/>
      <c r="AK87" s="1528"/>
      <c r="AL87" s="1528"/>
      <c r="AM87" s="1528"/>
      <c r="AN87" s="1528"/>
      <c r="AO87" s="1528"/>
      <c r="AP87" s="1528"/>
      <c r="AQ87" s="1528"/>
      <c r="AR87" s="1528"/>
      <c r="AS87" s="1528"/>
      <c r="AT87" s="1528"/>
      <c r="AU87" s="20"/>
      <c r="AV87" s="20"/>
      <c r="AW87" s="20"/>
      <c r="AX87" s="20"/>
      <c r="AY87" s="20"/>
      <c r="AZ87" s="20"/>
      <c r="BD87" s="1176" t="s">
        <v>2498</v>
      </c>
      <c r="BE87" s="1178" t="str">
        <f>Application!O156</f>
        <v xml:space="preserve">915 I Street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77" t="s">
        <v>2499</v>
      </c>
      <c r="BE88" s="1178" t="str">
        <f>Application!O157</f>
        <v>Sacramento</v>
      </c>
    </row>
    <row r="89" spans="1:57" ht="12.95" customHeight="1">
      <c r="A89" s="2045" t="s">
        <v>2114</v>
      </c>
      <c r="B89" s="2045"/>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c r="AC89" s="2045"/>
      <c r="AD89" s="2045"/>
      <c r="AE89" s="2045"/>
      <c r="AF89" s="2045"/>
      <c r="AG89" s="2045"/>
      <c r="AH89" s="2045"/>
      <c r="AI89" s="2045"/>
      <c r="AJ89" s="2045"/>
      <c r="AK89" s="2045"/>
      <c r="AL89" s="2045"/>
      <c r="AM89" s="2045"/>
      <c r="AN89" s="2045"/>
      <c r="AO89" s="2045"/>
      <c r="AP89" s="2045"/>
      <c r="AQ89" s="2045"/>
      <c r="AR89" s="2045"/>
      <c r="AS89" s="2045"/>
      <c r="AT89" s="2045"/>
      <c r="AU89" s="17"/>
      <c r="AV89" s="17"/>
      <c r="AW89" s="17"/>
      <c r="AX89" s="17"/>
      <c r="AY89" s="17"/>
      <c r="AZ89" s="20"/>
      <c r="BD89" s="1176" t="s">
        <v>2500</v>
      </c>
      <c r="BE89" s="1178">
        <f>Application!O158</f>
        <v>95814</v>
      </c>
    </row>
    <row r="90" spans="1:57" ht="12.95" customHeight="1">
      <c r="A90" s="2045"/>
      <c r="B90" s="2045"/>
      <c r="C90" s="2045"/>
      <c r="D90" s="2045"/>
      <c r="E90" s="2045"/>
      <c r="F90" s="2045"/>
      <c r="G90" s="2045"/>
      <c r="H90" s="2045"/>
      <c r="I90" s="2045"/>
      <c r="J90" s="2045"/>
      <c r="K90" s="2045"/>
      <c r="L90" s="2045"/>
      <c r="M90" s="2045"/>
      <c r="N90" s="2045"/>
      <c r="O90" s="2045"/>
      <c r="P90" s="2045"/>
      <c r="Q90" s="2045"/>
      <c r="R90" s="2045"/>
      <c r="S90" s="2045"/>
      <c r="T90" s="2045"/>
      <c r="U90" s="2045"/>
      <c r="V90" s="2045"/>
      <c r="W90" s="2045"/>
      <c r="X90" s="2045"/>
      <c r="Y90" s="2045"/>
      <c r="Z90" s="2045"/>
      <c r="AA90" s="2045"/>
      <c r="AB90" s="2045"/>
      <c r="AC90" s="2045"/>
      <c r="AD90" s="2045"/>
      <c r="AE90" s="2045"/>
      <c r="AF90" s="2045"/>
      <c r="AG90" s="2045"/>
      <c r="AH90" s="2045"/>
      <c r="AI90" s="2045"/>
      <c r="AJ90" s="2045"/>
      <c r="AK90" s="2045"/>
      <c r="AL90" s="2045"/>
      <c r="AM90" s="2045"/>
      <c r="AN90" s="2045"/>
      <c r="AO90" s="2045"/>
      <c r="AP90" s="2045"/>
      <c r="AQ90" s="2045"/>
      <c r="AR90" s="2045"/>
      <c r="AS90" s="2045"/>
      <c r="AT90" s="2045"/>
      <c r="AU90" s="17"/>
      <c r="AV90" s="17"/>
      <c r="AW90" s="17"/>
      <c r="AX90" s="17"/>
      <c r="AY90" s="17"/>
      <c r="AZ90" s="20"/>
      <c r="BD90" s="1177" t="s">
        <v>2501</v>
      </c>
      <c r="BE90" s="1178" t="str">
        <f>Application!H16</f>
        <v>Fong Natomas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76" t="s">
        <v>2502</v>
      </c>
      <c r="BE91" s="1178" t="str">
        <f>Application!M242</f>
        <v>2277 Fair Oaks Blvd, Ste. 230</v>
      </c>
    </row>
    <row r="92" spans="1:57" ht="12.95" customHeight="1">
      <c r="A92" s="2046" t="s">
        <v>2115</v>
      </c>
      <c r="B92" s="2046"/>
      <c r="C92" s="2046"/>
      <c r="D92" s="2046"/>
      <c r="E92" s="2046"/>
      <c r="F92" s="2046"/>
      <c r="G92" s="2046"/>
      <c r="H92" s="2046"/>
      <c r="I92" s="2046"/>
      <c r="J92" s="2046"/>
      <c r="K92" s="2046"/>
      <c r="L92" s="2046"/>
      <c r="M92" s="2046"/>
      <c r="N92" s="2046"/>
      <c r="O92" s="2046"/>
      <c r="P92" s="2046"/>
      <c r="Q92" s="2046"/>
      <c r="R92" s="2046"/>
      <c r="S92" s="2046"/>
      <c r="T92" s="2046"/>
      <c r="U92" s="2046"/>
      <c r="V92" s="2046"/>
      <c r="W92" s="2046"/>
      <c r="X92" s="2046"/>
      <c r="Y92" s="2046"/>
      <c r="Z92" s="2046"/>
      <c r="AA92" s="2046"/>
      <c r="AB92" s="2046"/>
      <c r="AC92" s="2046"/>
      <c r="AD92" s="2046"/>
      <c r="AE92" s="2046"/>
      <c r="AF92" s="2046"/>
      <c r="AG92" s="2046"/>
      <c r="AH92" s="2046"/>
      <c r="AI92" s="2046"/>
      <c r="AJ92" s="2046"/>
      <c r="AK92" s="2046"/>
      <c r="AL92" s="2046"/>
      <c r="AM92" s="2046"/>
      <c r="AN92" s="2046"/>
      <c r="AO92" s="2046"/>
      <c r="AP92" s="2046"/>
      <c r="AQ92" s="2046"/>
      <c r="AR92" s="2046"/>
      <c r="AS92" s="2046"/>
      <c r="AT92" s="2046"/>
      <c r="AU92" s="20"/>
      <c r="AV92" s="20"/>
      <c r="AW92" s="20"/>
      <c r="AX92" s="20"/>
      <c r="AY92" s="20"/>
      <c r="AZ92" s="20"/>
      <c r="BD92" s="1177" t="s">
        <v>2503</v>
      </c>
      <c r="BE92" s="1178" t="str">
        <f>Application!M243</f>
        <v>Sacramento</v>
      </c>
    </row>
    <row r="93" spans="1:57" ht="12.95" customHeight="1">
      <c r="A93" s="2046"/>
      <c r="B93" s="2046"/>
      <c r="C93" s="2046"/>
      <c r="D93" s="2046"/>
      <c r="E93" s="2046"/>
      <c r="F93" s="2046"/>
      <c r="G93" s="2046"/>
      <c r="H93" s="2046"/>
      <c r="I93" s="2046"/>
      <c r="J93" s="2046"/>
      <c r="K93" s="2046"/>
      <c r="L93" s="2046"/>
      <c r="M93" s="2046"/>
      <c r="N93" s="2046"/>
      <c r="O93" s="2046"/>
      <c r="P93" s="2046"/>
      <c r="Q93" s="2046"/>
      <c r="R93" s="2046"/>
      <c r="S93" s="2046"/>
      <c r="T93" s="2046"/>
      <c r="U93" s="2046"/>
      <c r="V93" s="2046"/>
      <c r="W93" s="2046"/>
      <c r="X93" s="2046"/>
      <c r="Y93" s="2046"/>
      <c r="Z93" s="2046"/>
      <c r="AA93" s="2046"/>
      <c r="AB93" s="2046"/>
      <c r="AC93" s="2046"/>
      <c r="AD93" s="2046"/>
      <c r="AE93" s="2046"/>
      <c r="AF93" s="2046"/>
      <c r="AG93" s="2046"/>
      <c r="AH93" s="2046"/>
      <c r="AI93" s="2046"/>
      <c r="AJ93" s="2046"/>
      <c r="AK93" s="2046"/>
      <c r="AL93" s="2046"/>
      <c r="AM93" s="2046"/>
      <c r="AN93" s="2046"/>
      <c r="AO93" s="2046"/>
      <c r="AP93" s="2046"/>
      <c r="AQ93" s="2046"/>
      <c r="AR93" s="2046"/>
      <c r="AS93" s="2046"/>
      <c r="AT93" s="2046"/>
      <c r="AU93" s="20"/>
      <c r="AV93" s="20"/>
      <c r="AW93" s="20"/>
      <c r="AX93" s="20"/>
      <c r="AY93" s="20"/>
      <c r="AZ93" s="20"/>
      <c r="BD93" s="1176" t="s">
        <v>2504</v>
      </c>
      <c r="BE93" s="1178" t="str">
        <f>Application!W243</f>
        <v xml:space="preserve">CA </v>
      </c>
    </row>
    <row r="94" spans="1:57" ht="12.95" customHeight="1">
      <c r="A94" s="2046"/>
      <c r="B94" s="2046"/>
      <c r="C94" s="2046"/>
      <c r="D94" s="2046"/>
      <c r="E94" s="2046"/>
      <c r="F94" s="2046"/>
      <c r="G94" s="2046"/>
      <c r="H94" s="2046"/>
      <c r="I94" s="2046"/>
      <c r="J94" s="2046"/>
      <c r="K94" s="2046"/>
      <c r="L94" s="2046"/>
      <c r="M94" s="2046"/>
      <c r="N94" s="2046"/>
      <c r="O94" s="2046"/>
      <c r="P94" s="2046"/>
      <c r="Q94" s="2046"/>
      <c r="R94" s="2046"/>
      <c r="S94" s="2046"/>
      <c r="T94" s="2046"/>
      <c r="U94" s="2046"/>
      <c r="V94" s="2046"/>
      <c r="W94" s="2046"/>
      <c r="X94" s="2046"/>
      <c r="Y94" s="2046"/>
      <c r="Z94" s="2046"/>
      <c r="AA94" s="2046"/>
      <c r="AB94" s="2046"/>
      <c r="AC94" s="2046"/>
      <c r="AD94" s="2046"/>
      <c r="AE94" s="2046"/>
      <c r="AF94" s="2046"/>
      <c r="AG94" s="2046"/>
      <c r="AH94" s="2046"/>
      <c r="AI94" s="2046"/>
      <c r="AJ94" s="2046"/>
      <c r="AK94" s="2046"/>
      <c r="AL94" s="2046"/>
      <c r="AM94" s="2046"/>
      <c r="AN94" s="2046"/>
      <c r="AO94" s="2046"/>
      <c r="AP94" s="2046"/>
      <c r="AQ94" s="2046"/>
      <c r="AR94" s="2046"/>
      <c r="AS94" s="2046"/>
      <c r="AT94" s="2046"/>
      <c r="AU94" s="20"/>
      <c r="AV94" s="20"/>
      <c r="AW94" s="20"/>
      <c r="AX94" s="20"/>
      <c r="AY94" s="20"/>
      <c r="AZ94" s="20"/>
      <c r="BD94" s="1177" t="s">
        <v>2505</v>
      </c>
      <c r="BE94" s="1178">
        <f>Application!AC243</f>
        <v>95825</v>
      </c>
    </row>
    <row r="95" spans="1:57" ht="12.95" customHeight="1">
      <c r="A95" s="2046"/>
      <c r="B95" s="2046"/>
      <c r="C95" s="2046"/>
      <c r="D95" s="2046"/>
      <c r="E95" s="2046"/>
      <c r="F95" s="2046"/>
      <c r="G95" s="2046"/>
      <c r="H95" s="2046"/>
      <c r="I95" s="2046"/>
      <c r="J95" s="2046"/>
      <c r="K95" s="2046"/>
      <c r="L95" s="2046"/>
      <c r="M95" s="2046"/>
      <c r="N95" s="2046"/>
      <c r="O95" s="2046"/>
      <c r="P95" s="2046"/>
      <c r="Q95" s="2046"/>
      <c r="R95" s="2046"/>
      <c r="S95" s="2046"/>
      <c r="T95" s="2046"/>
      <c r="U95" s="2046"/>
      <c r="V95" s="2046"/>
      <c r="W95" s="2046"/>
      <c r="X95" s="2046"/>
      <c r="Y95" s="2046"/>
      <c r="Z95" s="2046"/>
      <c r="AA95" s="2046"/>
      <c r="AB95" s="2046"/>
      <c r="AC95" s="2046"/>
      <c r="AD95" s="2046"/>
      <c r="AE95" s="2046"/>
      <c r="AF95" s="2046"/>
      <c r="AG95" s="2046"/>
      <c r="AH95" s="2046"/>
      <c r="AI95" s="2046"/>
      <c r="AJ95" s="2046"/>
      <c r="AK95" s="2046"/>
      <c r="AL95" s="2046"/>
      <c r="AM95" s="2046"/>
      <c r="AN95" s="2046"/>
      <c r="AO95" s="2046"/>
      <c r="AP95" s="2046"/>
      <c r="AQ95" s="2046"/>
      <c r="AR95" s="2046"/>
      <c r="AS95" s="2046"/>
      <c r="AT95" s="2046"/>
      <c r="AU95" s="20"/>
      <c r="AV95" s="20"/>
      <c r="AW95" s="20"/>
      <c r="AX95" s="20"/>
      <c r="AY95" s="20"/>
      <c r="AZ95" s="20"/>
      <c r="BD95" s="1176" t="s">
        <v>2506</v>
      </c>
      <c r="BE95" s="1178" t="str">
        <f>Application!M244</f>
        <v>Trisha Malone</v>
      </c>
    </row>
    <row r="96" spans="1:57" ht="12.95" customHeight="1">
      <c r="A96" s="2046"/>
      <c r="B96" s="2046"/>
      <c r="C96" s="2046"/>
      <c r="D96" s="2046"/>
      <c r="E96" s="2046"/>
      <c r="F96" s="2046"/>
      <c r="G96" s="2046"/>
      <c r="H96" s="2046"/>
      <c r="I96" s="2046"/>
      <c r="J96" s="2046"/>
      <c r="K96" s="2046"/>
      <c r="L96" s="2046"/>
      <c r="M96" s="2046"/>
      <c r="N96" s="2046"/>
      <c r="O96" s="2046"/>
      <c r="P96" s="2046"/>
      <c r="Q96" s="2046"/>
      <c r="R96" s="2046"/>
      <c r="S96" s="2046"/>
      <c r="T96" s="2046"/>
      <c r="U96" s="2046"/>
      <c r="V96" s="2046"/>
      <c r="W96" s="2046"/>
      <c r="X96" s="2046"/>
      <c r="Y96" s="2046"/>
      <c r="Z96" s="2046"/>
      <c r="AA96" s="2046"/>
      <c r="AB96" s="2046"/>
      <c r="AC96" s="2046"/>
      <c r="AD96" s="2046"/>
      <c r="AE96" s="2046"/>
      <c r="AF96" s="2046"/>
      <c r="AG96" s="2046"/>
      <c r="AH96" s="2046"/>
      <c r="AI96" s="2046"/>
      <c r="AJ96" s="2046"/>
      <c r="AK96" s="2046"/>
      <c r="AL96" s="2046"/>
      <c r="AM96" s="2046"/>
      <c r="AN96" s="2046"/>
      <c r="AO96" s="2046"/>
      <c r="AP96" s="2046"/>
      <c r="AQ96" s="2046"/>
      <c r="AR96" s="2046"/>
      <c r="AS96" s="2046"/>
      <c r="AT96" s="2046"/>
      <c r="AU96" s="20"/>
      <c r="AV96" s="20"/>
      <c r="AW96" s="20"/>
      <c r="AX96" s="20"/>
      <c r="AY96" s="20"/>
      <c r="AZ96" s="20"/>
      <c r="BD96" s="1177" t="s">
        <v>2507</v>
      </c>
      <c r="BE96" s="1178" t="str">
        <f>Application!M246</f>
        <v>tmalone@antondev.com</v>
      </c>
    </row>
    <row r="97" spans="1:57" ht="12.95" customHeight="1">
      <c r="A97" s="2046"/>
      <c r="B97" s="2046"/>
      <c r="C97" s="2046"/>
      <c r="D97" s="2046"/>
      <c r="E97" s="2046"/>
      <c r="F97" s="2046"/>
      <c r="G97" s="2046"/>
      <c r="H97" s="2046"/>
      <c r="I97" s="2046"/>
      <c r="J97" s="2046"/>
      <c r="K97" s="2046"/>
      <c r="L97" s="2046"/>
      <c r="M97" s="2046"/>
      <c r="N97" s="2046"/>
      <c r="O97" s="2046"/>
      <c r="P97" s="2046"/>
      <c r="Q97" s="2046"/>
      <c r="R97" s="2046"/>
      <c r="S97" s="2046"/>
      <c r="T97" s="2046"/>
      <c r="U97" s="2046"/>
      <c r="V97" s="2046"/>
      <c r="W97" s="2046"/>
      <c r="X97" s="2046"/>
      <c r="Y97" s="2046"/>
      <c r="Z97" s="2046"/>
      <c r="AA97" s="2046"/>
      <c r="AB97" s="2046"/>
      <c r="AC97" s="2046"/>
      <c r="AD97" s="2046"/>
      <c r="AE97" s="2046"/>
      <c r="AF97" s="2046"/>
      <c r="AG97" s="2046"/>
      <c r="AH97" s="2046"/>
      <c r="AI97" s="2046"/>
      <c r="AJ97" s="2046"/>
      <c r="AK97" s="2046"/>
      <c r="AL97" s="2046"/>
      <c r="AM97" s="2046"/>
      <c r="AN97" s="2046"/>
      <c r="AO97" s="2046"/>
      <c r="AP97" s="2046"/>
      <c r="AQ97" s="2046"/>
      <c r="AR97" s="2046"/>
      <c r="AS97" s="2046"/>
      <c r="AT97" s="2046"/>
      <c r="AU97" s="20"/>
      <c r="AV97" s="20"/>
      <c r="AW97" s="20"/>
      <c r="AX97" s="20"/>
      <c r="AY97" s="20"/>
      <c r="AZ97" s="20"/>
      <c r="BD97" s="1176" t="s">
        <v>2508</v>
      </c>
      <c r="BE97" s="1178" t="str">
        <f>Application!M257</f>
        <v>tmalone@antondev.com</v>
      </c>
    </row>
    <row r="98" spans="1:57" ht="12.95" customHeight="1">
      <c r="A98" s="2046"/>
      <c r="B98" s="2046"/>
      <c r="C98" s="2046"/>
      <c r="D98" s="2046"/>
      <c r="E98" s="2046"/>
      <c r="F98" s="2046"/>
      <c r="G98" s="2046"/>
      <c r="H98" s="2046"/>
      <c r="I98" s="2046"/>
      <c r="J98" s="2046"/>
      <c r="K98" s="2046"/>
      <c r="L98" s="2046"/>
      <c r="M98" s="2046"/>
      <c r="N98" s="2046"/>
      <c r="O98" s="2046"/>
      <c r="P98" s="2046"/>
      <c r="Q98" s="2046"/>
      <c r="R98" s="2046"/>
      <c r="S98" s="2046"/>
      <c r="T98" s="2046"/>
      <c r="U98" s="2046"/>
      <c r="V98" s="2046"/>
      <c r="W98" s="2046"/>
      <c r="X98" s="2046"/>
      <c r="Y98" s="2046"/>
      <c r="Z98" s="2046"/>
      <c r="AA98" s="2046"/>
      <c r="AB98" s="2046"/>
      <c r="AC98" s="2046"/>
      <c r="AD98" s="2046"/>
      <c r="AE98" s="2046"/>
      <c r="AF98" s="2046"/>
      <c r="AG98" s="2046"/>
      <c r="AH98" s="2046"/>
      <c r="AI98" s="2046"/>
      <c r="AJ98" s="2046"/>
      <c r="AK98" s="2046"/>
      <c r="AL98" s="2046"/>
      <c r="AM98" s="2046"/>
      <c r="AN98" s="2046"/>
      <c r="AO98" s="2046"/>
      <c r="AP98" s="2046"/>
      <c r="AQ98" s="2046"/>
      <c r="AR98" s="2046"/>
      <c r="AS98" s="2046"/>
      <c r="AT98" s="2046"/>
      <c r="AU98" s="20"/>
      <c r="AV98" s="20"/>
      <c r="AW98" s="20"/>
      <c r="AX98" s="20"/>
      <c r="AY98" s="20"/>
      <c r="AZ98" s="20"/>
      <c r="BD98" s="1177" t="s">
        <v>2509</v>
      </c>
      <c r="BE98" s="1178" t="str">
        <f>Application!M265</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76" t="s">
        <v>2510</v>
      </c>
      <c r="BE99" s="1178">
        <f>Application!M273</f>
        <v>0</v>
      </c>
    </row>
    <row r="100" spans="1:57" ht="12.95" customHeight="1">
      <c r="A100" s="2047" t="s">
        <v>2116</v>
      </c>
      <c r="B100" s="2047"/>
      <c r="C100" s="2047"/>
      <c r="D100" s="2047"/>
      <c r="E100" s="2047"/>
      <c r="F100" s="2047"/>
      <c r="G100" s="2047"/>
      <c r="H100" s="2047"/>
      <c r="I100" s="2047"/>
      <c r="J100" s="2047"/>
      <c r="K100" s="2047"/>
      <c r="L100" s="2047"/>
      <c r="M100" s="2047"/>
      <c r="N100" s="2047"/>
      <c r="O100" s="2047"/>
      <c r="P100" s="2047"/>
      <c r="Q100" s="2047"/>
      <c r="R100" s="2047"/>
      <c r="S100" s="2047"/>
      <c r="T100" s="2047"/>
      <c r="U100" s="2047"/>
      <c r="V100" s="2047"/>
      <c r="W100" s="2047"/>
      <c r="X100" s="2047"/>
      <c r="Y100" s="2047"/>
      <c r="Z100" s="2047"/>
      <c r="AA100" s="2047"/>
      <c r="AB100" s="2047"/>
      <c r="AC100" s="2047"/>
      <c r="AD100" s="2047"/>
      <c r="AE100" s="2047"/>
      <c r="AF100" s="2047"/>
      <c r="AG100" s="2047"/>
      <c r="AH100" s="2047"/>
      <c r="AI100" s="2047"/>
      <c r="AJ100" s="2047"/>
      <c r="AK100" s="2047"/>
      <c r="AL100" s="2047"/>
      <c r="AM100" s="2047"/>
      <c r="AN100" s="2047"/>
      <c r="AO100" s="2047"/>
      <c r="AP100" s="2047"/>
      <c r="AQ100" s="2047"/>
      <c r="AR100" s="2047"/>
      <c r="AS100" s="2047"/>
      <c r="AT100" s="2047"/>
      <c r="AU100" s="20"/>
      <c r="AV100" s="20"/>
      <c r="AW100" s="20"/>
      <c r="AX100" s="20"/>
      <c r="AY100" s="20"/>
      <c r="AZ100" s="20"/>
      <c r="BD100" s="1177" t="s">
        <v>2511</v>
      </c>
      <c r="BE100" s="1178" t="str">
        <f>Application!L288</f>
        <v>tmalone@antondev.com</v>
      </c>
    </row>
    <row r="101" spans="1:57" ht="12.95" customHeight="1">
      <c r="A101" s="2047"/>
      <c r="B101" s="2047"/>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47"/>
      <c r="Z101" s="2047"/>
      <c r="AA101" s="2047"/>
      <c r="AB101" s="2047"/>
      <c r="AC101" s="2047"/>
      <c r="AD101" s="2047"/>
      <c r="AE101" s="2047"/>
      <c r="AF101" s="2047"/>
      <c r="AG101" s="2047"/>
      <c r="AH101" s="2047"/>
      <c r="AI101" s="2047"/>
      <c r="AJ101" s="2047"/>
      <c r="AK101" s="2047"/>
      <c r="AL101" s="2047"/>
      <c r="AM101" s="2047"/>
      <c r="AN101" s="2047"/>
      <c r="AO101" s="2047"/>
      <c r="AP101" s="2047"/>
      <c r="AQ101" s="2047"/>
      <c r="AR101" s="2047"/>
      <c r="AS101" s="2047"/>
      <c r="AT101" s="2047"/>
      <c r="AU101" s="20"/>
      <c r="AV101" s="20"/>
      <c r="AW101" s="20"/>
      <c r="AX101" s="20"/>
      <c r="AY101" s="20"/>
      <c r="AZ101" s="20"/>
      <c r="BD101" s="3" t="s">
        <v>2516</v>
      </c>
      <c r="BE101">
        <f>'Sources and Uses Budget'!C105</f>
        <v>58141072</v>
      </c>
    </row>
    <row r="102" spans="1:57" ht="12.95" customHeight="1">
      <c r="A102" s="2047"/>
      <c r="B102" s="2047"/>
      <c r="C102" s="2047"/>
      <c r="D102" s="2047"/>
      <c r="E102" s="2047"/>
      <c r="F102" s="2047"/>
      <c r="G102" s="2047"/>
      <c r="H102" s="2047"/>
      <c r="I102" s="2047"/>
      <c r="J102" s="2047"/>
      <c r="K102" s="2047"/>
      <c r="L102" s="2047"/>
      <c r="M102" s="2047"/>
      <c r="N102" s="2047"/>
      <c r="O102" s="2047"/>
      <c r="P102" s="2047"/>
      <c r="Q102" s="2047"/>
      <c r="R102" s="2047"/>
      <c r="S102" s="2047"/>
      <c r="T102" s="2047"/>
      <c r="U102" s="2047"/>
      <c r="V102" s="2047"/>
      <c r="W102" s="2047"/>
      <c r="X102" s="2047"/>
      <c r="Y102" s="2047"/>
      <c r="Z102" s="2047"/>
      <c r="AA102" s="2047"/>
      <c r="AB102" s="2047"/>
      <c r="AC102" s="2047"/>
      <c r="AD102" s="2047"/>
      <c r="AE102" s="2047"/>
      <c r="AF102" s="2047"/>
      <c r="AG102" s="2047"/>
      <c r="AH102" s="2047"/>
      <c r="AI102" s="2047"/>
      <c r="AJ102" s="2047"/>
      <c r="AK102" s="2047"/>
      <c r="AL102" s="2047"/>
      <c r="AM102" s="2047"/>
      <c r="AN102" s="2047"/>
      <c r="AO102" s="2047"/>
      <c r="AP102" s="2047"/>
      <c r="AQ102" s="2047"/>
      <c r="AR102" s="2047"/>
      <c r="AS102" s="2047"/>
      <c r="AT102" s="2047"/>
      <c r="AU102" s="20"/>
      <c r="AV102" s="20"/>
      <c r="AW102" s="20"/>
      <c r="AX102" s="20"/>
      <c r="AY102" s="20"/>
      <c r="AZ102" s="20"/>
      <c r="BD102" s="3" t="s">
        <v>2517</v>
      </c>
      <c r="BE102" t="b">
        <f>T197="Yes"</f>
        <v>0</v>
      </c>
    </row>
    <row r="103" spans="1:57" ht="12.95" customHeight="1">
      <c r="A103" s="2047"/>
      <c r="B103" s="2047"/>
      <c r="C103" s="2047"/>
      <c r="D103" s="2047"/>
      <c r="E103" s="2047"/>
      <c r="F103" s="2047"/>
      <c r="G103" s="2047"/>
      <c r="H103" s="2047"/>
      <c r="I103" s="2047"/>
      <c r="J103" s="2047"/>
      <c r="K103" s="2047"/>
      <c r="L103" s="2047"/>
      <c r="M103" s="2047"/>
      <c r="N103" s="2047"/>
      <c r="O103" s="2047"/>
      <c r="P103" s="2047"/>
      <c r="Q103" s="2047"/>
      <c r="R103" s="2047"/>
      <c r="S103" s="2047"/>
      <c r="T103" s="2047"/>
      <c r="U103" s="2047"/>
      <c r="V103" s="2047"/>
      <c r="W103" s="2047"/>
      <c r="X103" s="2047"/>
      <c r="Y103" s="2047"/>
      <c r="Z103" s="2047"/>
      <c r="AA103" s="2047"/>
      <c r="AB103" s="2047"/>
      <c r="AC103" s="2047"/>
      <c r="AD103" s="2047"/>
      <c r="AE103" s="2047"/>
      <c r="AF103" s="2047"/>
      <c r="AG103" s="2047"/>
      <c r="AH103" s="2047"/>
      <c r="AI103" s="2047"/>
      <c r="AJ103" s="2047"/>
      <c r="AK103" s="2047"/>
      <c r="AL103" s="2047"/>
      <c r="AM103" s="2047"/>
      <c r="AN103" s="2047"/>
      <c r="AO103" s="2047"/>
      <c r="AP103" s="2047"/>
      <c r="AQ103" s="2047"/>
      <c r="AR103" s="2047"/>
      <c r="AS103" s="2047"/>
      <c r="AT103" s="2047"/>
      <c r="AU103" s="20"/>
      <c r="AV103" s="20"/>
      <c r="AW103" s="20"/>
      <c r="AX103" s="20"/>
      <c r="AY103" s="20"/>
      <c r="BD103" t="s">
        <v>2126</v>
      </c>
      <c r="BE103" s="1178"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2528</v>
      </c>
      <c r="BE104" s="1178" t="b">
        <f>T200="Yes"</f>
        <v>0</v>
      </c>
    </row>
    <row r="105" spans="1:57" ht="12.95" customHeight="1">
      <c r="A105" s="2047" t="s">
        <v>2117</v>
      </c>
      <c r="B105" s="2047"/>
      <c r="C105" s="2047"/>
      <c r="D105" s="2047"/>
      <c r="E105" s="2047"/>
      <c r="F105" s="2047"/>
      <c r="G105" s="2047"/>
      <c r="H105" s="2047"/>
      <c r="I105" s="2047"/>
      <c r="J105" s="2047"/>
      <c r="K105" s="2047"/>
      <c r="L105" s="2047"/>
      <c r="M105" s="2047"/>
      <c r="N105" s="2047"/>
      <c r="O105" s="2047"/>
      <c r="P105" s="2047"/>
      <c r="Q105" s="2047"/>
      <c r="R105" s="2047"/>
      <c r="S105" s="2047"/>
      <c r="T105" s="2047"/>
      <c r="U105" s="2047"/>
      <c r="V105" s="2047"/>
      <c r="W105" s="2047"/>
      <c r="X105" s="2047"/>
      <c r="Y105" s="2047"/>
      <c r="Z105" s="2047"/>
      <c r="AA105" s="2047"/>
      <c r="AB105" s="2047"/>
      <c r="AC105" s="2047"/>
      <c r="AD105" s="2047"/>
      <c r="AE105" s="2047"/>
      <c r="AF105" s="2047"/>
      <c r="AG105" s="2047"/>
      <c r="AH105" s="2047"/>
      <c r="AI105" s="2047"/>
      <c r="AJ105" s="2047"/>
      <c r="AK105" s="2047"/>
      <c r="AL105" s="2047"/>
      <c r="AM105" s="2047"/>
      <c r="AN105" s="2047"/>
      <c r="AO105" s="2047"/>
      <c r="AP105" s="2047"/>
      <c r="AQ105" s="2047"/>
      <c r="AR105" s="2047"/>
      <c r="AS105" s="2047"/>
      <c r="AT105" s="2047"/>
      <c r="AU105" s="20"/>
      <c r="AV105" s="20"/>
      <c r="AW105" s="20"/>
      <c r="AX105" s="20"/>
      <c r="AY105" s="20"/>
      <c r="BD105" s="3" t="s">
        <v>2533</v>
      </c>
      <c r="BE105" s="1178" t="b">
        <f>V224="Yes"</f>
        <v>0</v>
      </c>
    </row>
    <row r="106" spans="1:57" ht="12.95" customHeight="1">
      <c r="A106" s="2047"/>
      <c r="B106" s="2047"/>
      <c r="C106" s="2047"/>
      <c r="D106" s="2047"/>
      <c r="E106" s="2047"/>
      <c r="F106" s="2047"/>
      <c r="G106" s="2047"/>
      <c r="H106" s="2047"/>
      <c r="I106" s="2047"/>
      <c r="J106" s="2047"/>
      <c r="K106" s="2047"/>
      <c r="L106" s="2047"/>
      <c r="M106" s="2047"/>
      <c r="N106" s="2047"/>
      <c r="O106" s="2047"/>
      <c r="P106" s="2047"/>
      <c r="Q106" s="2047"/>
      <c r="R106" s="2047"/>
      <c r="S106" s="2047"/>
      <c r="T106" s="2047"/>
      <c r="U106" s="2047"/>
      <c r="V106" s="2047"/>
      <c r="W106" s="2047"/>
      <c r="X106" s="2047"/>
      <c r="Y106" s="2047"/>
      <c r="Z106" s="2047"/>
      <c r="AA106" s="2047"/>
      <c r="AB106" s="2047"/>
      <c r="AC106" s="2047"/>
      <c r="AD106" s="2047"/>
      <c r="AE106" s="2047"/>
      <c r="AF106" s="2047"/>
      <c r="AG106" s="2047"/>
      <c r="AH106" s="2047"/>
      <c r="AI106" s="2047"/>
      <c r="AJ106" s="2047"/>
      <c r="AK106" s="2047"/>
      <c r="AL106" s="2047"/>
      <c r="AM106" s="2047"/>
      <c r="AN106" s="2047"/>
      <c r="AO106" s="2047"/>
      <c r="AP106" s="2047"/>
      <c r="AQ106" s="2047"/>
      <c r="AR106" s="2047"/>
      <c r="AS106" s="2047"/>
      <c r="AT106" s="2047"/>
      <c r="AU106" s="20"/>
      <c r="AV106" s="20"/>
      <c r="AW106" s="20"/>
      <c r="AX106" s="20"/>
      <c r="AY106" s="20"/>
      <c r="BD106" s="3" t="s">
        <v>2534</v>
      </c>
      <c r="BE106" s="1178" t="b">
        <f t="shared" ref="BE106:BE110" si="0">V225="Yes"</f>
        <v>0</v>
      </c>
    </row>
    <row r="107" spans="1:57" ht="12.95" customHeight="1">
      <c r="A107" s="515"/>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2535</v>
      </c>
      <c r="BE107" s="1178" t="b">
        <f t="shared" si="0"/>
        <v>0</v>
      </c>
    </row>
    <row r="108" spans="1:57" ht="12.95" customHeight="1">
      <c r="A108" s="515" t="s">
        <v>2118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2536</v>
      </c>
      <c r="BE108" s="1178"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2537</v>
      </c>
      <c r="BE109" s="1178" t="b">
        <f t="shared" si="0"/>
        <v>0</v>
      </c>
    </row>
    <row r="110" spans="1:57" ht="12.95" customHeight="1">
      <c r="A110" s="515"/>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2538</v>
      </c>
      <c r="BE110" s="1178" t="b">
        <f t="shared" si="0"/>
        <v>1</v>
      </c>
    </row>
    <row r="111" spans="1:57" ht="12.95" customHeight="1">
      <c r="A111" s="515"/>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5"/>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7"/>
      <c r="C113" s="3" t="s">
        <v>180</v>
      </c>
      <c r="G113" s="2048">
        <v>25</v>
      </c>
      <c r="H113" s="2048"/>
      <c r="I113" s="3" t="s">
        <v>181</v>
      </c>
      <c r="L113" s="2048" t="s">
        <v>2643</v>
      </c>
      <c r="M113" s="2048"/>
      <c r="N113" s="2048"/>
      <c r="O113" s="2048"/>
      <c r="P113" s="2053" t="s">
        <v>2597</v>
      </c>
      <c r="Q113" s="2053"/>
      <c r="R113" s="2053"/>
      <c r="S113" s="205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2059" t="s">
        <v>68</v>
      </c>
      <c r="D115" s="2059"/>
      <c r="E115" s="2059"/>
      <c r="F115" s="2059"/>
      <c r="G115" s="2059"/>
      <c r="H115" s="2059"/>
      <c r="I115" s="2059"/>
      <c r="J115" s="2059"/>
      <c r="K115" s="205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2048"/>
      <c r="Z117" s="2048"/>
      <c r="AA117" s="2048"/>
      <c r="AB117" s="2048"/>
      <c r="AC117" s="2048"/>
      <c r="AD117" s="2048"/>
      <c r="AE117" s="2048"/>
      <c r="AF117" s="2048"/>
      <c r="AG117" s="2048"/>
      <c r="AH117" s="2048"/>
      <c r="AI117" s="2048"/>
      <c r="AJ117" s="2048"/>
      <c r="AK117" s="2048"/>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2048" t="s">
        <v>2641</v>
      </c>
      <c r="Z120" s="2048"/>
      <c r="AA120" s="2048"/>
      <c r="AB120" s="2048"/>
      <c r="AC120" s="2048"/>
      <c r="AD120" s="2048"/>
      <c r="AE120" s="2048"/>
      <c r="AF120" s="2048"/>
      <c r="AG120" s="2048"/>
      <c r="AH120" s="2048"/>
      <c r="AI120" s="2048"/>
      <c r="AJ120" s="2048"/>
      <c r="AK120" s="20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947" t="s">
        <v>468</v>
      </c>
      <c r="CV122" s="1948"/>
      <c r="CW122" s="14"/>
      <c r="CX122" s="14" t="s">
        <v>633</v>
      </c>
      <c r="CY122" s="14"/>
      <c r="CZ122" s="14"/>
      <c r="DA122" s="14"/>
      <c r="DB122" s="14"/>
      <c r="DC122" s="14"/>
      <c r="DD122" s="14"/>
      <c r="DE122" s="14"/>
      <c r="DF122" s="14"/>
      <c r="DG122" s="1944" t="str">
        <f>T189</f>
        <v>Sacramento</v>
      </c>
      <c r="DH122" s="1945"/>
      <c r="DI122" s="1945"/>
      <c r="DJ122" s="1945"/>
      <c r="DK122" s="1945"/>
      <c r="DL122" s="1945"/>
      <c r="DM122" s="1946"/>
    </row>
    <row r="123" spans="1:117" ht="12.95" customHeight="1">
      <c r="A123" s="3"/>
      <c r="B123" s="3"/>
      <c r="T123" s="3"/>
      <c r="U123" s="3"/>
      <c r="V123" s="3"/>
      <c r="W123" s="3"/>
      <c r="X123" s="3"/>
      <c r="Y123" s="2048" t="s">
        <v>2642</v>
      </c>
      <c r="Z123" s="2048"/>
      <c r="AA123" s="2048"/>
      <c r="AB123" s="2048"/>
      <c r="AC123" s="2048"/>
      <c r="AD123" s="2048"/>
      <c r="AE123" s="2048"/>
      <c r="AF123" s="2048"/>
      <c r="AG123" s="2048"/>
      <c r="AH123" s="2048"/>
      <c r="AI123" s="2048"/>
      <c r="AJ123" s="2048"/>
      <c r="AK123" s="20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2"/>
      <c r="AL128" s="352"/>
      <c r="AM128" s="352"/>
      <c r="AN128" s="352"/>
      <c r="AO128" s="352"/>
      <c r="AP128" s="352"/>
      <c r="AQ128" s="352"/>
      <c r="AR128" s="352"/>
      <c r="AS128" s="352"/>
      <c r="AT128" s="352"/>
      <c r="AU128" s="352"/>
      <c r="AV128" s="352"/>
      <c r="AW128" s="352"/>
      <c r="AX128" s="352"/>
      <c r="AY128" s="352"/>
    </row>
    <row r="129" spans="1:51" ht="12.95" customHeight="1">
      <c r="A129" s="352"/>
      <c r="B129" s="4"/>
      <c r="R129" s="6"/>
      <c r="S129" s="6"/>
      <c r="T129" s="6"/>
      <c r="U129" s="6"/>
      <c r="V129" s="6"/>
      <c r="W129" s="6"/>
      <c r="AL129" s="352"/>
      <c r="AM129" s="352"/>
      <c r="AN129" s="352"/>
      <c r="AO129" s="352"/>
      <c r="AP129" s="352"/>
      <c r="AQ129" s="352"/>
      <c r="AR129" s="352"/>
      <c r="AS129" s="352"/>
      <c r="AT129" s="352"/>
      <c r="AU129" s="352"/>
      <c r="AV129" s="352"/>
      <c r="AW129" s="352"/>
      <c r="AX129" s="352"/>
      <c r="AY129" s="352"/>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3"/>
      <c r="U139" s="453"/>
      <c r="V139" s="453"/>
      <c r="W139" s="453"/>
      <c r="X139" s="453"/>
      <c r="Y139" s="453"/>
      <c r="Z139" s="453"/>
      <c r="AA139" s="453"/>
      <c r="AB139" s="453"/>
      <c r="AC139" s="453"/>
      <c r="AD139" s="453"/>
      <c r="AE139" s="453"/>
      <c r="AF139" s="453"/>
      <c r="AG139" s="453"/>
      <c r="AH139" s="453"/>
      <c r="AI139" s="453"/>
      <c r="AJ139" s="453"/>
      <c r="AK139" s="3"/>
      <c r="AL139" s="3"/>
      <c r="AM139" s="3"/>
      <c r="AN139" s="3"/>
      <c r="AO139" s="3"/>
      <c r="AP139" s="3"/>
      <c r="AQ139" s="3"/>
      <c r="AR139" s="3"/>
      <c r="AS139" s="3"/>
      <c r="AT139" s="3"/>
      <c r="AU139" s="3"/>
      <c r="AV139" s="3"/>
      <c r="AW139" s="3"/>
      <c r="AX139" s="3"/>
      <c r="AY139" s="3"/>
    </row>
    <row r="140" spans="1:51" ht="12.95" customHeight="1">
      <c r="A140" s="3"/>
      <c r="B140" s="119"/>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3"/>
      <c r="AL140" s="3"/>
      <c r="AM140" s="3"/>
      <c r="AN140" s="3"/>
      <c r="AO140" s="3"/>
      <c r="AP140" s="3"/>
      <c r="AQ140" s="3"/>
      <c r="AR140" s="3"/>
      <c r="AS140" s="3"/>
      <c r="AT140" s="3"/>
      <c r="AU140" s="3"/>
      <c r="AV140" s="3"/>
      <c r="AW140" s="3"/>
      <c r="AX140" s="3"/>
      <c r="AY140" s="3"/>
    </row>
    <row r="141" spans="1:51" ht="12.95" customHeight="1">
      <c r="A141" s="3"/>
      <c r="B141" s="119"/>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3"/>
      <c r="AL141" s="3"/>
      <c r="AM141" s="3"/>
      <c r="AN141" s="3"/>
      <c r="AO141" s="3"/>
      <c r="AP141" s="3"/>
      <c r="AQ141" s="3"/>
      <c r="AR141" s="3"/>
      <c r="AS141" s="3"/>
      <c r="AT141" s="3"/>
      <c r="AU141" s="3"/>
      <c r="AV141" s="3"/>
      <c r="AW141" s="3"/>
      <c r="AX141" s="3"/>
      <c r="AY141" s="3"/>
    </row>
    <row r="142" spans="1:51" ht="12.95" customHeight="1">
      <c r="A142" s="3"/>
      <c r="B142" s="119"/>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c r="AK142" s="3"/>
      <c r="AL142" s="3"/>
      <c r="AM142" s="3"/>
      <c r="AN142" s="3"/>
      <c r="AO142" s="3"/>
      <c r="AP142" s="3"/>
      <c r="AQ142" s="3"/>
      <c r="AR142" s="3"/>
      <c r="AS142" s="3"/>
      <c r="AT142" s="3"/>
      <c r="AU142" s="3"/>
      <c r="AV142" s="3"/>
      <c r="AW142" s="3"/>
      <c r="AX142" s="3"/>
      <c r="AY142" s="3"/>
    </row>
    <row r="143" spans="1:51" ht="12.95" customHeight="1">
      <c r="A143" s="3"/>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c r="AJ143" s="439"/>
      <c r="AK143" s="3"/>
      <c r="AL143" s="3"/>
      <c r="AM143" s="3"/>
      <c r="AN143" s="3"/>
      <c r="AO143" s="3"/>
      <c r="AP143" s="3"/>
      <c r="AQ143" s="3"/>
      <c r="AR143" s="3"/>
      <c r="AS143" s="3"/>
      <c r="AT143" s="3"/>
      <c r="AU143" s="3"/>
      <c r="AV143" s="3"/>
      <c r="AW143" s="3"/>
      <c r="AX143" s="3"/>
      <c r="AY143" s="3"/>
    </row>
    <row r="144" spans="1:51" ht="12.95" customHeight="1">
      <c r="A144" s="3"/>
      <c r="B144" s="517"/>
      <c r="C144" s="439"/>
      <c r="D144" s="439"/>
      <c r="E144" s="439"/>
      <c r="F144" s="439"/>
      <c r="G144" s="439"/>
      <c r="H144" s="439"/>
      <c r="I144" s="439"/>
      <c r="J144" s="439"/>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39"/>
      <c r="AJ144" s="439"/>
      <c r="AK144" s="3"/>
      <c r="AL144" s="3"/>
      <c r="AM144" s="3"/>
      <c r="AN144" s="3"/>
      <c r="AO144" s="3"/>
      <c r="AP144" s="3"/>
      <c r="AQ144" s="3"/>
      <c r="AR144" s="3"/>
      <c r="AS144" s="3"/>
      <c r="AT144" s="3"/>
      <c r="AU144" s="3"/>
      <c r="AV144" s="3"/>
      <c r="AW144" s="3"/>
      <c r="AX144" s="3"/>
      <c r="AY144" s="3"/>
    </row>
    <row r="145" spans="1:108" ht="12.95" customHeight="1">
      <c r="A145" s="3"/>
      <c r="B145" s="3"/>
      <c r="C145" s="439"/>
      <c r="D145" s="439"/>
      <c r="E145" s="439"/>
      <c r="F145" s="439"/>
      <c r="G145" s="439"/>
      <c r="H145" s="439"/>
      <c r="I145" s="439"/>
      <c r="J145" s="439"/>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39"/>
      <c r="AJ145" s="439"/>
      <c r="AK145" s="3"/>
      <c r="AL145" s="3"/>
      <c r="AM145" s="3"/>
      <c r="AN145" s="3"/>
      <c r="AO145" s="3"/>
      <c r="AP145" s="3"/>
      <c r="AQ145" s="3"/>
      <c r="AR145" s="3"/>
      <c r="AS145" s="3"/>
      <c r="AT145" s="3"/>
      <c r="AU145" s="3"/>
      <c r="AV145" s="3"/>
      <c r="AW145" s="3"/>
      <c r="AX145" s="3"/>
      <c r="AY145" s="3"/>
    </row>
    <row r="146" spans="1:108" ht="12.95" customHeight="1">
      <c r="A146" s="3"/>
      <c r="D146" s="439"/>
      <c r="E146" s="439"/>
      <c r="F146" s="439"/>
      <c r="G146" s="439"/>
      <c r="H146" s="439"/>
      <c r="I146" s="439"/>
      <c r="J146" s="439"/>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39"/>
      <c r="AJ146" s="439"/>
      <c r="AK146" s="3"/>
      <c r="AL146" s="3"/>
      <c r="AM146" s="3"/>
      <c r="AN146" s="3"/>
      <c r="AO146" s="3"/>
      <c r="AP146" s="3"/>
      <c r="AQ146" s="3"/>
      <c r="AR146" s="3"/>
      <c r="AS146" s="3"/>
      <c r="AT146" s="3"/>
      <c r="AU146" s="3"/>
      <c r="AV146" s="3"/>
      <c r="AW146" s="3"/>
      <c r="AX146" s="3"/>
      <c r="AY146" s="3"/>
    </row>
    <row r="147" spans="1:108" ht="12.95" customHeight="1">
      <c r="A147" s="3"/>
      <c r="B147" s="51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5" customHeight="1">
      <c r="A150" s="3"/>
      <c r="B150" s="3"/>
      <c r="D150" s="3"/>
      <c r="E150" s="3"/>
      <c r="F150" s="1601"/>
      <c r="G150" s="1601"/>
      <c r="H150" s="1601"/>
      <c r="I150" s="1601"/>
      <c r="J150" s="1601"/>
      <c r="K150" s="1601"/>
      <c r="L150" s="1601"/>
      <c r="M150" s="1601"/>
      <c r="N150" s="1601"/>
      <c r="O150" s="1601"/>
      <c r="P150" s="1601"/>
      <c r="Q150" s="1601"/>
      <c r="R150" s="1601"/>
      <c r="S150" s="1601"/>
      <c r="T150" s="16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2387</v>
      </c>
    </row>
    <row r="152" spans="1:108" ht="12.95" customHeight="1">
      <c r="BM152">
        <v>4</v>
      </c>
      <c r="BN152" s="3" t="s">
        <v>2386</v>
      </c>
    </row>
    <row r="153" spans="1:108" ht="12.95" customHeight="1">
      <c r="D153" t="s">
        <v>644</v>
      </c>
      <c r="O153" s="1703" t="s">
        <v>2637</v>
      </c>
      <c r="P153" s="1740"/>
      <c r="Q153" s="1740"/>
      <c r="R153" s="1740"/>
      <c r="S153" s="1740"/>
      <c r="T153" s="1740"/>
      <c r="U153" s="1740"/>
      <c r="V153" s="1740"/>
      <c r="W153" s="1740"/>
      <c r="X153" s="1740"/>
      <c r="Y153" s="1740"/>
      <c r="Z153" s="1740"/>
      <c r="AA153" s="1740"/>
      <c r="AB153" s="1740"/>
      <c r="AC153" s="1740"/>
      <c r="AD153" s="1740"/>
      <c r="AE153" s="1740"/>
      <c r="AF153" s="1740"/>
      <c r="AG153" s="1740"/>
      <c r="AH153" s="1740"/>
      <c r="BM153">
        <v>5</v>
      </c>
      <c r="BN153" s="3" t="s">
        <v>2388</v>
      </c>
      <c r="CR153" s="31" t="s">
        <v>2626</v>
      </c>
      <c r="CS153" s="32"/>
      <c r="CT153" s="32"/>
      <c r="CU153" s="32"/>
      <c r="CV153" s="32"/>
      <c r="CW153" s="32"/>
      <c r="CX153" s="14"/>
      <c r="CY153" s="31" t="s">
        <v>2627</v>
      </c>
      <c r="CZ153" s="14"/>
      <c r="DA153" s="14"/>
      <c r="DB153" s="14"/>
      <c r="DC153" s="14"/>
      <c r="DD153" s="14"/>
    </row>
    <row r="154" spans="1:108" ht="12.95" customHeight="1">
      <c r="D154" s="301" t="s">
        <v>438</v>
      </c>
      <c r="O154" s="1643" t="s">
        <v>2750</v>
      </c>
      <c r="P154" s="1753"/>
      <c r="Q154" s="1753"/>
      <c r="R154" s="1753"/>
      <c r="S154" s="1753"/>
      <c r="T154" s="1753"/>
      <c r="U154" s="1753"/>
      <c r="V154" s="1753"/>
      <c r="W154" s="1753"/>
      <c r="X154" s="1753"/>
      <c r="Y154" s="1753"/>
      <c r="Z154" s="1753"/>
      <c r="AA154" s="1753"/>
      <c r="AB154" s="1753"/>
      <c r="AC154" s="1753"/>
      <c r="AD154" s="1753"/>
      <c r="AE154" s="1753"/>
      <c r="AF154" s="1753"/>
      <c r="AG154" s="1753"/>
      <c r="AH154" s="1753"/>
      <c r="BM154">
        <v>6</v>
      </c>
      <c r="BN154" s="3" t="s">
        <v>2389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2066" t="s">
        <v>439</v>
      </c>
      <c r="P155" s="2067"/>
      <c r="Q155" s="2067"/>
      <c r="R155" s="2067"/>
      <c r="S155" s="2067"/>
      <c r="T155" s="2067"/>
      <c r="U155" s="2067"/>
      <c r="V155" s="2067"/>
      <c r="W155" s="2067"/>
      <c r="X155" s="2067"/>
      <c r="Y155" s="2067"/>
      <c r="Z155" s="2067"/>
      <c r="AA155" s="2067"/>
      <c r="AB155" s="2067"/>
      <c r="AC155" s="2067"/>
      <c r="AD155" s="2067"/>
      <c r="AE155" s="2067"/>
      <c r="AF155" s="2067"/>
      <c r="AG155" s="2067"/>
      <c r="AH155" s="2067"/>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703" t="s">
        <v>2751</v>
      </c>
      <c r="P156" s="1697"/>
      <c r="Q156" s="1697"/>
      <c r="R156" s="1697"/>
      <c r="S156" s="1697"/>
      <c r="T156" s="1697"/>
      <c r="U156" s="1697"/>
      <c r="V156" s="1697"/>
      <c r="W156" s="1697"/>
      <c r="X156" s="1697"/>
      <c r="Y156" s="1697"/>
      <c r="Z156" s="1697"/>
      <c r="AA156" s="1697"/>
      <c r="AB156" s="1697"/>
      <c r="AC156" s="1697"/>
      <c r="AD156" s="1697"/>
      <c r="AE156" s="1697"/>
      <c r="AF156" s="1697"/>
      <c r="AG156" s="1697"/>
      <c r="AH156" s="1697"/>
      <c r="BT156" t="s">
        <v>306</v>
      </c>
      <c r="CB156" s="195" t="s">
        <v>2526</v>
      </c>
      <c r="CC156" s="196"/>
      <c r="CD156" s="196"/>
      <c r="CE156" s="196"/>
      <c r="CF156" s="196"/>
      <c r="CG156" s="196"/>
      <c r="CH156" s="196"/>
      <c r="CI156" s="3"/>
      <c r="CJ156" s="195" t="s">
        <v>2524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703" t="s">
        <v>68</v>
      </c>
      <c r="P157" s="1740"/>
      <c r="Q157" s="1740"/>
      <c r="R157" s="1740"/>
      <c r="S157" s="1740"/>
      <c r="T157" s="1740"/>
      <c r="U157" s="1740"/>
      <c r="V157" s="1740"/>
      <c r="W157" s="1740"/>
      <c r="X157" s="1740"/>
      <c r="Y157" s="8"/>
      <c r="Z157" s="8"/>
      <c r="AA157" s="8"/>
      <c r="AB157" s="8"/>
      <c r="AC157" s="8"/>
      <c r="AD157" s="8"/>
      <c r="AE157" s="8"/>
      <c r="AF157" s="8"/>
      <c r="BN157" s="23" t="s">
        <v>635</v>
      </c>
      <c r="BS157">
        <v>2</v>
      </c>
      <c r="BT157" t="s">
        <v>475</v>
      </c>
      <c r="CB157" s="284" t="s">
        <v>646</v>
      </c>
      <c r="CC157" s="196"/>
      <c r="CD157" s="196"/>
      <c r="CE157" s="196"/>
      <c r="CF157" s="196"/>
      <c r="CG157" s="196"/>
      <c r="CH157" s="196"/>
      <c r="CI157" s="3"/>
      <c r="CJ157" s="284" t="s">
        <v>1902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2051">
        <v>95814</v>
      </c>
      <c r="P158" s="2051"/>
      <c r="Q158" s="2051"/>
      <c r="R158" s="2051"/>
      <c r="S158" s="9"/>
      <c r="T158" s="9"/>
      <c r="U158" s="9"/>
      <c r="V158" s="9"/>
      <c r="W158" s="9"/>
      <c r="X158" s="9"/>
      <c r="Y158" s="9"/>
      <c r="Z158" s="9"/>
      <c r="AA158" s="9"/>
      <c r="AB158" s="9"/>
      <c r="AC158" s="9"/>
      <c r="AD158" s="9"/>
      <c r="AE158" s="9"/>
      <c r="AF158" s="9"/>
      <c r="BN158" s="23" t="s">
        <v>636</v>
      </c>
      <c r="BS158">
        <v>7</v>
      </c>
      <c r="BT158" t="s">
        <v>476</v>
      </c>
      <c r="CB158" s="282"/>
      <c r="CC158" s="197"/>
      <c r="CD158" s="283"/>
      <c r="CE158" s="283"/>
      <c r="CF158" s="283"/>
      <c r="CG158" s="283"/>
      <c r="CH158" s="283"/>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45" t="s">
        <v>2752</v>
      </c>
      <c r="P159" s="2063"/>
      <c r="Q159" s="2063"/>
      <c r="R159" s="2063"/>
      <c r="S159" s="2063"/>
      <c r="T159" s="2063"/>
      <c r="V159" s="97" t="s">
        <v>270</v>
      </c>
      <c r="W159" s="2052"/>
      <c r="X159" s="2052"/>
      <c r="Y159" s="10"/>
      <c r="Z159" s="10"/>
      <c r="AA159" s="10"/>
      <c r="AB159" s="10"/>
      <c r="AC159" s="10"/>
      <c r="AD159" s="10"/>
      <c r="AE159" s="10"/>
      <c r="AF159" s="10"/>
      <c r="BN159" s="23" t="s">
        <v>338</v>
      </c>
      <c r="BS159">
        <v>7</v>
      </c>
      <c r="BT159" t="s">
        <v>477</v>
      </c>
      <c r="CB159" s="345" t="s">
        <v>647</v>
      </c>
      <c r="CC159" s="346" t="s">
        <v>323</v>
      </c>
      <c r="CD159" s="346" t="s">
        <v>324</v>
      </c>
      <c r="CE159" s="346" t="s">
        <v>163</v>
      </c>
      <c r="CF159" s="346" t="s">
        <v>164</v>
      </c>
      <c r="CG159" s="346" t="s">
        <v>165</v>
      </c>
      <c r="CH159" s="346" t="s">
        <v>30</v>
      </c>
      <c r="CI159" s="3"/>
      <c r="CJ159" s="346" t="s">
        <v>323</v>
      </c>
      <c r="CK159" s="346" t="s">
        <v>324</v>
      </c>
      <c r="CL159" s="346" t="s">
        <v>163</v>
      </c>
      <c r="CM159" s="346" t="s">
        <v>164</v>
      </c>
      <c r="CN159" s="346"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45"/>
      <c r="P160" s="2063"/>
      <c r="Q160" s="2063"/>
      <c r="R160" s="2063"/>
      <c r="S160" s="2063"/>
      <c r="T160" s="2063"/>
      <c r="U160" s="10"/>
      <c r="V160" s="10"/>
      <c r="W160" s="10"/>
      <c r="X160" s="10"/>
      <c r="Y160" s="10"/>
      <c r="Z160" s="10"/>
      <c r="AA160" s="10"/>
      <c r="AB160" s="10"/>
      <c r="AC160" s="10"/>
      <c r="AD160" s="10"/>
      <c r="AE160" s="10"/>
      <c r="AF160" s="10"/>
      <c r="BN160" s="23" t="s">
        <v>659</v>
      </c>
      <c r="BS160">
        <v>6</v>
      </c>
      <c r="BT160" t="s">
        <v>478</v>
      </c>
      <c r="CB160" s="347" t="s">
        <v>475</v>
      </c>
      <c r="CC160" s="455">
        <v>2796</v>
      </c>
      <c r="CD160" s="456">
        <v>2996</v>
      </c>
      <c r="CE160" s="457">
        <v>3596</v>
      </c>
      <c r="CF160" s="456">
        <v>4154</v>
      </c>
      <c r="CG160" s="457">
        <v>4634</v>
      </c>
      <c r="CH160" s="458">
        <v>5114</v>
      </c>
      <c r="CI160" s="3"/>
      <c r="CJ160" s="855">
        <v>1937</v>
      </c>
      <c r="CK160" s="855">
        <v>2201</v>
      </c>
      <c r="CL160" s="855">
        <v>2682</v>
      </c>
      <c r="CM160" s="855">
        <v>3432</v>
      </c>
      <c r="CN160" s="855">
        <v>4077</v>
      </c>
      <c r="CR160" s="23" t="s">
        <v>635</v>
      </c>
      <c r="CS160" s="321">
        <v>491221</v>
      </c>
      <c r="CT160" s="321">
        <v>566373</v>
      </c>
      <c r="CU160" s="321">
        <v>683200</v>
      </c>
      <c r="CV160" s="321">
        <v>874496</v>
      </c>
      <c r="CW160" s="321">
        <v>974243</v>
      </c>
      <c r="CX160" s="14"/>
      <c r="CY160" s="23" t="s">
        <v>635</v>
      </c>
      <c r="CZ160" s="321">
        <v>491221</v>
      </c>
      <c r="DA160" s="321">
        <v>566373</v>
      </c>
      <c r="DB160" s="321">
        <v>683200</v>
      </c>
      <c r="DC160" s="321">
        <v>874496</v>
      </c>
      <c r="DD160" s="321">
        <v>974243</v>
      </c>
    </row>
    <row r="161" spans="1:108" ht="12.95" customHeight="1">
      <c r="D161" t="s">
        <v>317</v>
      </c>
      <c r="O161" s="2040" t="s">
        <v>2753</v>
      </c>
      <c r="P161" s="2040"/>
      <c r="Q161" s="2040"/>
      <c r="R161" s="2040"/>
      <c r="S161" s="2040"/>
      <c r="T161" s="2040"/>
      <c r="U161" s="2040"/>
      <c r="V161" s="2040"/>
      <c r="W161" s="2040"/>
      <c r="X161" s="2040"/>
      <c r="Y161" s="2040"/>
      <c r="Z161" s="2040"/>
      <c r="AA161" s="2040"/>
      <c r="AB161" s="2040"/>
      <c r="AC161" s="2040"/>
      <c r="AD161" s="2040"/>
      <c r="AE161" s="2040"/>
      <c r="AF161" s="2040"/>
      <c r="AG161" s="2040"/>
      <c r="AH161" s="2040"/>
      <c r="BJ161" t="s">
        <v>668</v>
      </c>
      <c r="BN161" s="23" t="s">
        <v>660</v>
      </c>
      <c r="BS161">
        <v>7</v>
      </c>
      <c r="BT161" t="s">
        <v>479</v>
      </c>
      <c r="CB161" s="348" t="s">
        <v>476</v>
      </c>
      <c r="CC161" s="459">
        <v>2020</v>
      </c>
      <c r="CD161" s="460">
        <v>2162</v>
      </c>
      <c r="CE161" s="459">
        <v>2594</v>
      </c>
      <c r="CF161" s="460">
        <v>3000</v>
      </c>
      <c r="CG161" s="460">
        <v>3346</v>
      </c>
      <c r="CH161" s="461">
        <v>3692</v>
      </c>
      <c r="CI161" s="3"/>
      <c r="CJ161" s="855">
        <v>1003</v>
      </c>
      <c r="CK161" s="855">
        <v>1101</v>
      </c>
      <c r="CL161" s="855">
        <v>1445</v>
      </c>
      <c r="CM161" s="855">
        <v>2025</v>
      </c>
      <c r="CN161" s="855">
        <v>2396</v>
      </c>
      <c r="CR161" s="23" t="s">
        <v>636</v>
      </c>
      <c r="CS161" s="319">
        <v>402640</v>
      </c>
      <c r="CT161" s="319">
        <v>464240</v>
      </c>
      <c r="CU161" s="319">
        <v>560000</v>
      </c>
      <c r="CV161" s="319">
        <v>716800</v>
      </c>
      <c r="CW161" s="319">
        <v>798560</v>
      </c>
      <c r="CX161" s="14"/>
      <c r="CY161" s="23" t="s">
        <v>636</v>
      </c>
      <c r="CZ161" s="319">
        <v>402640</v>
      </c>
      <c r="DA161" s="319">
        <v>464240</v>
      </c>
      <c r="DB161" s="319">
        <v>560000</v>
      </c>
      <c r="DC161" s="319">
        <v>716800</v>
      </c>
      <c r="DD161" s="319">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48" t="s">
        <v>477</v>
      </c>
      <c r="CC162" s="462">
        <v>1924</v>
      </c>
      <c r="CD162" s="463">
        <v>2062</v>
      </c>
      <c r="CE162" s="462">
        <v>2474</v>
      </c>
      <c r="CF162" s="463">
        <v>2856</v>
      </c>
      <c r="CG162" s="463">
        <v>3186</v>
      </c>
      <c r="CH162" s="464">
        <v>3516</v>
      </c>
      <c r="CI162" s="3"/>
      <c r="CJ162" s="855">
        <v>1253</v>
      </c>
      <c r="CK162" s="855">
        <v>1260</v>
      </c>
      <c r="CL162" s="855">
        <v>1493</v>
      </c>
      <c r="CM162" s="855">
        <v>2084</v>
      </c>
      <c r="CN162" s="855">
        <v>2507</v>
      </c>
      <c r="CR162" s="23" t="s">
        <v>338</v>
      </c>
      <c r="CS162" s="321">
        <v>402640</v>
      </c>
      <c r="CT162" s="321">
        <v>464240</v>
      </c>
      <c r="CU162" s="321">
        <v>560000</v>
      </c>
      <c r="CV162" s="321">
        <v>716800</v>
      </c>
      <c r="CW162" s="321">
        <v>798560</v>
      </c>
      <c r="CX162" s="14"/>
      <c r="CY162" s="23" t="s">
        <v>338</v>
      </c>
      <c r="CZ162" s="321">
        <v>402640</v>
      </c>
      <c r="DA162" s="321">
        <v>464240</v>
      </c>
      <c r="DB162" s="321">
        <v>560000</v>
      </c>
      <c r="DC162" s="321">
        <v>716800</v>
      </c>
      <c r="DD162" s="321">
        <v>798560</v>
      </c>
    </row>
    <row r="163" spans="1:108" ht="12.95" customHeight="1">
      <c r="C163" s="27" t="s">
        <v>82</v>
      </c>
      <c r="D163" s="3" t="s">
        <v>2048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48" t="s">
        <v>478</v>
      </c>
      <c r="CC163" s="462">
        <v>1644</v>
      </c>
      <c r="CD163" s="463">
        <v>1762</v>
      </c>
      <c r="CE163" s="462">
        <v>2114</v>
      </c>
      <c r="CF163" s="463">
        <v>2442</v>
      </c>
      <c r="CG163" s="463">
        <v>2724</v>
      </c>
      <c r="CH163" s="464">
        <v>3006</v>
      </c>
      <c r="CI163" s="3"/>
      <c r="CJ163" s="855">
        <v>1069</v>
      </c>
      <c r="CK163" s="855">
        <v>1126</v>
      </c>
      <c r="CL163" s="855">
        <v>1466</v>
      </c>
      <c r="CM163" s="855">
        <v>2054</v>
      </c>
      <c r="CN163" s="855">
        <v>2462</v>
      </c>
      <c r="CR163" s="23" t="s">
        <v>659</v>
      </c>
      <c r="CS163" s="319">
        <v>369278</v>
      </c>
      <c r="CT163" s="319">
        <v>425774</v>
      </c>
      <c r="CU163" s="319">
        <v>513600</v>
      </c>
      <c r="CV163" s="319">
        <v>657408</v>
      </c>
      <c r="CW163" s="319">
        <v>732394</v>
      </c>
      <c r="CX163" s="14"/>
      <c r="CY163" s="23" t="s">
        <v>659</v>
      </c>
      <c r="CZ163" s="319">
        <v>369278</v>
      </c>
      <c r="DA163" s="319">
        <v>425774</v>
      </c>
      <c r="DB163" s="319">
        <v>513600</v>
      </c>
      <c r="DC163" s="319">
        <v>657408</v>
      </c>
      <c r="DD163" s="319">
        <v>732394</v>
      </c>
    </row>
    <row r="164" spans="1:108" ht="12.95" customHeight="1">
      <c r="C164" s="27"/>
      <c r="D164" s="2060" t="s">
        <v>2167</v>
      </c>
      <c r="E164" s="2060"/>
      <c r="F164" s="2060"/>
      <c r="G164" s="2060"/>
      <c r="H164" s="2060"/>
      <c r="I164" s="2060"/>
      <c r="J164" s="2060"/>
      <c r="K164" s="2060"/>
      <c r="L164" s="2060"/>
      <c r="M164" s="2060"/>
      <c r="N164" s="2060"/>
      <c r="O164" s="2060"/>
      <c r="P164" s="2060"/>
      <c r="Q164" s="2060"/>
      <c r="R164" s="2060"/>
      <c r="S164" s="2060"/>
      <c r="T164" s="2060"/>
      <c r="U164" s="2060"/>
      <c r="V164" s="2060"/>
      <c r="W164" s="2060"/>
      <c r="X164" s="2060"/>
      <c r="Y164" s="2060"/>
      <c r="Z164" s="2060"/>
      <c r="AA164" s="2060"/>
      <c r="AB164" s="2060"/>
      <c r="AC164" s="2060"/>
      <c r="AD164" s="2060"/>
      <c r="AE164" s="2060"/>
      <c r="AF164" s="2060"/>
      <c r="AG164" s="2060"/>
      <c r="AH164" s="2060"/>
      <c r="BN164" s="23" t="s">
        <v>663</v>
      </c>
      <c r="BS164">
        <v>7</v>
      </c>
      <c r="BT164" t="s">
        <v>482</v>
      </c>
      <c r="CB164" s="348" t="s">
        <v>479</v>
      </c>
      <c r="CC164" s="462">
        <v>1776</v>
      </c>
      <c r="CD164" s="463">
        <v>1902</v>
      </c>
      <c r="CE164" s="462">
        <v>2284</v>
      </c>
      <c r="CF164" s="463">
        <v>2640</v>
      </c>
      <c r="CG164" s="463">
        <v>2944</v>
      </c>
      <c r="CH164" s="464">
        <v>3248</v>
      </c>
      <c r="CI164" s="3"/>
      <c r="CJ164" s="855">
        <v>989</v>
      </c>
      <c r="CK164" s="855">
        <v>1086</v>
      </c>
      <c r="CL164" s="855">
        <v>1425</v>
      </c>
      <c r="CM164" s="855">
        <v>1997</v>
      </c>
      <c r="CN164" s="855">
        <v>2195</v>
      </c>
      <c r="CR164" s="23" t="s">
        <v>660</v>
      </c>
      <c r="CS164" s="321">
        <v>402640</v>
      </c>
      <c r="CT164" s="321">
        <v>464240</v>
      </c>
      <c r="CU164" s="321">
        <v>560000</v>
      </c>
      <c r="CV164" s="321">
        <v>716800</v>
      </c>
      <c r="CW164" s="321">
        <v>798560</v>
      </c>
      <c r="CX164" s="14"/>
      <c r="CY164" s="23" t="s">
        <v>660</v>
      </c>
      <c r="CZ164" s="321">
        <v>402640</v>
      </c>
      <c r="DA164" s="321">
        <v>464240</v>
      </c>
      <c r="DB164" s="321">
        <v>560000</v>
      </c>
      <c r="DC164" s="321">
        <v>716800</v>
      </c>
      <c r="DD164" s="321">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48" t="s">
        <v>480</v>
      </c>
      <c r="CC165" s="462">
        <v>1680</v>
      </c>
      <c r="CD165" s="463">
        <v>1800</v>
      </c>
      <c r="CE165" s="462">
        <v>2160</v>
      </c>
      <c r="CF165" s="463">
        <v>2496</v>
      </c>
      <c r="CG165" s="463">
        <v>2784</v>
      </c>
      <c r="CH165" s="464">
        <v>3072</v>
      </c>
      <c r="CI165" s="3"/>
      <c r="CJ165" s="855">
        <v>915</v>
      </c>
      <c r="CK165" s="855">
        <v>921</v>
      </c>
      <c r="CL165" s="855">
        <v>1208</v>
      </c>
      <c r="CM165" s="855">
        <v>1625</v>
      </c>
      <c r="CN165" s="855">
        <v>1631</v>
      </c>
      <c r="CR165" s="23" t="s">
        <v>661</v>
      </c>
      <c r="CS165" s="319">
        <v>402640</v>
      </c>
      <c r="CT165" s="319">
        <v>464240</v>
      </c>
      <c r="CU165" s="319">
        <v>560000</v>
      </c>
      <c r="CV165" s="319">
        <v>716800</v>
      </c>
      <c r="CW165" s="319">
        <v>798560</v>
      </c>
      <c r="CX165" s="14"/>
      <c r="CY165" s="23" t="s">
        <v>661</v>
      </c>
      <c r="CZ165" s="319">
        <v>402640</v>
      </c>
      <c r="DA165" s="319">
        <v>464240</v>
      </c>
      <c r="DB165" s="319">
        <v>560000</v>
      </c>
      <c r="DC165" s="319">
        <v>716800</v>
      </c>
      <c r="DD165" s="319">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48" t="s">
        <v>481</v>
      </c>
      <c r="CC166" s="462">
        <v>2796</v>
      </c>
      <c r="CD166" s="463">
        <v>2996</v>
      </c>
      <c r="CE166" s="462">
        <v>3596</v>
      </c>
      <c r="CF166" s="463">
        <v>4154</v>
      </c>
      <c r="CG166" s="463">
        <v>4634</v>
      </c>
      <c r="CH166" s="464">
        <v>5114</v>
      </c>
      <c r="CI166" s="3"/>
      <c r="CJ166" s="855">
        <v>1937</v>
      </c>
      <c r="CK166" s="855">
        <v>2201</v>
      </c>
      <c r="CL166" s="855">
        <v>2682</v>
      </c>
      <c r="CM166" s="855">
        <v>3432</v>
      </c>
      <c r="CN166" s="855">
        <v>4077</v>
      </c>
      <c r="CR166" s="23" t="s">
        <v>662</v>
      </c>
      <c r="CS166" s="321">
        <v>491221</v>
      </c>
      <c r="CT166" s="321">
        <v>566373</v>
      </c>
      <c r="CU166" s="321">
        <v>683200</v>
      </c>
      <c r="CV166" s="321">
        <v>874496</v>
      </c>
      <c r="CW166" s="321">
        <v>974243</v>
      </c>
      <c r="CX166" s="14"/>
      <c r="CY166" s="23" t="s">
        <v>662</v>
      </c>
      <c r="CZ166" s="321">
        <v>491221</v>
      </c>
      <c r="DA166" s="321">
        <v>566373</v>
      </c>
      <c r="DB166" s="321">
        <v>683200</v>
      </c>
      <c r="DC166" s="321">
        <v>874496</v>
      </c>
      <c r="DD166" s="321">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48" t="s">
        <v>482</v>
      </c>
      <c r="CC167" s="462">
        <v>1644</v>
      </c>
      <c r="CD167" s="463">
        <v>1762</v>
      </c>
      <c r="CE167" s="462">
        <v>2114</v>
      </c>
      <c r="CF167" s="463">
        <v>2442</v>
      </c>
      <c r="CG167" s="463">
        <v>2724</v>
      </c>
      <c r="CH167" s="464">
        <v>3006</v>
      </c>
      <c r="CI167" s="3"/>
      <c r="CJ167" s="855">
        <v>869</v>
      </c>
      <c r="CK167" s="855">
        <v>1086</v>
      </c>
      <c r="CL167" s="855">
        <v>1253</v>
      </c>
      <c r="CM167" s="855">
        <v>1756</v>
      </c>
      <c r="CN167" s="855">
        <v>2104</v>
      </c>
      <c r="CR167" s="23" t="s">
        <v>663</v>
      </c>
      <c r="CS167" s="319">
        <v>402640</v>
      </c>
      <c r="CT167" s="319">
        <v>464240</v>
      </c>
      <c r="CU167" s="319">
        <v>560000</v>
      </c>
      <c r="CV167" s="319">
        <v>716800</v>
      </c>
      <c r="CW167" s="319">
        <v>798560</v>
      </c>
      <c r="CX167" s="14"/>
      <c r="CY167" s="23" t="s">
        <v>663</v>
      </c>
      <c r="CZ167" s="319">
        <v>402640</v>
      </c>
      <c r="DA167" s="319">
        <v>464240</v>
      </c>
      <c r="DB167" s="319">
        <v>560000</v>
      </c>
      <c r="DC167" s="319">
        <v>716800</v>
      </c>
      <c r="DD167" s="319">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48" t="s">
        <v>483</v>
      </c>
      <c r="CC168" s="462">
        <v>2252</v>
      </c>
      <c r="CD168" s="463">
        <v>2412</v>
      </c>
      <c r="CE168" s="462">
        <v>2894</v>
      </c>
      <c r="CF168" s="463">
        <v>3342</v>
      </c>
      <c r="CG168" s="463">
        <v>3730</v>
      </c>
      <c r="CH168" s="464">
        <v>4116</v>
      </c>
      <c r="CI168" s="3"/>
      <c r="CJ168" s="855">
        <v>1679</v>
      </c>
      <c r="CK168" s="855">
        <v>1777</v>
      </c>
      <c r="CL168" s="855">
        <v>2206</v>
      </c>
      <c r="CM168" s="855">
        <v>2992</v>
      </c>
      <c r="CN168" s="855">
        <v>3455</v>
      </c>
      <c r="CR168" s="23" t="s">
        <v>664</v>
      </c>
      <c r="CS168" s="321">
        <v>360075</v>
      </c>
      <c r="CT168" s="321">
        <v>415163</v>
      </c>
      <c r="CU168" s="321">
        <v>500800</v>
      </c>
      <c r="CV168" s="321">
        <v>641024</v>
      </c>
      <c r="CW168" s="321">
        <v>714141</v>
      </c>
      <c r="CX168" s="14"/>
      <c r="CY168" s="23" t="s">
        <v>664</v>
      </c>
      <c r="CZ168" s="321">
        <v>360075</v>
      </c>
      <c r="DA168" s="321">
        <v>415163</v>
      </c>
      <c r="DB168" s="321">
        <v>500800</v>
      </c>
      <c r="DC168" s="321">
        <v>641024</v>
      </c>
      <c r="DD168" s="321">
        <v>714141</v>
      </c>
    </row>
    <row r="169" spans="1:108" ht="12.95" customHeight="1">
      <c r="A169" s="1744" t="s">
        <v>538</v>
      </c>
      <c r="B169" s="1744"/>
      <c r="C169" s="1744"/>
      <c r="D169" s="1744"/>
      <c r="E169" s="1744"/>
      <c r="F169" s="1744"/>
      <c r="G169" s="1744"/>
      <c r="H169" s="1744"/>
      <c r="I169" s="1744"/>
      <c r="J169" s="1744"/>
      <c r="K169" s="1744"/>
      <c r="L169" s="1744"/>
      <c r="M169" s="1744"/>
      <c r="N169" s="1744"/>
      <c r="O169" s="1744"/>
      <c r="P169" s="1744"/>
      <c r="Q169" s="1744"/>
      <c r="R169" s="1744"/>
      <c r="S169" s="1744"/>
      <c r="T169" s="1744"/>
      <c r="U169" s="1744"/>
      <c r="V169" s="1744"/>
      <c r="W169" s="1744"/>
      <c r="X169" s="1744"/>
      <c r="Y169" s="1744"/>
      <c r="Z169" s="1744"/>
      <c r="AA169" s="1744"/>
      <c r="AB169" s="1744"/>
      <c r="AC169" s="1744"/>
      <c r="AD169" s="1744"/>
      <c r="AE169" s="1744"/>
      <c r="AF169" s="1744"/>
      <c r="AG169" s="1744"/>
      <c r="AH169" s="1744"/>
      <c r="AI169" s="1744"/>
      <c r="AJ169" s="1744"/>
      <c r="AK169" s="1744"/>
      <c r="AL169" s="1744"/>
      <c r="AM169" s="1744"/>
      <c r="AN169" s="1744"/>
      <c r="AO169" s="1744"/>
      <c r="AP169" s="1744"/>
      <c r="AQ169" s="1744"/>
      <c r="AR169" s="1744"/>
      <c r="AS169" s="1744"/>
      <c r="AT169" s="1744"/>
      <c r="AU169" s="95"/>
      <c r="AV169" s="95"/>
      <c r="AW169" s="95"/>
      <c r="AX169" s="95"/>
      <c r="AY169" s="95"/>
      <c r="BN169" s="23" t="s">
        <v>672</v>
      </c>
      <c r="BS169">
        <v>5</v>
      </c>
      <c r="BT169" t="s">
        <v>487</v>
      </c>
      <c r="CB169" s="348" t="s">
        <v>484</v>
      </c>
      <c r="CC169" s="462">
        <v>1644</v>
      </c>
      <c r="CD169" s="463">
        <v>1762</v>
      </c>
      <c r="CE169" s="462">
        <v>2114</v>
      </c>
      <c r="CF169" s="463">
        <v>2442</v>
      </c>
      <c r="CG169" s="463">
        <v>2724</v>
      </c>
      <c r="CH169" s="464">
        <v>3006</v>
      </c>
      <c r="CI169" s="3"/>
      <c r="CJ169" s="855">
        <v>1210</v>
      </c>
      <c r="CK169" s="855">
        <v>1217</v>
      </c>
      <c r="CL169" s="855">
        <v>1505</v>
      </c>
      <c r="CM169" s="855">
        <v>2109</v>
      </c>
      <c r="CN169" s="855">
        <v>2415</v>
      </c>
      <c r="CR169" s="23" t="s">
        <v>666</v>
      </c>
      <c r="CS169" s="319">
        <v>323262</v>
      </c>
      <c r="CT169" s="319">
        <v>372718</v>
      </c>
      <c r="CU169" s="319">
        <v>449600</v>
      </c>
      <c r="CV169" s="319">
        <v>575488</v>
      </c>
      <c r="CW169" s="319">
        <v>641130</v>
      </c>
      <c r="CX169" s="14"/>
      <c r="CY169" s="23" t="s">
        <v>666</v>
      </c>
      <c r="CZ169" s="319">
        <v>323262</v>
      </c>
      <c r="DA169" s="319">
        <v>372718</v>
      </c>
      <c r="DB169" s="319">
        <v>449600</v>
      </c>
      <c r="DC169" s="319">
        <v>575488</v>
      </c>
      <c r="DD169" s="319">
        <v>641130</v>
      </c>
    </row>
    <row r="170" spans="1:108" ht="12.95" customHeight="1">
      <c r="A170" s="1744"/>
      <c r="B170" s="1744"/>
      <c r="C170" s="1744"/>
      <c r="D170" s="1744"/>
      <c r="E170" s="1744"/>
      <c r="F170" s="1744"/>
      <c r="G170" s="1744"/>
      <c r="H170" s="1744"/>
      <c r="I170" s="1744"/>
      <c r="J170" s="1744"/>
      <c r="K170" s="1744"/>
      <c r="L170" s="1744"/>
      <c r="M170" s="1744"/>
      <c r="N170" s="1744"/>
      <c r="O170" s="1744"/>
      <c r="P170" s="1744"/>
      <c r="Q170" s="1744"/>
      <c r="R170" s="1744"/>
      <c r="S170" s="1744"/>
      <c r="T170" s="1744"/>
      <c r="U170" s="1744"/>
      <c r="V170" s="1744"/>
      <c r="W170" s="1744"/>
      <c r="X170" s="1744"/>
      <c r="Y170" s="1744"/>
      <c r="Z170" s="1744"/>
      <c r="AA170" s="1744"/>
      <c r="AB170" s="1744"/>
      <c r="AC170" s="1744"/>
      <c r="AD170" s="1744"/>
      <c r="AE170" s="1744"/>
      <c r="AF170" s="1744"/>
      <c r="AG170" s="1744"/>
      <c r="AH170" s="1744"/>
      <c r="AI170" s="1744"/>
      <c r="AJ170" s="1744"/>
      <c r="AK170" s="1744"/>
      <c r="AL170" s="1744"/>
      <c r="AM170" s="1744"/>
      <c r="AN170" s="1744"/>
      <c r="AO170" s="1744"/>
      <c r="AP170" s="1744"/>
      <c r="AQ170" s="1744"/>
      <c r="AR170" s="1744"/>
      <c r="AS170" s="1744"/>
      <c r="AT170" s="1744"/>
      <c r="AU170" s="95"/>
      <c r="AV170" s="95"/>
      <c r="AW170" s="95"/>
      <c r="AX170" s="95"/>
      <c r="AY170" s="95"/>
      <c r="BN170" s="23" t="s">
        <v>673</v>
      </c>
      <c r="BS170">
        <v>7</v>
      </c>
      <c r="BT170" t="s">
        <v>488</v>
      </c>
      <c r="CB170" s="348" t="s">
        <v>485</v>
      </c>
      <c r="CC170" s="462">
        <v>1644</v>
      </c>
      <c r="CD170" s="463">
        <v>1762</v>
      </c>
      <c r="CE170" s="462">
        <v>2114</v>
      </c>
      <c r="CF170" s="463">
        <v>2442</v>
      </c>
      <c r="CG170" s="463">
        <v>2724</v>
      </c>
      <c r="CH170" s="464">
        <v>3006</v>
      </c>
      <c r="CI170" s="3"/>
      <c r="CJ170" s="855">
        <v>841</v>
      </c>
      <c r="CK170" s="855">
        <v>935</v>
      </c>
      <c r="CL170" s="855">
        <v>1227</v>
      </c>
      <c r="CM170" s="855">
        <v>1631</v>
      </c>
      <c r="CN170" s="855">
        <v>2060</v>
      </c>
      <c r="CR170" s="23" t="s">
        <v>669</v>
      </c>
      <c r="CS170" s="321">
        <v>402640</v>
      </c>
      <c r="CT170" s="321">
        <v>464240</v>
      </c>
      <c r="CU170" s="321">
        <v>560000</v>
      </c>
      <c r="CV170" s="321">
        <v>716800</v>
      </c>
      <c r="CW170" s="321">
        <v>798560</v>
      </c>
      <c r="CX170" s="14"/>
      <c r="CY170" s="23" t="s">
        <v>669</v>
      </c>
      <c r="CZ170" s="321">
        <v>402640</v>
      </c>
      <c r="DA170" s="321">
        <v>464240</v>
      </c>
      <c r="DB170" s="321">
        <v>560000</v>
      </c>
      <c r="DC170" s="321">
        <v>716800</v>
      </c>
      <c r="DD170" s="321">
        <v>798560</v>
      </c>
    </row>
    <row r="171" spans="1:108" ht="12.95" customHeight="1">
      <c r="BN171" s="23" t="s">
        <v>210</v>
      </c>
      <c r="BS171">
        <v>5</v>
      </c>
      <c r="BT171" t="s">
        <v>489</v>
      </c>
      <c r="CB171" s="348" t="s">
        <v>486</v>
      </c>
      <c r="CC171" s="462">
        <v>1644</v>
      </c>
      <c r="CD171" s="463">
        <v>1762</v>
      </c>
      <c r="CE171" s="462">
        <v>2114</v>
      </c>
      <c r="CF171" s="463">
        <v>2442</v>
      </c>
      <c r="CG171" s="463">
        <v>2724</v>
      </c>
      <c r="CH171" s="464">
        <v>3006</v>
      </c>
      <c r="CI171" s="3"/>
      <c r="CJ171" s="855">
        <v>1065</v>
      </c>
      <c r="CK171" s="855">
        <v>1132</v>
      </c>
      <c r="CL171" s="855">
        <v>1478</v>
      </c>
      <c r="CM171" s="855">
        <v>2071</v>
      </c>
      <c r="CN171" s="855">
        <v>2482</v>
      </c>
      <c r="CR171" s="23" t="s">
        <v>670</v>
      </c>
      <c r="CS171" s="319">
        <v>402640</v>
      </c>
      <c r="CT171" s="319">
        <v>464240</v>
      </c>
      <c r="CU171" s="319">
        <v>560000</v>
      </c>
      <c r="CV171" s="319">
        <v>716800</v>
      </c>
      <c r="CW171" s="319">
        <v>798560</v>
      </c>
      <c r="CX171" s="14"/>
      <c r="CY171" s="23" t="s">
        <v>670</v>
      </c>
      <c r="CZ171" s="319">
        <v>402640</v>
      </c>
      <c r="DA171" s="319">
        <v>464240</v>
      </c>
      <c r="DB171" s="319">
        <v>560000</v>
      </c>
      <c r="DC171" s="319">
        <v>716800</v>
      </c>
      <c r="DD171" s="319">
        <v>798560</v>
      </c>
    </row>
    <row r="172" spans="1:108" ht="12.95" customHeight="1">
      <c r="A172" s="2" t="s">
        <v>318</v>
      </c>
      <c r="C172" s="2" t="s">
        <v>319</v>
      </c>
      <c r="BN172" s="23" t="s">
        <v>212</v>
      </c>
      <c r="BS172">
        <v>5</v>
      </c>
      <c r="BT172" t="s">
        <v>490</v>
      </c>
      <c r="CB172" s="348" t="s">
        <v>487</v>
      </c>
      <c r="CC172" s="462">
        <v>1644</v>
      </c>
      <c r="CD172" s="463">
        <v>1762</v>
      </c>
      <c r="CE172" s="462">
        <v>2114</v>
      </c>
      <c r="CF172" s="463">
        <v>2442</v>
      </c>
      <c r="CG172" s="463">
        <v>2724</v>
      </c>
      <c r="CH172" s="464">
        <v>3006</v>
      </c>
      <c r="CI172" s="3"/>
      <c r="CJ172" s="855">
        <v>940</v>
      </c>
      <c r="CK172" s="855">
        <v>1056</v>
      </c>
      <c r="CL172" s="855">
        <v>1371</v>
      </c>
      <c r="CM172" s="855">
        <v>1873</v>
      </c>
      <c r="CN172" s="855">
        <v>2287</v>
      </c>
      <c r="CR172" s="23" t="s">
        <v>672</v>
      </c>
      <c r="CS172" s="321">
        <v>381933</v>
      </c>
      <c r="CT172" s="321">
        <v>440365</v>
      </c>
      <c r="CU172" s="321">
        <v>531200</v>
      </c>
      <c r="CV172" s="321">
        <v>679936</v>
      </c>
      <c r="CW172" s="321">
        <v>757491</v>
      </c>
      <c r="CX172" s="14"/>
      <c r="CY172" s="23" t="s">
        <v>672</v>
      </c>
      <c r="CZ172" s="321">
        <v>381933</v>
      </c>
      <c r="DA172" s="321">
        <v>440365</v>
      </c>
      <c r="DB172" s="321">
        <v>531200</v>
      </c>
      <c r="DC172" s="321">
        <v>679936</v>
      </c>
      <c r="DD172" s="321">
        <v>757491</v>
      </c>
    </row>
    <row r="173" spans="1:108" ht="12.95" customHeight="1">
      <c r="C173" s="24"/>
      <c r="D173" t="s">
        <v>320</v>
      </c>
      <c r="J173" s="2065" t="s">
        <v>370</v>
      </c>
      <c r="K173" s="2065"/>
      <c r="L173" s="2065"/>
      <c r="M173" s="2065"/>
      <c r="N173" s="2065"/>
      <c r="O173" s="2065"/>
      <c r="P173" s="2065"/>
      <c r="Q173" s="2065"/>
      <c r="R173" s="2065"/>
      <c r="S173" s="2065"/>
      <c r="U173" s="25"/>
      <c r="X173" s="25"/>
      <c r="BB173" s="3" t="s">
        <v>306</v>
      </c>
      <c r="BN173" s="23" t="s">
        <v>213</v>
      </c>
      <c r="BS173">
        <v>7</v>
      </c>
      <c r="BT173" t="s">
        <v>491</v>
      </c>
      <c r="CB173" s="348" t="s">
        <v>488</v>
      </c>
      <c r="CC173" s="462">
        <v>1680</v>
      </c>
      <c r="CD173" s="463">
        <v>1800</v>
      </c>
      <c r="CE173" s="462">
        <v>2160</v>
      </c>
      <c r="CF173" s="463">
        <v>2496</v>
      </c>
      <c r="CG173" s="463">
        <v>2784</v>
      </c>
      <c r="CH173" s="464">
        <v>3072</v>
      </c>
      <c r="CI173" s="3"/>
      <c r="CJ173" s="855">
        <v>978</v>
      </c>
      <c r="CK173" s="855">
        <v>1254</v>
      </c>
      <c r="CL173" s="855">
        <v>1426</v>
      </c>
      <c r="CM173" s="855">
        <v>1734</v>
      </c>
      <c r="CN173" s="855">
        <v>2365</v>
      </c>
      <c r="CR173" s="23" t="s">
        <v>673</v>
      </c>
      <c r="CS173" s="319">
        <v>402640</v>
      </c>
      <c r="CT173" s="319">
        <v>464240</v>
      </c>
      <c r="CU173" s="319">
        <v>560000</v>
      </c>
      <c r="CV173" s="319">
        <v>716800</v>
      </c>
      <c r="CW173" s="319">
        <v>798560</v>
      </c>
      <c r="CX173" s="14"/>
      <c r="CY173" s="23" t="s">
        <v>673</v>
      </c>
      <c r="CZ173" s="319">
        <v>402640</v>
      </c>
      <c r="DA173" s="319">
        <v>464240</v>
      </c>
      <c r="DB173" s="319">
        <v>560000</v>
      </c>
      <c r="DC173" s="319">
        <v>716800</v>
      </c>
      <c r="DD173" s="319">
        <v>798560</v>
      </c>
    </row>
    <row r="174" spans="1:108" ht="12.95" customHeight="1">
      <c r="C174" s="24"/>
      <c r="D174" s="3" t="s">
        <v>1199</v>
      </c>
      <c r="J174" s="1697" t="s">
        <v>2053</v>
      </c>
      <c r="K174" s="1697"/>
      <c r="L174" s="1697"/>
      <c r="M174" s="1697"/>
      <c r="N174" s="1697"/>
      <c r="O174" s="1697"/>
      <c r="P174" s="1697"/>
      <c r="Q174" s="1697"/>
      <c r="R174" s="1697"/>
      <c r="S174" s="1697"/>
      <c r="T174" s="1697"/>
      <c r="U174" s="1697"/>
      <c r="V174" s="1697"/>
      <c r="W174" s="1697"/>
      <c r="X174" s="1697"/>
      <c r="Y174" s="1697"/>
      <c r="Z174" s="1697"/>
      <c r="AA174" s="1697"/>
      <c r="AB174" s="1697"/>
      <c r="BB174" t="s">
        <v>1939</v>
      </c>
      <c r="BN174" s="23" t="s">
        <v>215</v>
      </c>
      <c r="BS174">
        <v>7</v>
      </c>
      <c r="BT174" t="s">
        <v>492</v>
      </c>
      <c r="CB174" s="348" t="s">
        <v>489</v>
      </c>
      <c r="CC174" s="462">
        <v>1644</v>
      </c>
      <c r="CD174" s="463">
        <v>1762</v>
      </c>
      <c r="CE174" s="462">
        <v>2114</v>
      </c>
      <c r="CF174" s="463">
        <v>2442</v>
      </c>
      <c r="CG174" s="463">
        <v>2724</v>
      </c>
      <c r="CH174" s="464">
        <v>3006</v>
      </c>
      <c r="CI174" s="3"/>
      <c r="CJ174" s="855">
        <v>1058</v>
      </c>
      <c r="CK174" s="855">
        <v>1064</v>
      </c>
      <c r="CL174" s="855">
        <v>1380</v>
      </c>
      <c r="CM174" s="855">
        <v>1934</v>
      </c>
      <c r="CN174" s="855">
        <v>2317</v>
      </c>
      <c r="CR174" s="23" t="s">
        <v>210</v>
      </c>
      <c r="CS174" s="321">
        <v>323262</v>
      </c>
      <c r="CT174" s="321">
        <v>372718</v>
      </c>
      <c r="CU174" s="321">
        <v>449600</v>
      </c>
      <c r="CV174" s="321">
        <v>575488</v>
      </c>
      <c r="CW174" s="321">
        <v>641130</v>
      </c>
      <c r="CX174" s="14"/>
      <c r="CY174" s="23" t="s">
        <v>210</v>
      </c>
      <c r="CZ174" s="321">
        <v>323262</v>
      </c>
      <c r="DA174" s="321">
        <v>372718</v>
      </c>
      <c r="DB174" s="321">
        <v>449600</v>
      </c>
      <c r="DC174" s="321">
        <v>575488</v>
      </c>
      <c r="DD174" s="321">
        <v>641130</v>
      </c>
    </row>
    <row r="175" spans="1:108" ht="12.95" customHeight="1">
      <c r="C175" s="8"/>
      <c r="D175" s="3" t="s">
        <v>321</v>
      </c>
      <c r="O175" s="27"/>
      <c r="U175" s="1599" t="s">
        <v>668</v>
      </c>
      <c r="V175" s="1599"/>
      <c r="BB175" t="s">
        <v>1907</v>
      </c>
      <c r="BN175" s="23" t="s">
        <v>216</v>
      </c>
      <c r="BS175">
        <v>1</v>
      </c>
      <c r="BT175" t="s">
        <v>493</v>
      </c>
      <c r="CB175" s="348" t="s">
        <v>490</v>
      </c>
      <c r="CC175" s="462">
        <v>1644</v>
      </c>
      <c r="CD175" s="463">
        <v>1762</v>
      </c>
      <c r="CE175" s="462">
        <v>2114</v>
      </c>
      <c r="CF175" s="463">
        <v>2442</v>
      </c>
      <c r="CG175" s="463">
        <v>2724</v>
      </c>
      <c r="CH175" s="464">
        <v>3006</v>
      </c>
      <c r="CI175" s="3"/>
      <c r="CJ175" s="855">
        <v>1151</v>
      </c>
      <c r="CK175" s="855">
        <v>1158</v>
      </c>
      <c r="CL175" s="855">
        <v>1445</v>
      </c>
      <c r="CM175" s="855">
        <v>2025</v>
      </c>
      <c r="CN175" s="855">
        <v>2427</v>
      </c>
      <c r="CR175" s="23" t="s">
        <v>212</v>
      </c>
      <c r="CS175" s="319">
        <v>323262</v>
      </c>
      <c r="CT175" s="319">
        <v>372718</v>
      </c>
      <c r="CU175" s="319">
        <v>449600</v>
      </c>
      <c r="CV175" s="319">
        <v>575488</v>
      </c>
      <c r="CW175" s="319">
        <v>641130</v>
      </c>
      <c r="CX175" s="14"/>
      <c r="CY175" s="23" t="s">
        <v>212</v>
      </c>
      <c r="CZ175" s="319">
        <v>323262</v>
      </c>
      <c r="DA175" s="319">
        <v>372718</v>
      </c>
      <c r="DB175" s="319">
        <v>449600</v>
      </c>
      <c r="DC175" s="319">
        <v>575488</v>
      </c>
      <c r="DD175" s="319">
        <v>641130</v>
      </c>
    </row>
    <row r="176" spans="1:108" ht="12.95" customHeight="1">
      <c r="C176" s="8"/>
      <c r="D176" s="26"/>
      <c r="E176" t="s">
        <v>303</v>
      </c>
      <c r="O176" s="27"/>
      <c r="P176" t="s">
        <v>2032</v>
      </c>
      <c r="T176" s="27" t="s">
        <v>304</v>
      </c>
      <c r="U176" s="1706"/>
      <c r="V176" s="1706"/>
      <c r="W176" s="1" t="s">
        <v>305</v>
      </c>
      <c r="X176" s="2043"/>
      <c r="Y176" s="2043"/>
      <c r="BB176" t="s">
        <v>1940</v>
      </c>
      <c r="BN176" s="23" t="s">
        <v>218</v>
      </c>
      <c r="BS176">
        <v>5</v>
      </c>
      <c r="BT176" t="s">
        <v>494</v>
      </c>
      <c r="CB176" s="348" t="s">
        <v>491</v>
      </c>
      <c r="CC176" s="462">
        <v>1644</v>
      </c>
      <c r="CD176" s="463">
        <v>1762</v>
      </c>
      <c r="CE176" s="462">
        <v>2114</v>
      </c>
      <c r="CF176" s="463">
        <v>2442</v>
      </c>
      <c r="CG176" s="463">
        <v>2724</v>
      </c>
      <c r="CH176" s="464">
        <v>3006</v>
      </c>
      <c r="CI176" s="3"/>
      <c r="CJ176" s="855">
        <v>1053</v>
      </c>
      <c r="CK176" s="855">
        <v>1060</v>
      </c>
      <c r="CL176" s="855">
        <v>1390</v>
      </c>
      <c r="CM176" s="855">
        <v>1948</v>
      </c>
      <c r="CN176" s="855">
        <v>2334</v>
      </c>
      <c r="CR176" s="23" t="s">
        <v>213</v>
      </c>
      <c r="CS176" s="321">
        <v>402640</v>
      </c>
      <c r="CT176" s="321">
        <v>464240</v>
      </c>
      <c r="CU176" s="321">
        <v>560000</v>
      </c>
      <c r="CV176" s="321">
        <v>716800</v>
      </c>
      <c r="CW176" s="321">
        <v>798560</v>
      </c>
      <c r="CX176" s="14"/>
      <c r="CY176" s="23" t="s">
        <v>213</v>
      </c>
      <c r="CZ176" s="321">
        <v>402640</v>
      </c>
      <c r="DA176" s="321">
        <v>464240</v>
      </c>
      <c r="DB176" s="321">
        <v>560000</v>
      </c>
      <c r="DC176" s="321">
        <v>716800</v>
      </c>
      <c r="DD176" s="321">
        <v>798560</v>
      </c>
    </row>
    <row r="177" spans="1:108" ht="12.95" customHeight="1">
      <c r="C177" s="24"/>
      <c r="D177" t="s">
        <v>248</v>
      </c>
      <c r="R177" s="1599" t="s">
        <v>668</v>
      </c>
      <c r="S177" s="1599"/>
      <c r="BB177" t="s">
        <v>2164</v>
      </c>
      <c r="BN177" s="23" t="s">
        <v>219</v>
      </c>
      <c r="BS177">
        <v>2</v>
      </c>
      <c r="BT177" t="s">
        <v>495</v>
      </c>
      <c r="CB177" s="348" t="s">
        <v>492</v>
      </c>
      <c r="CC177" s="462">
        <v>1644</v>
      </c>
      <c r="CD177" s="463">
        <v>1762</v>
      </c>
      <c r="CE177" s="462">
        <v>2114</v>
      </c>
      <c r="CF177" s="463">
        <v>2442</v>
      </c>
      <c r="CG177" s="463">
        <v>2724</v>
      </c>
      <c r="CH177" s="464">
        <v>3006</v>
      </c>
      <c r="CI177" s="3"/>
      <c r="CJ177" s="855">
        <v>819</v>
      </c>
      <c r="CK177" s="855">
        <v>910</v>
      </c>
      <c r="CL177" s="855">
        <v>1194</v>
      </c>
      <c r="CM177" s="855">
        <v>1673</v>
      </c>
      <c r="CN177" s="855">
        <v>2005</v>
      </c>
      <c r="CR177" s="23" t="s">
        <v>215</v>
      </c>
      <c r="CS177" s="319">
        <v>402640</v>
      </c>
      <c r="CT177" s="319">
        <v>464240</v>
      </c>
      <c r="CU177" s="319">
        <v>560000</v>
      </c>
      <c r="CV177" s="319">
        <v>716800</v>
      </c>
      <c r="CW177" s="319">
        <v>798560</v>
      </c>
      <c r="CX177" s="14"/>
      <c r="CY177" s="23" t="s">
        <v>215</v>
      </c>
      <c r="CZ177" s="319">
        <v>402640</v>
      </c>
      <c r="DA177" s="319">
        <v>464240</v>
      </c>
      <c r="DB177" s="319">
        <v>560000</v>
      </c>
      <c r="DC177" s="319">
        <v>716800</v>
      </c>
      <c r="DD177" s="319">
        <v>798560</v>
      </c>
    </row>
    <row r="178" spans="1:108" ht="12.95" customHeight="1">
      <c r="C178" s="24"/>
      <c r="D178" s="3" t="s">
        <v>1200</v>
      </c>
      <c r="AA178" t="s">
        <v>2032</v>
      </c>
      <c r="AE178" s="27" t="s">
        <v>304</v>
      </c>
      <c r="AF178" s="2042"/>
      <c r="AG178" s="2042"/>
      <c r="AH178" s="1" t="s">
        <v>305</v>
      </c>
      <c r="AI178" s="2039"/>
      <c r="AJ178" s="2039"/>
      <c r="AK178" s="2039"/>
      <c r="BB178" t="s">
        <v>2165</v>
      </c>
      <c r="BN178" s="23" t="s">
        <v>220</v>
      </c>
      <c r="BS178">
        <v>7</v>
      </c>
      <c r="BT178" t="s">
        <v>53</v>
      </c>
      <c r="CB178" s="348" t="s">
        <v>493</v>
      </c>
      <c r="CC178" s="462">
        <v>2650</v>
      </c>
      <c r="CD178" s="463">
        <v>2840</v>
      </c>
      <c r="CE178" s="462">
        <v>3406</v>
      </c>
      <c r="CF178" s="463">
        <v>3938</v>
      </c>
      <c r="CG178" s="463">
        <v>4392</v>
      </c>
      <c r="CH178" s="464">
        <v>4846</v>
      </c>
      <c r="CI178" s="3"/>
      <c r="CJ178" s="855">
        <v>1856</v>
      </c>
      <c r="CK178" s="855">
        <v>2081</v>
      </c>
      <c r="CL178" s="855">
        <v>2625</v>
      </c>
      <c r="CM178" s="855">
        <v>3335</v>
      </c>
      <c r="CN178" s="855">
        <v>3698</v>
      </c>
      <c r="CR178" s="23" t="s">
        <v>216</v>
      </c>
      <c r="CS178" s="321">
        <v>437727</v>
      </c>
      <c r="CT178" s="321">
        <v>504695</v>
      </c>
      <c r="CU178" s="321">
        <v>608800</v>
      </c>
      <c r="CV178" s="321">
        <v>779264</v>
      </c>
      <c r="CW178" s="321">
        <v>868149</v>
      </c>
      <c r="CX178" s="14"/>
      <c r="CY178" s="23" t="s">
        <v>216</v>
      </c>
      <c r="CZ178" s="321">
        <v>437727</v>
      </c>
      <c r="DA178" s="321">
        <v>504695</v>
      </c>
      <c r="DB178" s="321">
        <v>608800</v>
      </c>
      <c r="DC178" s="321">
        <v>779264</v>
      </c>
      <c r="DD178" s="321">
        <v>868149</v>
      </c>
    </row>
    <row r="179" spans="1:108" ht="12.95" customHeight="1">
      <c r="C179" s="24"/>
      <c r="BN179" s="23" t="s">
        <v>221</v>
      </c>
      <c r="BS179">
        <v>7</v>
      </c>
      <c r="BT179" t="s">
        <v>54</v>
      </c>
      <c r="CB179" s="348" t="s">
        <v>494</v>
      </c>
      <c r="CC179" s="462">
        <v>1644</v>
      </c>
      <c r="CD179" s="463">
        <v>1762</v>
      </c>
      <c r="CE179" s="462">
        <v>2114</v>
      </c>
      <c r="CF179" s="463">
        <v>2442</v>
      </c>
      <c r="CG179" s="463">
        <v>2724</v>
      </c>
      <c r="CH179" s="464">
        <v>3006</v>
      </c>
      <c r="CI179" s="3"/>
      <c r="CJ179" s="855">
        <v>1099</v>
      </c>
      <c r="CK179" s="855">
        <v>1106</v>
      </c>
      <c r="CL179" s="855">
        <v>1433</v>
      </c>
      <c r="CM179" s="855">
        <v>2008</v>
      </c>
      <c r="CN179" s="855">
        <v>2293</v>
      </c>
      <c r="CR179" s="23" t="s">
        <v>218</v>
      </c>
      <c r="CS179" s="319">
        <v>323262</v>
      </c>
      <c r="CT179" s="319">
        <v>372718</v>
      </c>
      <c r="CU179" s="319">
        <v>449600</v>
      </c>
      <c r="CV179" s="319">
        <v>575488</v>
      </c>
      <c r="CW179" s="319">
        <v>641130</v>
      </c>
      <c r="CX179" s="14"/>
      <c r="CY179" s="23" t="s">
        <v>218</v>
      </c>
      <c r="CZ179" s="319">
        <v>323262</v>
      </c>
      <c r="DA179" s="319">
        <v>372718</v>
      </c>
      <c r="DB179" s="319">
        <v>449600</v>
      </c>
      <c r="DC179" s="319">
        <v>575488</v>
      </c>
      <c r="DD179" s="319">
        <v>641130</v>
      </c>
    </row>
    <row r="180" spans="1:108" ht="12.95" customHeight="1">
      <c r="C180" s="24"/>
      <c r="D180" s="3" t="s">
        <v>2622</v>
      </c>
      <c r="X180" s="1599" t="s">
        <v>668</v>
      </c>
      <c r="Y180" s="1599"/>
      <c r="BN180" s="23" t="s">
        <v>223</v>
      </c>
      <c r="BS180">
        <v>5</v>
      </c>
      <c r="BT180" t="s">
        <v>55</v>
      </c>
      <c r="CB180" s="348" t="s">
        <v>495</v>
      </c>
      <c r="CC180" s="462">
        <v>3384</v>
      </c>
      <c r="CD180" s="463">
        <v>3626</v>
      </c>
      <c r="CE180" s="462">
        <v>4352</v>
      </c>
      <c r="CF180" s="463">
        <v>5028</v>
      </c>
      <c r="CG180" s="463">
        <v>5610</v>
      </c>
      <c r="CH180" s="464">
        <v>6190</v>
      </c>
      <c r="CI180" s="3"/>
      <c r="CJ180" s="855">
        <v>2275</v>
      </c>
      <c r="CK180" s="855">
        <v>2780</v>
      </c>
      <c r="CL180" s="855">
        <v>3318</v>
      </c>
      <c r="CM180" s="855">
        <v>4138</v>
      </c>
      <c r="CN180" s="855">
        <v>4399</v>
      </c>
      <c r="CR180" s="23" t="s">
        <v>219</v>
      </c>
      <c r="CS180" s="321">
        <v>406666</v>
      </c>
      <c r="CT180" s="321">
        <v>468882</v>
      </c>
      <c r="CU180" s="321">
        <v>565600</v>
      </c>
      <c r="CV180" s="321">
        <v>723968</v>
      </c>
      <c r="CW180" s="321">
        <v>806546</v>
      </c>
      <c r="CX180" s="14"/>
      <c r="CY180" s="23" t="s">
        <v>219</v>
      </c>
      <c r="CZ180" s="321">
        <v>406666</v>
      </c>
      <c r="DA180" s="321">
        <v>468882</v>
      </c>
      <c r="DB180" s="321">
        <v>565600</v>
      </c>
      <c r="DC180" s="321">
        <v>723968</v>
      </c>
      <c r="DD180" s="321">
        <v>806546</v>
      </c>
    </row>
    <row r="181" spans="1:108" ht="12.95" customHeight="1">
      <c r="C181" s="8"/>
      <c r="E181" s="4" t="s">
        <v>973</v>
      </c>
      <c r="BN181" s="23" t="s">
        <v>224</v>
      </c>
      <c r="BS181">
        <v>7</v>
      </c>
      <c r="BT181" t="s">
        <v>56</v>
      </c>
      <c r="CB181" s="348" t="s">
        <v>53</v>
      </c>
      <c r="CC181" s="462">
        <v>1644</v>
      </c>
      <c r="CD181" s="463">
        <v>1762</v>
      </c>
      <c r="CE181" s="462">
        <v>2114</v>
      </c>
      <c r="CF181" s="463">
        <v>2442</v>
      </c>
      <c r="CG181" s="463">
        <v>2724</v>
      </c>
      <c r="CH181" s="464">
        <v>3006</v>
      </c>
      <c r="CI181" s="3"/>
      <c r="CJ181" s="855">
        <v>928</v>
      </c>
      <c r="CK181" s="855">
        <v>1119</v>
      </c>
      <c r="CL181" s="855">
        <v>1338</v>
      </c>
      <c r="CM181" s="855">
        <v>1875</v>
      </c>
      <c r="CN181" s="855">
        <v>2247</v>
      </c>
      <c r="CR181" s="23" t="s">
        <v>220</v>
      </c>
      <c r="CS181" s="319">
        <v>402640</v>
      </c>
      <c r="CT181" s="319">
        <v>464240</v>
      </c>
      <c r="CU181" s="319">
        <v>560000</v>
      </c>
      <c r="CV181" s="319">
        <v>716800</v>
      </c>
      <c r="CW181" s="319">
        <v>798560</v>
      </c>
      <c r="CX181" s="14"/>
      <c r="CY181" s="23" t="s">
        <v>220</v>
      </c>
      <c r="CZ181" s="319">
        <v>402640</v>
      </c>
      <c r="DA181" s="319">
        <v>464240</v>
      </c>
      <c r="DB181" s="319">
        <v>560000</v>
      </c>
      <c r="DC181" s="319">
        <v>716800</v>
      </c>
      <c r="DD181" s="319">
        <v>798560</v>
      </c>
    </row>
    <row r="182" spans="1:108" ht="12.95" customHeight="1">
      <c r="C182" s="528"/>
      <c r="BN182" s="23" t="s">
        <v>225</v>
      </c>
      <c r="BS182">
        <v>7</v>
      </c>
      <c r="BT182" t="s">
        <v>60</v>
      </c>
      <c r="CB182" s="348" t="s">
        <v>54</v>
      </c>
      <c r="CC182" s="462">
        <v>1644</v>
      </c>
      <c r="CD182" s="463">
        <v>1762</v>
      </c>
      <c r="CE182" s="462">
        <v>2114</v>
      </c>
      <c r="CF182" s="463">
        <v>2442</v>
      </c>
      <c r="CG182" s="463">
        <v>2724</v>
      </c>
      <c r="CH182" s="464">
        <v>3006</v>
      </c>
      <c r="CI182" s="3"/>
      <c r="CJ182" s="855">
        <v>1173</v>
      </c>
      <c r="CK182" s="855">
        <v>1220</v>
      </c>
      <c r="CL182" s="855">
        <v>1601</v>
      </c>
      <c r="CM182" s="855">
        <v>2243</v>
      </c>
      <c r="CN182" s="855">
        <v>2688</v>
      </c>
      <c r="CR182" s="23" t="s">
        <v>221</v>
      </c>
      <c r="CS182" s="321">
        <v>402640</v>
      </c>
      <c r="CT182" s="321">
        <v>464240</v>
      </c>
      <c r="CU182" s="321">
        <v>560000</v>
      </c>
      <c r="CV182" s="321">
        <v>716800</v>
      </c>
      <c r="CW182" s="321">
        <v>798560</v>
      </c>
      <c r="CX182" s="14"/>
      <c r="CY182" s="23" t="s">
        <v>221</v>
      </c>
      <c r="CZ182" s="321">
        <v>402640</v>
      </c>
      <c r="DA182" s="321">
        <v>464240</v>
      </c>
      <c r="DB182" s="321">
        <v>560000</v>
      </c>
      <c r="DC182" s="321">
        <v>716800</v>
      </c>
      <c r="DD182" s="321">
        <v>798560</v>
      </c>
    </row>
    <row r="183" spans="1:108" ht="12.95" customHeight="1">
      <c r="A183" s="2" t="s">
        <v>575</v>
      </c>
      <c r="C183" s="2" t="s">
        <v>576</v>
      </c>
      <c r="BN183" s="23" t="s">
        <v>227</v>
      </c>
      <c r="BS183">
        <v>4</v>
      </c>
      <c r="BT183" t="s">
        <v>61</v>
      </c>
      <c r="CB183" s="348" t="s">
        <v>55</v>
      </c>
      <c r="CC183" s="462">
        <v>1644</v>
      </c>
      <c r="CD183" s="463">
        <v>1762</v>
      </c>
      <c r="CE183" s="462">
        <v>2114</v>
      </c>
      <c r="CF183" s="463">
        <v>2442</v>
      </c>
      <c r="CG183" s="463">
        <v>2724</v>
      </c>
      <c r="CH183" s="464">
        <v>3006</v>
      </c>
      <c r="CI183" s="3"/>
      <c r="CJ183" s="855">
        <v>1071</v>
      </c>
      <c r="CK183" s="855">
        <v>1227</v>
      </c>
      <c r="CL183" s="855">
        <v>1509</v>
      </c>
      <c r="CM183" s="855">
        <v>2081</v>
      </c>
      <c r="CN183" s="855">
        <v>2534</v>
      </c>
      <c r="CR183" s="23" t="s">
        <v>223</v>
      </c>
      <c r="CS183" s="319">
        <v>323262</v>
      </c>
      <c r="CT183" s="319">
        <v>372718</v>
      </c>
      <c r="CU183" s="319">
        <v>449600</v>
      </c>
      <c r="CV183" s="319">
        <v>575488</v>
      </c>
      <c r="CW183" s="319">
        <v>641130</v>
      </c>
      <c r="CX183" s="14"/>
      <c r="CY183" s="23" t="s">
        <v>223</v>
      </c>
      <c r="CZ183" s="319">
        <v>323262</v>
      </c>
      <c r="DA183" s="319">
        <v>372718</v>
      </c>
      <c r="DB183" s="319">
        <v>449600</v>
      </c>
      <c r="DC183" s="319">
        <v>575488</v>
      </c>
      <c r="DD183" s="319">
        <v>641130</v>
      </c>
    </row>
    <row r="184" spans="1:108" ht="12.95" customHeight="1">
      <c r="C184" s="21"/>
      <c r="D184" t="s">
        <v>577</v>
      </c>
      <c r="I184" s="1695" t="str">
        <f>H18</f>
        <v>Russell at Truxel Apartments</v>
      </c>
      <c r="J184" s="1695"/>
      <c r="K184" s="1695"/>
      <c r="L184" s="1695"/>
      <c r="M184" s="1695"/>
      <c r="N184" s="1695"/>
      <c r="O184" s="1695"/>
      <c r="P184" s="1695"/>
      <c r="Q184" s="1695"/>
      <c r="R184" s="1695"/>
      <c r="S184" s="1695"/>
      <c r="T184" s="1695"/>
      <c r="U184" s="1695"/>
      <c r="V184" s="1695"/>
      <c r="W184" s="1695"/>
      <c r="X184" s="1695"/>
      <c r="Y184" s="1695"/>
      <c r="Z184" s="1695"/>
      <c r="AA184" s="1695"/>
      <c r="AB184" s="1695"/>
      <c r="AC184" s="1695"/>
      <c r="AD184" s="1695"/>
      <c r="AE184" s="1695"/>
      <c r="BC184" t="s">
        <v>586</v>
      </c>
      <c r="BN184" s="23" t="s">
        <v>229</v>
      </c>
      <c r="BS184">
        <v>4</v>
      </c>
      <c r="BT184" t="s">
        <v>62</v>
      </c>
      <c r="CB184" s="348" t="s">
        <v>56</v>
      </c>
      <c r="CC184" s="462">
        <v>1644</v>
      </c>
      <c r="CD184" s="463">
        <v>1762</v>
      </c>
      <c r="CE184" s="462">
        <v>2114</v>
      </c>
      <c r="CF184" s="463">
        <v>2442</v>
      </c>
      <c r="CG184" s="463">
        <v>2724</v>
      </c>
      <c r="CH184" s="464">
        <v>3006</v>
      </c>
      <c r="CI184" s="3"/>
      <c r="CJ184" s="855">
        <v>731</v>
      </c>
      <c r="CK184" s="855">
        <v>886</v>
      </c>
      <c r="CL184" s="855">
        <v>1054</v>
      </c>
      <c r="CM184" s="855">
        <v>1270</v>
      </c>
      <c r="CN184" s="855">
        <v>1748</v>
      </c>
      <c r="CR184" s="23" t="s">
        <v>224</v>
      </c>
      <c r="CS184" s="321">
        <v>402640</v>
      </c>
      <c r="CT184" s="321">
        <v>464240</v>
      </c>
      <c r="CU184" s="321">
        <v>560000</v>
      </c>
      <c r="CV184" s="321">
        <v>716800</v>
      </c>
      <c r="CW184" s="321">
        <v>798560</v>
      </c>
      <c r="CX184" s="14"/>
      <c r="CY184" s="23" t="s">
        <v>224</v>
      </c>
      <c r="CZ184" s="321">
        <v>402640</v>
      </c>
      <c r="DA184" s="321">
        <v>464240</v>
      </c>
      <c r="DB184" s="321">
        <v>560000</v>
      </c>
      <c r="DC184" s="321">
        <v>716800</v>
      </c>
      <c r="DD184" s="321">
        <v>798560</v>
      </c>
    </row>
    <row r="185" spans="1:108" ht="12.95" customHeight="1">
      <c r="C185" s="21"/>
      <c r="D185" t="s">
        <v>578</v>
      </c>
      <c r="I185" s="1696" t="s">
        <v>2638</v>
      </c>
      <c r="J185" s="1696"/>
      <c r="K185" s="1696"/>
      <c r="L185" s="1696"/>
      <c r="M185" s="1696"/>
      <c r="N185" s="1696"/>
      <c r="O185" s="1696"/>
      <c r="P185" s="1696"/>
      <c r="Q185" s="1696"/>
      <c r="R185" s="1696"/>
      <c r="S185" s="1696"/>
      <c r="T185" s="1696"/>
      <c r="U185" s="1696"/>
      <c r="V185" s="1696"/>
      <c r="W185" s="1696"/>
      <c r="X185" s="1696"/>
      <c r="Y185" s="1696"/>
      <c r="Z185" s="1696"/>
      <c r="AA185" s="1696"/>
      <c r="AB185" s="1696"/>
      <c r="AC185" s="1696"/>
      <c r="AD185" s="1696"/>
      <c r="AE185" s="1696"/>
      <c r="BC185" t="s">
        <v>587</v>
      </c>
      <c r="BN185" s="23" t="s">
        <v>230</v>
      </c>
      <c r="BS185">
        <v>7</v>
      </c>
      <c r="BT185" t="s">
        <v>63</v>
      </c>
      <c r="CB185" s="348" t="s">
        <v>60</v>
      </c>
      <c r="CC185" s="462">
        <v>1784</v>
      </c>
      <c r="CD185" s="463">
        <v>1912</v>
      </c>
      <c r="CE185" s="462">
        <v>2294</v>
      </c>
      <c r="CF185" s="463">
        <v>2652</v>
      </c>
      <c r="CG185" s="463">
        <v>2960</v>
      </c>
      <c r="CH185" s="464">
        <v>3266</v>
      </c>
      <c r="CI185" s="3"/>
      <c r="CJ185" s="855">
        <v>1036</v>
      </c>
      <c r="CK185" s="855">
        <v>1348</v>
      </c>
      <c r="CL185" s="855">
        <v>1493</v>
      </c>
      <c r="CM185" s="855">
        <v>2092</v>
      </c>
      <c r="CN185" s="855">
        <v>2476</v>
      </c>
      <c r="CR185" s="23" t="s">
        <v>225</v>
      </c>
      <c r="CS185" s="319">
        <v>402640</v>
      </c>
      <c r="CT185" s="319">
        <v>464240</v>
      </c>
      <c r="CU185" s="319">
        <v>560000</v>
      </c>
      <c r="CV185" s="319">
        <v>716800</v>
      </c>
      <c r="CW185" s="319">
        <v>798560</v>
      </c>
      <c r="CX185" s="14"/>
      <c r="CY185" s="23" t="s">
        <v>225</v>
      </c>
      <c r="CZ185" s="319">
        <v>402640</v>
      </c>
      <c r="DA185" s="319">
        <v>464240</v>
      </c>
      <c r="DB185" s="319">
        <v>560000</v>
      </c>
      <c r="DC185" s="319">
        <v>716800</v>
      </c>
      <c r="DD185" s="319">
        <v>798560</v>
      </c>
    </row>
    <row r="186" spans="1:108" ht="12.95" customHeight="1">
      <c r="C186" s="21"/>
      <c r="E186" t="s">
        <v>167</v>
      </c>
      <c r="BN186" s="23" t="s">
        <v>231</v>
      </c>
      <c r="BS186">
        <v>4</v>
      </c>
      <c r="BT186" t="s">
        <v>64</v>
      </c>
      <c r="CB186" s="348" t="s">
        <v>61</v>
      </c>
      <c r="CC186" s="462">
        <v>2530</v>
      </c>
      <c r="CD186" s="463">
        <v>2710</v>
      </c>
      <c r="CE186" s="462">
        <v>3254</v>
      </c>
      <c r="CF186" s="463">
        <v>3760</v>
      </c>
      <c r="CG186" s="463">
        <v>4192</v>
      </c>
      <c r="CH186" s="464">
        <v>4626</v>
      </c>
      <c r="CI186" s="3"/>
      <c r="CJ186" s="855">
        <v>2414</v>
      </c>
      <c r="CK186" s="855">
        <v>2479</v>
      </c>
      <c r="CL186" s="855">
        <v>2982</v>
      </c>
      <c r="CM186" s="855">
        <v>4025</v>
      </c>
      <c r="CN186" s="855">
        <v>4383</v>
      </c>
      <c r="CR186" s="23" t="s">
        <v>227</v>
      </c>
      <c r="CS186" s="321">
        <v>442904</v>
      </c>
      <c r="CT186" s="321">
        <v>510664</v>
      </c>
      <c r="CU186" s="321">
        <v>616000</v>
      </c>
      <c r="CV186" s="321">
        <v>788480</v>
      </c>
      <c r="CW186" s="321">
        <v>878416</v>
      </c>
      <c r="CX186" s="14"/>
      <c r="CY186" s="23" t="s">
        <v>227</v>
      </c>
      <c r="CZ186" s="321">
        <v>442904</v>
      </c>
      <c r="DA186" s="321">
        <v>510664</v>
      </c>
      <c r="DB186" s="321">
        <v>616000</v>
      </c>
      <c r="DC186" s="321">
        <v>788480</v>
      </c>
      <c r="DD186" s="321">
        <v>878416</v>
      </c>
    </row>
    <row r="187" spans="1:108" ht="12.95" customHeight="1">
      <c r="C187" s="21"/>
      <c r="E187" s="2068"/>
      <c r="F187" s="2068"/>
      <c r="G187" s="2068"/>
      <c r="H187" s="2068"/>
      <c r="I187" s="2068"/>
      <c r="J187" s="2068"/>
      <c r="K187" s="2068"/>
      <c r="L187" s="2068"/>
      <c r="M187" s="2068"/>
      <c r="N187" s="2068"/>
      <c r="O187" s="2068"/>
      <c r="P187" s="2068"/>
      <c r="Q187" s="2068"/>
      <c r="R187" s="2068"/>
      <c r="S187" s="2068"/>
      <c r="T187" s="2068"/>
      <c r="U187" s="2068"/>
      <c r="V187" s="2068"/>
      <c r="W187" s="2068"/>
      <c r="X187" s="2068"/>
      <c r="Y187" s="2068"/>
      <c r="Z187" s="2068"/>
      <c r="AA187" s="2068"/>
      <c r="AB187" s="2068"/>
      <c r="AC187" s="2068"/>
      <c r="AD187" s="2068"/>
      <c r="AE187" s="2068"/>
      <c r="BN187" s="23" t="s">
        <v>232</v>
      </c>
      <c r="BS187">
        <v>6</v>
      </c>
      <c r="BT187" t="s">
        <v>65</v>
      </c>
      <c r="CB187" s="348" t="s">
        <v>62</v>
      </c>
      <c r="CC187" s="462">
        <v>2804</v>
      </c>
      <c r="CD187" s="463">
        <v>3004</v>
      </c>
      <c r="CE187" s="462">
        <v>3606</v>
      </c>
      <c r="CF187" s="463">
        <v>4168</v>
      </c>
      <c r="CG187" s="463">
        <v>4650</v>
      </c>
      <c r="CH187" s="464">
        <v>5130</v>
      </c>
      <c r="CI187" s="3"/>
      <c r="CJ187" s="855">
        <v>1915</v>
      </c>
      <c r="CK187" s="855">
        <v>2128</v>
      </c>
      <c r="CL187" s="855">
        <v>2792</v>
      </c>
      <c r="CM187" s="855">
        <v>3636</v>
      </c>
      <c r="CN187" s="855">
        <v>4144</v>
      </c>
      <c r="CR187" s="23" t="s">
        <v>229</v>
      </c>
      <c r="CS187" s="319">
        <v>406666</v>
      </c>
      <c r="CT187" s="319">
        <v>468882</v>
      </c>
      <c r="CU187" s="319">
        <v>565600</v>
      </c>
      <c r="CV187" s="319">
        <v>723968</v>
      </c>
      <c r="CW187" s="319">
        <v>806546</v>
      </c>
      <c r="CX187" s="14"/>
      <c r="CY187" s="23" t="s">
        <v>229</v>
      </c>
      <c r="CZ187" s="319">
        <v>406666</v>
      </c>
      <c r="DA187" s="319">
        <v>468882</v>
      </c>
      <c r="DB187" s="319">
        <v>565600</v>
      </c>
      <c r="DC187" s="319">
        <v>723968</v>
      </c>
      <c r="DD187" s="319">
        <v>806546</v>
      </c>
    </row>
    <row r="188" spans="1:108" ht="12.95" customHeight="1">
      <c r="C188" s="21"/>
      <c r="E188" s="2069"/>
      <c r="F188" s="2069"/>
      <c r="G188" s="2069"/>
      <c r="H188" s="2069"/>
      <c r="I188" s="2069"/>
      <c r="J188" s="2069"/>
      <c r="K188" s="2069"/>
      <c r="L188" s="2069"/>
      <c r="M188" s="2069"/>
      <c r="N188" s="2069"/>
      <c r="O188" s="2069"/>
      <c r="P188" s="2069"/>
      <c r="Q188" s="2069"/>
      <c r="R188" s="2069"/>
      <c r="S188" s="2069"/>
      <c r="T188" s="2069"/>
      <c r="U188" s="2069"/>
      <c r="V188" s="2069"/>
      <c r="W188" s="2069"/>
      <c r="X188" s="2069"/>
      <c r="Y188" s="2069"/>
      <c r="Z188" s="2069"/>
      <c r="AA188" s="2069"/>
      <c r="AB188" s="2069"/>
      <c r="AC188" s="2069"/>
      <c r="AD188" s="2069"/>
      <c r="AE188" s="2069"/>
      <c r="BN188" s="23" t="s">
        <v>234</v>
      </c>
      <c r="BS188">
        <v>7</v>
      </c>
      <c r="BT188" t="s">
        <v>66</v>
      </c>
      <c r="CB188" s="348" t="s">
        <v>63</v>
      </c>
      <c r="CC188" s="462">
        <v>1992</v>
      </c>
      <c r="CD188" s="463">
        <v>2132</v>
      </c>
      <c r="CE188" s="462">
        <v>2560</v>
      </c>
      <c r="CF188" s="463">
        <v>2958</v>
      </c>
      <c r="CG188" s="463">
        <v>3300</v>
      </c>
      <c r="CH188" s="464">
        <v>3642</v>
      </c>
      <c r="CI188" s="3"/>
      <c r="CJ188" s="855">
        <v>1352</v>
      </c>
      <c r="CK188" s="855">
        <v>1361</v>
      </c>
      <c r="CL188" s="855">
        <v>1785</v>
      </c>
      <c r="CM188" s="855">
        <v>2501</v>
      </c>
      <c r="CN188" s="855">
        <v>2997</v>
      </c>
      <c r="CR188" s="23" t="s">
        <v>230</v>
      </c>
      <c r="CS188" s="321">
        <v>402640</v>
      </c>
      <c r="CT188" s="321">
        <v>464240</v>
      </c>
      <c r="CU188" s="321">
        <v>560000</v>
      </c>
      <c r="CV188" s="321">
        <v>716800</v>
      </c>
      <c r="CW188" s="321">
        <v>798560</v>
      </c>
      <c r="CX188" s="14"/>
      <c r="CY188" s="23" t="s">
        <v>230</v>
      </c>
      <c r="CZ188" s="321">
        <v>402640</v>
      </c>
      <c r="DA188" s="321">
        <v>464240</v>
      </c>
      <c r="DB188" s="321">
        <v>560000</v>
      </c>
      <c r="DC188" s="321">
        <v>716800</v>
      </c>
      <c r="DD188" s="321">
        <v>798560</v>
      </c>
    </row>
    <row r="189" spans="1:108" ht="12.95" customHeight="1">
      <c r="C189" s="21"/>
      <c r="D189" t="s">
        <v>579</v>
      </c>
      <c r="I189" s="1703" t="s">
        <v>68</v>
      </c>
      <c r="J189" s="1697"/>
      <c r="K189" s="1697"/>
      <c r="L189" s="1697"/>
      <c r="M189" s="1697"/>
      <c r="N189" s="1697"/>
      <c r="O189" s="1697"/>
      <c r="P189" s="1697"/>
      <c r="Q189" t="s">
        <v>581</v>
      </c>
      <c r="T189" s="1697" t="s">
        <v>68</v>
      </c>
      <c r="U189" s="1697"/>
      <c r="V189" s="1697"/>
      <c r="W189" s="1697"/>
      <c r="X189" s="1697"/>
      <c r="Y189" s="1697"/>
      <c r="Z189" s="1697"/>
      <c r="AA189" s="1697"/>
      <c r="AB189" s="1697"/>
      <c r="AC189" s="1697"/>
      <c r="AD189" s="1697"/>
      <c r="AE189" s="1697"/>
      <c r="BC189" t="s">
        <v>306</v>
      </c>
      <c r="BH189" s="3" t="s">
        <v>590</v>
      </c>
      <c r="BN189" s="23" t="s">
        <v>235</v>
      </c>
      <c r="BS189">
        <v>5</v>
      </c>
      <c r="BT189" t="s">
        <v>67</v>
      </c>
      <c r="CB189" s="348" t="s">
        <v>64</v>
      </c>
      <c r="CC189" s="462">
        <v>2962</v>
      </c>
      <c r="CD189" s="463">
        <v>3172</v>
      </c>
      <c r="CE189" s="462">
        <v>3806</v>
      </c>
      <c r="CF189" s="463">
        <v>4400</v>
      </c>
      <c r="CG189" s="463">
        <v>4906</v>
      </c>
      <c r="CH189" s="464">
        <v>5416</v>
      </c>
      <c r="CI189" s="34"/>
      <c r="CJ189" s="1033">
        <v>2352</v>
      </c>
      <c r="CK189" s="1033">
        <v>2454</v>
      </c>
      <c r="CL189" s="1033">
        <v>2903</v>
      </c>
      <c r="CM189" s="1033">
        <v>3927</v>
      </c>
      <c r="CN189" s="1033">
        <v>4693</v>
      </c>
      <c r="CR189" s="23" t="s">
        <v>231</v>
      </c>
      <c r="CS189" s="319">
        <v>402065</v>
      </c>
      <c r="CT189" s="319">
        <v>463577</v>
      </c>
      <c r="CU189" s="319">
        <v>559200</v>
      </c>
      <c r="CV189" s="319">
        <v>715776</v>
      </c>
      <c r="CW189" s="319">
        <v>797419</v>
      </c>
      <c r="CX189" s="14"/>
      <c r="CY189" s="23" t="s">
        <v>231</v>
      </c>
      <c r="CZ189" s="319">
        <v>402065</v>
      </c>
      <c r="DA189" s="319">
        <v>463577</v>
      </c>
      <c r="DB189" s="319">
        <v>559200</v>
      </c>
      <c r="DC189" s="319">
        <v>715776</v>
      </c>
      <c r="DD189" s="319">
        <v>797419</v>
      </c>
    </row>
    <row r="190" spans="1:108" ht="12.95" customHeight="1">
      <c r="C190" s="21"/>
      <c r="D190" t="s">
        <v>582</v>
      </c>
      <c r="I190" s="1696">
        <v>95833</v>
      </c>
      <c r="J190" s="1696"/>
      <c r="K190" s="1696"/>
      <c r="L190" s="1696"/>
      <c r="M190" s="1696"/>
      <c r="N190" s="1696"/>
      <c r="O190" t="s">
        <v>584</v>
      </c>
      <c r="T190" s="2049">
        <v>70.209999999999994</v>
      </c>
      <c r="U190" s="2049"/>
      <c r="V190" s="2049"/>
      <c r="W190" s="2049"/>
      <c r="X190" s="2049"/>
      <c r="Y190" s="2049"/>
      <c r="Z190" s="2049"/>
      <c r="AA190" s="2049"/>
      <c r="AB190" s="2049"/>
      <c r="AC190" s="2049"/>
      <c r="AD190" s="2049"/>
      <c r="AE190" s="2049"/>
      <c r="BC190" t="s">
        <v>1038</v>
      </c>
      <c r="BH190" t="s">
        <v>1038</v>
      </c>
      <c r="BN190" s="23" t="s">
        <v>634</v>
      </c>
      <c r="BS190">
        <v>6</v>
      </c>
      <c r="BT190" t="s">
        <v>68</v>
      </c>
      <c r="CB190" s="348" t="s">
        <v>65</v>
      </c>
      <c r="CC190" s="462">
        <v>2252</v>
      </c>
      <c r="CD190" s="463">
        <v>2412</v>
      </c>
      <c r="CE190" s="462">
        <v>2894</v>
      </c>
      <c r="CF190" s="463">
        <v>3342</v>
      </c>
      <c r="CG190" s="463">
        <v>3730</v>
      </c>
      <c r="CH190" s="464">
        <v>4116</v>
      </c>
      <c r="CI190" s="34"/>
      <c r="CJ190" s="1033">
        <v>1679</v>
      </c>
      <c r="CK190" s="1033">
        <v>1777</v>
      </c>
      <c r="CL190" s="1033">
        <v>2206</v>
      </c>
      <c r="CM190" s="1033">
        <v>2992</v>
      </c>
      <c r="CN190" s="1033">
        <v>3455</v>
      </c>
      <c r="CR190" s="23" t="s">
        <v>232</v>
      </c>
      <c r="CS190" s="321">
        <v>360075</v>
      </c>
      <c r="CT190" s="321">
        <v>415163</v>
      </c>
      <c r="CU190" s="321">
        <v>500800</v>
      </c>
      <c r="CV190" s="321">
        <v>641024</v>
      </c>
      <c r="CW190" s="321">
        <v>714141</v>
      </c>
      <c r="CX190" s="14"/>
      <c r="CY190" s="23" t="s">
        <v>232</v>
      </c>
      <c r="CZ190" s="321">
        <v>360075</v>
      </c>
      <c r="DA190" s="321">
        <v>415163</v>
      </c>
      <c r="DB190" s="321">
        <v>500800</v>
      </c>
      <c r="DC190" s="321">
        <v>641024</v>
      </c>
      <c r="DD190" s="321">
        <v>714141</v>
      </c>
    </row>
    <row r="191" spans="1:108" ht="12.95" customHeight="1">
      <c r="C191" s="21"/>
      <c r="D191" t="s">
        <v>461</v>
      </c>
      <c r="N191" s="2073" t="s">
        <v>2639</v>
      </c>
      <c r="O191" s="2068"/>
      <c r="P191" s="2068"/>
      <c r="Q191" s="2068"/>
      <c r="R191" s="2068"/>
      <c r="S191" s="2068"/>
      <c r="T191" s="2068"/>
      <c r="U191" s="2068"/>
      <c r="V191" s="2068"/>
      <c r="W191" s="2068"/>
      <c r="X191" s="2068"/>
      <c r="Y191" s="2068"/>
      <c r="Z191" s="2068"/>
      <c r="AA191" s="2068"/>
      <c r="AB191" s="2068"/>
      <c r="AC191" s="2068"/>
      <c r="AD191" s="2068"/>
      <c r="AE191" s="2068"/>
      <c r="BC191" t="s">
        <v>1037</v>
      </c>
      <c r="BH191" t="s">
        <v>1037</v>
      </c>
      <c r="BN191" s="23" t="s">
        <v>687</v>
      </c>
      <c r="BS191">
        <v>4</v>
      </c>
      <c r="BT191" t="s">
        <v>726</v>
      </c>
      <c r="CB191" s="348" t="s">
        <v>66</v>
      </c>
      <c r="CC191" s="462">
        <v>1670</v>
      </c>
      <c r="CD191" s="463">
        <v>1788</v>
      </c>
      <c r="CE191" s="462">
        <v>2144</v>
      </c>
      <c r="CF191" s="463">
        <v>2478</v>
      </c>
      <c r="CG191" s="463">
        <v>2764</v>
      </c>
      <c r="CH191" s="464">
        <v>3050</v>
      </c>
      <c r="CI191" s="34"/>
      <c r="CJ191" s="1033">
        <v>904</v>
      </c>
      <c r="CK191" s="1033">
        <v>1005</v>
      </c>
      <c r="CL191" s="1033">
        <v>1318</v>
      </c>
      <c r="CM191" s="1033">
        <v>1847</v>
      </c>
      <c r="CN191" s="1033">
        <v>1883</v>
      </c>
      <c r="CR191" s="23" t="s">
        <v>234</v>
      </c>
      <c r="CS191" s="319">
        <v>402640</v>
      </c>
      <c r="CT191" s="319">
        <v>464240</v>
      </c>
      <c r="CU191" s="319">
        <v>560000</v>
      </c>
      <c r="CV191" s="319">
        <v>716800</v>
      </c>
      <c r="CW191" s="319">
        <v>798560</v>
      </c>
      <c r="CX191" s="14"/>
      <c r="CY191" s="23" t="s">
        <v>234</v>
      </c>
      <c r="CZ191" s="319">
        <v>402640</v>
      </c>
      <c r="DA191" s="319">
        <v>464240</v>
      </c>
      <c r="DB191" s="319">
        <v>560000</v>
      </c>
      <c r="DC191" s="319">
        <v>716800</v>
      </c>
      <c r="DD191" s="319">
        <v>798560</v>
      </c>
    </row>
    <row r="192" spans="1:108" ht="12.95" customHeight="1">
      <c r="C192" s="21"/>
      <c r="M192" s="40"/>
      <c r="N192" s="2069"/>
      <c r="O192" s="2069"/>
      <c r="P192" s="2069"/>
      <c r="Q192" s="2069"/>
      <c r="R192" s="2069"/>
      <c r="S192" s="2069"/>
      <c r="T192" s="2069"/>
      <c r="U192" s="2069"/>
      <c r="V192" s="2069"/>
      <c r="W192" s="2069"/>
      <c r="X192" s="2069"/>
      <c r="Y192" s="2069"/>
      <c r="Z192" s="2069"/>
      <c r="AA192" s="2069"/>
      <c r="AB192" s="2069"/>
      <c r="AC192" s="2069"/>
      <c r="AD192" s="2069"/>
      <c r="AE192" s="2069"/>
      <c r="BC192" t="s">
        <v>1040</v>
      </c>
      <c r="BH192" s="3" t="s">
        <v>1355</v>
      </c>
      <c r="BN192" s="23" t="s">
        <v>688</v>
      </c>
      <c r="BS192">
        <v>5</v>
      </c>
      <c r="BT192" t="s">
        <v>727</v>
      </c>
      <c r="CB192" s="348" t="s">
        <v>67</v>
      </c>
      <c r="CC192" s="462">
        <v>1960</v>
      </c>
      <c r="CD192" s="463">
        <v>2098</v>
      </c>
      <c r="CE192" s="462">
        <v>2516</v>
      </c>
      <c r="CF192" s="463">
        <v>2910</v>
      </c>
      <c r="CG192" s="463">
        <v>3244</v>
      </c>
      <c r="CH192" s="464">
        <v>3580</v>
      </c>
      <c r="CI192" s="34"/>
      <c r="CJ192" s="1033">
        <v>1776</v>
      </c>
      <c r="CK192" s="1033">
        <v>1852</v>
      </c>
      <c r="CL192" s="1033">
        <v>2306</v>
      </c>
      <c r="CM192" s="1033">
        <v>3079</v>
      </c>
      <c r="CN192" s="1033">
        <v>3745</v>
      </c>
      <c r="CR192" s="23" t="s">
        <v>235</v>
      </c>
      <c r="CS192" s="321">
        <v>381933</v>
      </c>
      <c r="CT192" s="321">
        <v>440365</v>
      </c>
      <c r="CU192" s="321">
        <v>531200</v>
      </c>
      <c r="CV192" s="321">
        <v>679936</v>
      </c>
      <c r="CW192" s="321">
        <v>757491</v>
      </c>
      <c r="CX192" s="14"/>
      <c r="CY192" s="23" t="s">
        <v>235</v>
      </c>
      <c r="CZ192" s="321">
        <v>381933</v>
      </c>
      <c r="DA192" s="321">
        <v>440365</v>
      </c>
      <c r="DB192" s="321">
        <v>531200</v>
      </c>
      <c r="DC192" s="321">
        <v>679936</v>
      </c>
      <c r="DD192" s="321">
        <v>757491</v>
      </c>
    </row>
    <row r="193" spans="1:108" ht="12.95" customHeight="1">
      <c r="C193" s="21"/>
      <c r="D193" t="s">
        <v>2033</v>
      </c>
      <c r="M193" s="40"/>
      <c r="N193" s="888"/>
      <c r="O193" s="888"/>
      <c r="P193" s="888"/>
      <c r="Q193" s="888"/>
      <c r="R193" s="888"/>
      <c r="S193" s="888"/>
      <c r="T193" s="2056" t="s">
        <v>2164</v>
      </c>
      <c r="U193" s="2056"/>
      <c r="V193" s="2056"/>
      <c r="W193" s="2056"/>
      <c r="X193" s="2056"/>
      <c r="Y193" s="2056"/>
      <c r="Z193" s="2056"/>
      <c r="AA193" s="2056"/>
      <c r="AB193" s="2056"/>
      <c r="AC193" s="2056"/>
      <c r="AD193" s="2056"/>
      <c r="AE193" s="2056"/>
      <c r="AF193" s="2056"/>
      <c r="AG193" s="2056"/>
      <c r="AH193" s="2056"/>
      <c r="AI193" s="2056"/>
      <c r="BC193" t="s">
        <v>1039</v>
      </c>
      <c r="BH193" s="3" t="s">
        <v>1615</v>
      </c>
      <c r="BN193" s="23" t="s">
        <v>689</v>
      </c>
      <c r="BS193">
        <v>4</v>
      </c>
      <c r="BT193" t="s">
        <v>728</v>
      </c>
      <c r="CB193" s="348" t="s">
        <v>68</v>
      </c>
      <c r="CC193" s="462">
        <v>2252</v>
      </c>
      <c r="CD193" s="463">
        <v>2412</v>
      </c>
      <c r="CE193" s="462">
        <v>2894</v>
      </c>
      <c r="CF193" s="463">
        <v>3342</v>
      </c>
      <c r="CG193" s="463">
        <v>3730</v>
      </c>
      <c r="CH193" s="464">
        <v>4116</v>
      </c>
      <c r="CI193" s="34"/>
      <c r="CJ193" s="1033">
        <v>1679</v>
      </c>
      <c r="CK193" s="1033">
        <v>1777</v>
      </c>
      <c r="CL193" s="1033">
        <v>2206</v>
      </c>
      <c r="CM193" s="1033">
        <v>2992</v>
      </c>
      <c r="CN193" s="1033">
        <v>3455</v>
      </c>
      <c r="CR193" s="23" t="s">
        <v>634</v>
      </c>
      <c r="CS193" s="319">
        <v>360075</v>
      </c>
      <c r="CT193" s="319">
        <v>415163</v>
      </c>
      <c r="CU193" s="319">
        <v>500800</v>
      </c>
      <c r="CV193" s="319">
        <v>641024</v>
      </c>
      <c r="CW193" s="319">
        <v>714141</v>
      </c>
      <c r="CX193" s="14"/>
      <c r="CY193" s="23" t="s">
        <v>634</v>
      </c>
      <c r="CZ193" s="319">
        <v>360075</v>
      </c>
      <c r="DA193" s="319">
        <v>415163</v>
      </c>
      <c r="DB193" s="319">
        <v>500800</v>
      </c>
      <c r="DC193" s="319">
        <v>641024</v>
      </c>
      <c r="DD193" s="319">
        <v>714141</v>
      </c>
    </row>
    <row r="194" spans="1:108" ht="12.95" customHeight="1">
      <c r="C194" s="21"/>
      <c r="D194" s="3" t="s">
        <v>2166</v>
      </c>
      <c r="M194" s="40"/>
      <c r="N194" s="888"/>
      <c r="O194" s="888"/>
      <c r="P194" s="888"/>
      <c r="Q194" s="888"/>
      <c r="R194" s="888"/>
      <c r="S194" s="888"/>
      <c r="AH194" s="1599" t="s">
        <v>668</v>
      </c>
      <c r="AI194" s="1599"/>
      <c r="BC194" t="s">
        <v>1355</v>
      </c>
      <c r="BN194" s="23" t="s">
        <v>690</v>
      </c>
      <c r="BS194">
        <v>2</v>
      </c>
      <c r="BT194" t="s">
        <v>729</v>
      </c>
      <c r="CB194" s="348" t="s">
        <v>726</v>
      </c>
      <c r="CC194" s="462">
        <v>2340</v>
      </c>
      <c r="CD194" s="463">
        <v>2506</v>
      </c>
      <c r="CE194" s="462">
        <v>3006</v>
      </c>
      <c r="CF194" s="463">
        <v>3472</v>
      </c>
      <c r="CG194" s="463">
        <v>3874</v>
      </c>
      <c r="CH194" s="464">
        <v>4276</v>
      </c>
      <c r="CI194" s="34"/>
      <c r="CJ194" s="1033">
        <v>1799</v>
      </c>
      <c r="CK194" s="1033">
        <v>1999</v>
      </c>
      <c r="CL194" s="1033">
        <v>2623</v>
      </c>
      <c r="CM194" s="1033">
        <v>3655</v>
      </c>
      <c r="CN194" s="1033">
        <v>4046</v>
      </c>
      <c r="CR194" s="23" t="s">
        <v>687</v>
      </c>
      <c r="CS194" s="321">
        <v>402640</v>
      </c>
      <c r="CT194" s="321">
        <v>464240</v>
      </c>
      <c r="CU194" s="321">
        <v>560000</v>
      </c>
      <c r="CV194" s="321">
        <v>716800</v>
      </c>
      <c r="CW194" s="321">
        <v>798560</v>
      </c>
      <c r="CX194" s="14"/>
      <c r="CY194" s="23" t="s">
        <v>687</v>
      </c>
      <c r="CZ194" s="321">
        <v>402640</v>
      </c>
      <c r="DA194" s="321">
        <v>464240</v>
      </c>
      <c r="DB194" s="321">
        <v>560000</v>
      </c>
      <c r="DC194" s="321">
        <v>716800</v>
      </c>
      <c r="DD194" s="321">
        <v>798560</v>
      </c>
    </row>
    <row r="195" spans="1:108" ht="12.95" customHeight="1">
      <c r="C195" s="21"/>
      <c r="D195" t="s">
        <v>330</v>
      </c>
      <c r="T195" s="1599" t="s">
        <v>668</v>
      </c>
      <c r="U195" s="1599"/>
      <c r="W195" t="s">
        <v>683</v>
      </c>
      <c r="AH195" s="1599">
        <v>6</v>
      </c>
      <c r="AI195" s="1599"/>
      <c r="BC195" t="s">
        <v>1828</v>
      </c>
      <c r="BN195" s="23" t="s">
        <v>241</v>
      </c>
      <c r="BS195">
        <v>6</v>
      </c>
      <c r="BT195" t="s">
        <v>730</v>
      </c>
      <c r="CB195" s="348" t="s">
        <v>727</v>
      </c>
      <c r="CC195" s="462">
        <v>1960</v>
      </c>
      <c r="CD195" s="463">
        <v>2098</v>
      </c>
      <c r="CE195" s="462">
        <v>2516</v>
      </c>
      <c r="CF195" s="463">
        <v>2910</v>
      </c>
      <c r="CG195" s="463">
        <v>3244</v>
      </c>
      <c r="CH195" s="464">
        <v>3580</v>
      </c>
      <c r="CI195" s="34"/>
      <c r="CJ195" s="1033">
        <v>1776</v>
      </c>
      <c r="CK195" s="1033">
        <v>1852</v>
      </c>
      <c r="CL195" s="1033">
        <v>2306</v>
      </c>
      <c r="CM195" s="1033">
        <v>3079</v>
      </c>
      <c r="CN195" s="1033">
        <v>3745</v>
      </c>
      <c r="CR195" s="23" t="s">
        <v>688</v>
      </c>
      <c r="CS195" s="319">
        <v>381933</v>
      </c>
      <c r="CT195" s="319">
        <v>440365</v>
      </c>
      <c r="CU195" s="319">
        <v>531200</v>
      </c>
      <c r="CV195" s="319">
        <v>679936</v>
      </c>
      <c r="CW195" s="319">
        <v>757491</v>
      </c>
      <c r="CX195" s="14"/>
      <c r="CY195" s="23" t="s">
        <v>688</v>
      </c>
      <c r="CZ195" s="319">
        <v>381933</v>
      </c>
      <c r="DA195" s="319">
        <v>440365</v>
      </c>
      <c r="DB195" s="319">
        <v>531200</v>
      </c>
      <c r="DC195" s="319">
        <v>679936</v>
      </c>
      <c r="DD195" s="319">
        <v>757491</v>
      </c>
    </row>
    <row r="196" spans="1:108" ht="12.95" customHeight="1">
      <c r="C196" s="21"/>
      <c r="D196" t="s">
        <v>385</v>
      </c>
      <c r="T196" s="1640" t="s">
        <v>544</v>
      </c>
      <c r="U196" s="1640"/>
      <c r="W196" t="s">
        <v>684</v>
      </c>
      <c r="AH196" s="1599">
        <v>6</v>
      </c>
      <c r="AI196" s="1599"/>
      <c r="BN196" s="23" t="s">
        <v>242</v>
      </c>
      <c r="BS196">
        <v>4</v>
      </c>
      <c r="BT196" t="s">
        <v>69</v>
      </c>
      <c r="CB196" s="348" t="s">
        <v>728</v>
      </c>
      <c r="CC196" s="462">
        <v>2894</v>
      </c>
      <c r="CD196" s="463">
        <v>3100</v>
      </c>
      <c r="CE196" s="462">
        <v>3722</v>
      </c>
      <c r="CF196" s="463">
        <v>4300</v>
      </c>
      <c r="CG196" s="463">
        <v>4796</v>
      </c>
      <c r="CH196" s="464">
        <v>5292</v>
      </c>
      <c r="CI196" s="34"/>
      <c r="CJ196" s="1033">
        <v>2145</v>
      </c>
      <c r="CK196" s="1033">
        <v>2328</v>
      </c>
      <c r="CL196" s="1033">
        <v>2881</v>
      </c>
      <c r="CM196" s="1033">
        <v>3852</v>
      </c>
      <c r="CN196" s="1033">
        <v>4690</v>
      </c>
      <c r="CR196" s="23" t="s">
        <v>689</v>
      </c>
      <c r="CS196" s="321">
        <v>392286</v>
      </c>
      <c r="CT196" s="321">
        <v>452302</v>
      </c>
      <c r="CU196" s="321">
        <v>545600</v>
      </c>
      <c r="CV196" s="321">
        <v>698368</v>
      </c>
      <c r="CW196" s="321">
        <v>778026</v>
      </c>
      <c r="CX196" s="14"/>
      <c r="CY196" s="23" t="s">
        <v>689</v>
      </c>
      <c r="CZ196" s="321">
        <v>392286</v>
      </c>
      <c r="DA196" s="321">
        <v>452302</v>
      </c>
      <c r="DB196" s="321">
        <v>545600</v>
      </c>
      <c r="DC196" s="321">
        <v>698368</v>
      </c>
      <c r="DD196" s="321">
        <v>778026</v>
      </c>
    </row>
    <row r="197" spans="1:108" ht="12.95" customHeight="1">
      <c r="C197" s="21"/>
      <c r="D197" s="3" t="s">
        <v>168</v>
      </c>
      <c r="T197" s="1640" t="s">
        <v>668</v>
      </c>
      <c r="U197" s="1640"/>
      <c r="W197" t="s">
        <v>685</v>
      </c>
      <c r="AH197" s="1599">
        <v>8</v>
      </c>
      <c r="AI197" s="1599"/>
      <c r="BC197" t="s">
        <v>306</v>
      </c>
      <c r="BN197" s="23" t="s">
        <v>243</v>
      </c>
      <c r="BS197">
        <v>2</v>
      </c>
      <c r="BT197" t="s">
        <v>70</v>
      </c>
      <c r="CB197" s="348" t="s">
        <v>729</v>
      </c>
      <c r="CC197" s="462">
        <v>3384</v>
      </c>
      <c r="CD197" s="463">
        <v>3626</v>
      </c>
      <c r="CE197" s="462">
        <v>4352</v>
      </c>
      <c r="CF197" s="463">
        <v>5028</v>
      </c>
      <c r="CG197" s="463">
        <v>5610</v>
      </c>
      <c r="CH197" s="464">
        <v>6190</v>
      </c>
      <c r="CI197" s="34"/>
      <c r="CJ197" s="1033">
        <v>2275</v>
      </c>
      <c r="CK197" s="1033">
        <v>2780</v>
      </c>
      <c r="CL197" s="1033">
        <v>3318</v>
      </c>
      <c r="CM197" s="1033">
        <v>4138</v>
      </c>
      <c r="CN197" s="1033">
        <v>4399</v>
      </c>
      <c r="CR197" s="23" t="s">
        <v>690</v>
      </c>
      <c r="CS197" s="319">
        <v>694266</v>
      </c>
      <c r="CT197" s="319">
        <v>800482</v>
      </c>
      <c r="CU197" s="319">
        <v>965600</v>
      </c>
      <c r="CV197" s="319">
        <v>1235968</v>
      </c>
      <c r="CW197" s="319">
        <v>1376946</v>
      </c>
      <c r="CX197" s="14"/>
      <c r="CY197" s="23" t="s">
        <v>690</v>
      </c>
      <c r="CZ197" s="319">
        <v>694266</v>
      </c>
      <c r="DA197" s="319">
        <v>800482</v>
      </c>
      <c r="DB197" s="319">
        <v>965600</v>
      </c>
      <c r="DC197" s="319">
        <v>1235968</v>
      </c>
      <c r="DD197" s="319">
        <v>1376946</v>
      </c>
    </row>
    <row r="198" spans="1:108" s="14" customFormat="1" ht="12.95" customHeight="1">
      <c r="A198"/>
      <c r="B198"/>
      <c r="C198" s="21"/>
      <c r="D198" s="3" t="s">
        <v>1638</v>
      </c>
      <c r="E198"/>
      <c r="F198"/>
      <c r="G198"/>
      <c r="H198"/>
      <c r="I198"/>
      <c r="J198"/>
      <c r="K198"/>
      <c r="L198"/>
      <c r="M198"/>
      <c r="N198"/>
      <c r="O198"/>
      <c r="P198"/>
      <c r="Q198"/>
      <c r="R198"/>
      <c r="S198"/>
      <c r="T198" s="1640"/>
      <c r="U198" s="1640"/>
      <c r="V198"/>
      <c r="X198" s="1737" t="s">
        <v>2435</v>
      </c>
      <c r="Y198" s="1737"/>
      <c r="Z198" s="1737"/>
      <c r="AA198" s="1737"/>
      <c r="AB198" s="1737"/>
      <c r="AC198" s="1737"/>
      <c r="AD198" s="1737"/>
      <c r="AE198" s="1737"/>
      <c r="AF198" s="1737"/>
      <c r="AG198" s="1737"/>
      <c r="AH198" s="1737"/>
      <c r="AI198" s="1737"/>
      <c r="AJ198" s="1737"/>
      <c r="AK198" s="1737"/>
      <c r="AL198" s="1737"/>
      <c r="AM198" s="1737"/>
      <c r="AN198" s="1737"/>
      <c r="AO198" s="1737"/>
      <c r="AP198" s="1737"/>
      <c r="AQ198" s="1737"/>
      <c r="AR198" s="1737"/>
      <c r="AS198" s="1737"/>
      <c r="AT198" s="1737"/>
      <c r="AU198"/>
      <c r="AV198"/>
      <c r="AW198"/>
      <c r="AX198"/>
      <c r="AY198"/>
      <c r="AZ198" s="30"/>
      <c r="BA198" s="30"/>
      <c r="BC198" s="14" t="s">
        <v>590</v>
      </c>
      <c r="BD198"/>
      <c r="BN198" s="23" t="s">
        <v>696</v>
      </c>
      <c r="BO198"/>
      <c r="BP198"/>
      <c r="BQ198"/>
      <c r="BR198"/>
      <c r="BS198">
        <v>4</v>
      </c>
      <c r="BT198" t="s">
        <v>190</v>
      </c>
      <c r="BU198"/>
      <c r="BV198" s="31"/>
      <c r="CB198" s="348" t="s">
        <v>730</v>
      </c>
      <c r="CC198" s="462">
        <v>1832</v>
      </c>
      <c r="CD198" s="463">
        <v>1962</v>
      </c>
      <c r="CE198" s="462">
        <v>2354</v>
      </c>
      <c r="CF198" s="463">
        <v>2720</v>
      </c>
      <c r="CG198" s="463">
        <v>3034</v>
      </c>
      <c r="CH198" s="464">
        <v>3348</v>
      </c>
      <c r="CI198" s="3"/>
      <c r="CJ198" s="855">
        <v>1248</v>
      </c>
      <c r="CK198" s="855">
        <v>1363</v>
      </c>
      <c r="CL198" s="855">
        <v>1736</v>
      </c>
      <c r="CM198" s="855">
        <v>2433</v>
      </c>
      <c r="CN198" s="855">
        <v>2915</v>
      </c>
      <c r="CR198" s="23" t="s">
        <v>241</v>
      </c>
      <c r="CS198" s="321">
        <v>323262</v>
      </c>
      <c r="CT198" s="321">
        <v>372718</v>
      </c>
      <c r="CU198" s="321">
        <v>449600</v>
      </c>
      <c r="CV198" s="321">
        <v>575488</v>
      </c>
      <c r="CW198" s="321">
        <v>641130</v>
      </c>
      <c r="CY198" s="23" t="s">
        <v>241</v>
      </c>
      <c r="CZ198" s="321">
        <v>323262</v>
      </c>
      <c r="DA198" s="321">
        <v>372718</v>
      </c>
      <c r="DB198" s="321">
        <v>449600</v>
      </c>
      <c r="DC198" s="321">
        <v>575488</v>
      </c>
      <c r="DD198" s="321">
        <v>641130</v>
      </c>
    </row>
    <row r="199" spans="1:108" s="14" customFormat="1" ht="12.95" customHeight="1">
      <c r="A199"/>
      <c r="B199"/>
      <c r="C199" s="21"/>
      <c r="D199" s="118" t="s">
        <v>2438</v>
      </c>
      <c r="E199"/>
      <c r="F199"/>
      <c r="G199"/>
      <c r="H199"/>
      <c r="I199"/>
      <c r="J199"/>
      <c r="K199"/>
      <c r="L199"/>
      <c r="M199"/>
      <c r="N199"/>
      <c r="O199"/>
      <c r="P199"/>
      <c r="Q199"/>
      <c r="R199"/>
      <c r="S199"/>
      <c r="T199" s="1599" t="s">
        <v>668</v>
      </c>
      <c r="U199" s="1599"/>
      <c r="V199"/>
      <c r="W199"/>
      <c r="X199" s="1737"/>
      <c r="Y199" s="1737"/>
      <c r="Z199" s="1737"/>
      <c r="AA199" s="1737"/>
      <c r="AB199" s="1737"/>
      <c r="AC199" s="1737"/>
      <c r="AD199" s="1737"/>
      <c r="AE199" s="1737"/>
      <c r="AF199" s="1737"/>
      <c r="AG199" s="1737"/>
      <c r="AH199" s="1737"/>
      <c r="AI199" s="1737"/>
      <c r="AJ199" s="1737"/>
      <c r="AK199" s="1737"/>
      <c r="AL199" s="1737"/>
      <c r="AM199" s="1737"/>
      <c r="AN199" s="1737"/>
      <c r="AO199" s="1737"/>
      <c r="AP199" s="1737"/>
      <c r="AQ199" s="1737"/>
      <c r="AR199" s="1737"/>
      <c r="AS199" s="1737"/>
      <c r="AT199" s="1737"/>
      <c r="AU199"/>
      <c r="AV199"/>
      <c r="AW199"/>
      <c r="AX199"/>
      <c r="AY199"/>
      <c r="AZ199" s="30"/>
      <c r="BA199" s="30"/>
      <c r="BC199" t="s">
        <v>872</v>
      </c>
      <c r="BD199"/>
      <c r="BN199" s="23" t="s">
        <v>697</v>
      </c>
      <c r="BO199"/>
      <c r="BP199"/>
      <c r="BQ199"/>
      <c r="BR199"/>
      <c r="BS199">
        <v>2</v>
      </c>
      <c r="BT199" s="32" t="s">
        <v>191</v>
      </c>
      <c r="BU199"/>
      <c r="BV199" s="31"/>
      <c r="CB199" s="348" t="s">
        <v>69</v>
      </c>
      <c r="CC199" s="462">
        <v>2432</v>
      </c>
      <c r="CD199" s="463">
        <v>2606</v>
      </c>
      <c r="CE199" s="462">
        <v>3126</v>
      </c>
      <c r="CF199" s="463">
        <v>3612</v>
      </c>
      <c r="CG199" s="463">
        <v>4032</v>
      </c>
      <c r="CH199" s="464">
        <v>4448</v>
      </c>
      <c r="CI199" s="3"/>
      <c r="CJ199" s="855">
        <v>1669</v>
      </c>
      <c r="CK199" s="855">
        <v>1855</v>
      </c>
      <c r="CL199" s="855">
        <v>2434</v>
      </c>
      <c r="CM199" s="855">
        <v>3250</v>
      </c>
      <c r="CN199" s="855">
        <v>3683</v>
      </c>
      <c r="CR199" s="23" t="s">
        <v>242</v>
      </c>
      <c r="CS199" s="319">
        <v>442904</v>
      </c>
      <c r="CT199" s="319">
        <v>510664</v>
      </c>
      <c r="CU199" s="319">
        <v>616000</v>
      </c>
      <c r="CV199" s="319">
        <v>788480</v>
      </c>
      <c r="CW199" s="319">
        <v>878416</v>
      </c>
      <c r="CY199" s="23" t="s">
        <v>242</v>
      </c>
      <c r="CZ199" s="319">
        <v>442904</v>
      </c>
      <c r="DA199" s="319">
        <v>510664</v>
      </c>
      <c r="DB199" s="319">
        <v>616000</v>
      </c>
      <c r="DC199" s="319">
        <v>788480</v>
      </c>
      <c r="DD199" s="319">
        <v>878416</v>
      </c>
    </row>
    <row r="200" spans="1:108" s="14" customFormat="1" ht="12.95" customHeight="1">
      <c r="A200"/>
      <c r="B200"/>
      <c r="C200" s="21"/>
      <c r="D200" s="14" t="s">
        <v>2436</v>
      </c>
      <c r="T200" s="1599" t="s">
        <v>668</v>
      </c>
      <c r="U200" s="1599"/>
      <c r="V200"/>
      <c r="W200"/>
      <c r="X200"/>
      <c r="Y200"/>
      <c r="AA200"/>
      <c r="AB200" s="1179" t="s">
        <v>915</v>
      </c>
      <c r="AC200"/>
      <c r="AF200"/>
      <c r="AG200"/>
      <c r="AH200" s="1"/>
      <c r="AJ200"/>
      <c r="AK200"/>
      <c r="AL200"/>
      <c r="AM200"/>
      <c r="AN200"/>
      <c r="AO200"/>
      <c r="AP200"/>
      <c r="AQ200"/>
      <c r="AR200"/>
      <c r="AS200"/>
      <c r="AU200"/>
      <c r="AV200"/>
      <c r="AW200"/>
      <c r="AX200"/>
      <c r="AY200"/>
      <c r="AZ200" s="30"/>
      <c r="BA200" s="30"/>
      <c r="BC200" s="3" t="s">
        <v>871</v>
      </c>
      <c r="BD200" s="434"/>
      <c r="BN200" s="23" t="s">
        <v>698</v>
      </c>
      <c r="BO200"/>
      <c r="BP200"/>
      <c r="BQ200"/>
      <c r="BR200"/>
      <c r="BS200">
        <v>2</v>
      </c>
      <c r="BT200" s="32" t="s">
        <v>192</v>
      </c>
      <c r="BU200"/>
      <c r="CB200" s="348" t="s">
        <v>70</v>
      </c>
      <c r="CC200" s="462">
        <v>3384</v>
      </c>
      <c r="CD200" s="463">
        <v>3626</v>
      </c>
      <c r="CE200" s="462">
        <v>4352</v>
      </c>
      <c r="CF200" s="463">
        <v>5028</v>
      </c>
      <c r="CG200" s="463">
        <v>5610</v>
      </c>
      <c r="CH200" s="464">
        <v>6190</v>
      </c>
      <c r="CI200" s="3"/>
      <c r="CJ200" s="855">
        <v>2275</v>
      </c>
      <c r="CK200" s="855">
        <v>2780</v>
      </c>
      <c r="CL200" s="855">
        <v>3318</v>
      </c>
      <c r="CM200" s="855">
        <v>4138</v>
      </c>
      <c r="CN200" s="855">
        <v>4399</v>
      </c>
      <c r="CR200" s="23" t="s">
        <v>243</v>
      </c>
      <c r="CS200" s="320">
        <v>532060</v>
      </c>
      <c r="CT200" s="320">
        <v>613460</v>
      </c>
      <c r="CU200" s="321">
        <v>740000</v>
      </c>
      <c r="CV200" s="320">
        <v>947200</v>
      </c>
      <c r="CW200" s="320">
        <v>1055240</v>
      </c>
      <c r="CY200" s="23" t="s">
        <v>243</v>
      </c>
      <c r="CZ200" s="320">
        <v>532060</v>
      </c>
      <c r="DA200" s="320">
        <v>613460</v>
      </c>
      <c r="DB200" s="320">
        <v>740000</v>
      </c>
      <c r="DC200" s="320">
        <v>947200</v>
      </c>
      <c r="DD200" s="320">
        <v>1055240</v>
      </c>
    </row>
    <row r="201" spans="1:108" s="14" customFormat="1" ht="12.95" customHeight="1">
      <c r="A201"/>
      <c r="B201"/>
      <c r="C201" s="21"/>
      <c r="E201" s="3" t="s">
        <v>2437</v>
      </c>
      <c r="V201"/>
      <c r="X201"/>
      <c r="Y201"/>
      <c r="Z201"/>
      <c r="AB201" s="1179" t="s">
        <v>916</v>
      </c>
      <c r="AC201"/>
      <c r="AH201" s="1"/>
      <c r="AJ201"/>
      <c r="AK201"/>
      <c r="AL201"/>
      <c r="AM201"/>
      <c r="AN201"/>
      <c r="AO201"/>
      <c r="AP201"/>
      <c r="AQ201"/>
      <c r="AR201"/>
      <c r="AS201"/>
      <c r="AU201"/>
      <c r="AV201"/>
      <c r="AW201"/>
      <c r="AX201"/>
      <c r="AY201"/>
      <c r="AZ201" s="30"/>
      <c r="BA201" s="30"/>
      <c r="BC201" s="3" t="s">
        <v>1058</v>
      </c>
      <c r="BD201" s="434"/>
      <c r="BN201" s="23" t="s">
        <v>699</v>
      </c>
      <c r="BO201" s="31"/>
      <c r="BP201" s="32"/>
      <c r="BQ201" s="32"/>
      <c r="BR201" s="32"/>
      <c r="BS201">
        <v>6</v>
      </c>
      <c r="BT201" s="32" t="s">
        <v>193</v>
      </c>
      <c r="BU201"/>
      <c r="CB201" s="348" t="s">
        <v>190</v>
      </c>
      <c r="CC201" s="462">
        <v>3090</v>
      </c>
      <c r="CD201" s="463">
        <v>3310</v>
      </c>
      <c r="CE201" s="462">
        <v>3972</v>
      </c>
      <c r="CF201" s="463">
        <v>4590</v>
      </c>
      <c r="CG201" s="463">
        <v>5120</v>
      </c>
      <c r="CH201" s="464">
        <v>5648</v>
      </c>
      <c r="CI201" s="3"/>
      <c r="CJ201" s="855">
        <v>2381</v>
      </c>
      <c r="CK201" s="855">
        <v>2688</v>
      </c>
      <c r="CL201" s="855">
        <v>3028</v>
      </c>
      <c r="CM201" s="855">
        <v>4011</v>
      </c>
      <c r="CN201" s="855">
        <v>4468</v>
      </c>
      <c r="CR201" s="23" t="s">
        <v>696</v>
      </c>
      <c r="CS201" s="319">
        <v>442904</v>
      </c>
      <c r="CT201" s="319">
        <v>510664</v>
      </c>
      <c r="CU201" s="319">
        <v>616000</v>
      </c>
      <c r="CV201" s="319">
        <v>788480</v>
      </c>
      <c r="CW201" s="319">
        <v>878416</v>
      </c>
      <c r="CY201" s="23" t="s">
        <v>696</v>
      </c>
      <c r="CZ201" s="319">
        <v>442904</v>
      </c>
      <c r="DA201" s="319">
        <v>510664</v>
      </c>
      <c r="DB201" s="319">
        <v>616000</v>
      </c>
      <c r="DC201" s="319">
        <v>788480</v>
      </c>
      <c r="DD201" s="319">
        <v>878416</v>
      </c>
    </row>
    <row r="202" spans="1:108" ht="12.95" customHeight="1">
      <c r="C202" s="21"/>
      <c r="AE202" s="8"/>
      <c r="BC202" t="s">
        <v>610</v>
      </c>
      <c r="BD202" s="434"/>
      <c r="BN202" s="23" t="s">
        <v>700</v>
      </c>
      <c r="BO202" s="14"/>
      <c r="BP202" s="32"/>
      <c r="BQ202" s="32"/>
      <c r="BR202" s="32"/>
      <c r="BS202">
        <v>7</v>
      </c>
      <c r="BT202" s="32" t="s">
        <v>194</v>
      </c>
      <c r="CB202" s="348" t="s">
        <v>191</v>
      </c>
      <c r="CC202" s="462">
        <v>3516</v>
      </c>
      <c r="CD202" s="463">
        <v>3768</v>
      </c>
      <c r="CE202" s="462">
        <v>4522</v>
      </c>
      <c r="CF202" s="463">
        <v>5222</v>
      </c>
      <c r="CG202" s="463">
        <v>5826</v>
      </c>
      <c r="CH202" s="464">
        <v>6430</v>
      </c>
      <c r="CI202" s="3"/>
      <c r="CJ202" s="855">
        <v>2608</v>
      </c>
      <c r="CK202" s="855">
        <v>2975</v>
      </c>
      <c r="CL202" s="855">
        <v>3446</v>
      </c>
      <c r="CM202" s="855">
        <v>4477</v>
      </c>
      <c r="CN202" s="855">
        <v>4878</v>
      </c>
      <c r="CR202" s="23" t="s">
        <v>697</v>
      </c>
      <c r="CS202" s="320">
        <v>532060</v>
      </c>
      <c r="CT202" s="320">
        <v>613460</v>
      </c>
      <c r="CU202" s="320">
        <v>740000</v>
      </c>
      <c r="CV202" s="320">
        <v>947200</v>
      </c>
      <c r="CW202" s="320">
        <v>1055240</v>
      </c>
      <c r="CX202" s="14"/>
      <c r="CY202" s="23" t="s">
        <v>697</v>
      </c>
      <c r="CZ202" s="320">
        <v>532060</v>
      </c>
      <c r="DA202" s="320">
        <v>613460</v>
      </c>
      <c r="DB202" s="320">
        <v>740000</v>
      </c>
      <c r="DC202" s="320">
        <v>947200</v>
      </c>
      <c r="DD202" s="320">
        <v>1055240</v>
      </c>
    </row>
    <row r="203" spans="1:108" ht="12.95" customHeight="1">
      <c r="A203" s="2" t="s">
        <v>585</v>
      </c>
      <c r="C203" s="2" t="s">
        <v>136</v>
      </c>
      <c r="BC203" t="s">
        <v>1059</v>
      </c>
      <c r="BN203" s="23" t="s">
        <v>701</v>
      </c>
      <c r="BO203" s="14"/>
      <c r="BP203" s="32"/>
      <c r="BQ203" s="32"/>
      <c r="BR203" s="32"/>
      <c r="BS203">
        <v>7</v>
      </c>
      <c r="BT203" s="32" t="s">
        <v>195</v>
      </c>
      <c r="CB203" s="348" t="s">
        <v>192</v>
      </c>
      <c r="CC203" s="462">
        <v>3462</v>
      </c>
      <c r="CD203" s="463">
        <v>3708</v>
      </c>
      <c r="CE203" s="462">
        <v>4450</v>
      </c>
      <c r="CF203" s="463">
        <v>5142</v>
      </c>
      <c r="CG203" s="463">
        <v>5734</v>
      </c>
      <c r="CH203" s="464">
        <v>6330</v>
      </c>
      <c r="CI203" s="3"/>
      <c r="CJ203" s="855">
        <v>3056</v>
      </c>
      <c r="CK203" s="855">
        <v>3221</v>
      </c>
      <c r="CL203" s="855">
        <v>4223</v>
      </c>
      <c r="CM203" s="855">
        <v>5256</v>
      </c>
      <c r="CN203" s="855">
        <v>5605</v>
      </c>
      <c r="CR203" s="23" t="s">
        <v>698</v>
      </c>
      <c r="CS203" s="319">
        <v>442904</v>
      </c>
      <c r="CT203" s="319">
        <v>510664</v>
      </c>
      <c r="CU203" s="319">
        <v>616000</v>
      </c>
      <c r="CV203" s="319">
        <v>788480</v>
      </c>
      <c r="CW203" s="319">
        <v>878416</v>
      </c>
      <c r="CX203" s="14"/>
      <c r="CY203" s="23" t="s">
        <v>698</v>
      </c>
      <c r="CZ203" s="319">
        <v>442904</v>
      </c>
      <c r="DA203" s="319">
        <v>510664</v>
      </c>
      <c r="DB203" s="319">
        <v>616000</v>
      </c>
      <c r="DC203" s="319">
        <v>788480</v>
      </c>
      <c r="DD203" s="319">
        <v>878416</v>
      </c>
    </row>
    <row r="204" spans="1:108" ht="12.95" customHeight="1">
      <c r="D204" s="1695" t="s">
        <v>384</v>
      </c>
      <c r="E204" s="1695"/>
      <c r="F204" s="1695"/>
      <c r="G204" s="1695"/>
      <c r="H204" s="1695"/>
      <c r="I204" s="1695"/>
      <c r="J204" s="1695"/>
      <c r="K204" s="1695"/>
      <c r="L204" s="1695"/>
      <c r="M204" s="1695"/>
      <c r="P204" s="2061">
        <f>M26</f>
        <v>2859066</v>
      </c>
      <c r="Q204" s="2062"/>
      <c r="R204" s="2062"/>
      <c r="S204" s="2062"/>
      <c r="T204" s="2062"/>
      <c r="U204" s="2062"/>
      <c r="BC204" t="s">
        <v>1060</v>
      </c>
      <c r="BN204" s="23" t="s">
        <v>702</v>
      </c>
      <c r="BS204">
        <v>6</v>
      </c>
      <c r="BT204" s="32" t="s">
        <v>196</v>
      </c>
      <c r="BU204" s="14"/>
      <c r="CB204" s="348" t="s">
        <v>193</v>
      </c>
      <c r="CC204" s="462">
        <v>1702</v>
      </c>
      <c r="CD204" s="463">
        <v>1822</v>
      </c>
      <c r="CE204" s="462">
        <v>2190</v>
      </c>
      <c r="CF204" s="463">
        <v>2530</v>
      </c>
      <c r="CG204" s="463">
        <v>2822</v>
      </c>
      <c r="CH204" s="464">
        <v>3114</v>
      </c>
      <c r="CI204" s="3"/>
      <c r="CJ204" s="855">
        <v>1151</v>
      </c>
      <c r="CK204" s="855">
        <v>1229</v>
      </c>
      <c r="CL204" s="855">
        <v>1613</v>
      </c>
      <c r="CM204" s="855">
        <v>2260</v>
      </c>
      <c r="CN204" s="855">
        <v>2709</v>
      </c>
      <c r="CR204" s="23" t="s">
        <v>699</v>
      </c>
      <c r="CS204" s="321">
        <v>369278</v>
      </c>
      <c r="CT204" s="321">
        <v>425774</v>
      </c>
      <c r="CU204" s="321">
        <v>513600</v>
      </c>
      <c r="CV204" s="321">
        <v>657408</v>
      </c>
      <c r="CW204" s="321">
        <v>732394</v>
      </c>
      <c r="CX204" s="14"/>
      <c r="CY204" s="23" t="s">
        <v>699</v>
      </c>
      <c r="CZ204" s="321">
        <v>369278</v>
      </c>
      <c r="DA204" s="321">
        <v>425774</v>
      </c>
      <c r="DB204" s="321">
        <v>513600</v>
      </c>
      <c r="DC204" s="321">
        <v>657408</v>
      </c>
      <c r="DD204" s="321">
        <v>732394</v>
      </c>
    </row>
    <row r="205" spans="1:108" ht="12.95" customHeight="1">
      <c r="C205" s="21"/>
      <c r="D205" s="2072" t="s">
        <v>1244</v>
      </c>
      <c r="E205" s="1695"/>
      <c r="F205" s="1695"/>
      <c r="G205" s="1695"/>
      <c r="H205" s="1695"/>
      <c r="I205" s="1695"/>
      <c r="J205" s="1695"/>
      <c r="K205" s="1695"/>
      <c r="L205" s="1695"/>
      <c r="M205" s="1695"/>
      <c r="P205" s="2062">
        <f>M27</f>
        <v>16248638</v>
      </c>
      <c r="Q205" s="2062"/>
      <c r="R205" s="2062"/>
      <c r="S205" s="2062"/>
      <c r="T205" s="2062"/>
      <c r="U205" s="2062"/>
      <c r="V205" s="28"/>
      <c r="W205" s="3" t="s">
        <v>1706</v>
      </c>
      <c r="Z205" s="2070" t="s">
        <v>2170</v>
      </c>
      <c r="AA205" s="2070"/>
      <c r="AB205" s="2070"/>
      <c r="AC205" s="2070"/>
      <c r="AD205" s="2070"/>
      <c r="AE205" s="2070"/>
      <c r="AF205" s="2070"/>
      <c r="AG205" s="2070"/>
      <c r="AH205" s="2070"/>
      <c r="AI205" s="2070"/>
      <c r="AJ205" s="2070"/>
      <c r="AK205" s="2070"/>
      <c r="AL205" s="2070"/>
      <c r="AM205" s="2070"/>
      <c r="AN205" s="2070"/>
      <c r="AP205" s="1601"/>
      <c r="AQ205" s="1601"/>
      <c r="BC205" t="s">
        <v>609</v>
      </c>
      <c r="BN205" s="23" t="s">
        <v>109</v>
      </c>
      <c r="BS205">
        <v>4</v>
      </c>
      <c r="BT205" s="32" t="s">
        <v>173</v>
      </c>
      <c r="BU205" s="14"/>
      <c r="CB205" s="348" t="s">
        <v>194</v>
      </c>
      <c r="CC205" s="462">
        <v>1644</v>
      </c>
      <c r="CD205" s="463">
        <v>1762</v>
      </c>
      <c r="CE205" s="462">
        <v>2114</v>
      </c>
      <c r="CF205" s="463">
        <v>2442</v>
      </c>
      <c r="CG205" s="463">
        <v>2724</v>
      </c>
      <c r="CH205" s="464">
        <v>3006</v>
      </c>
      <c r="CI205" s="3"/>
      <c r="CJ205" s="855">
        <v>1003</v>
      </c>
      <c r="CK205" s="855">
        <v>1101</v>
      </c>
      <c r="CL205" s="855">
        <v>1445</v>
      </c>
      <c r="CM205" s="855">
        <v>2025</v>
      </c>
      <c r="CN205" s="855">
        <v>2396</v>
      </c>
      <c r="CR205" s="23" t="s">
        <v>700</v>
      </c>
      <c r="CS205" s="319">
        <v>402640</v>
      </c>
      <c r="CT205" s="319">
        <v>464240</v>
      </c>
      <c r="CU205" s="319">
        <v>560000</v>
      </c>
      <c r="CV205" s="319">
        <v>716800</v>
      </c>
      <c r="CW205" s="319">
        <v>798560</v>
      </c>
      <c r="CX205" s="14"/>
      <c r="CY205" s="23" t="s">
        <v>700</v>
      </c>
      <c r="CZ205" s="319">
        <v>402640</v>
      </c>
      <c r="DA205" s="319">
        <v>464240</v>
      </c>
      <c r="DB205" s="319">
        <v>560000</v>
      </c>
      <c r="DC205" s="319">
        <v>716800</v>
      </c>
      <c r="DD205" s="319">
        <v>798560</v>
      </c>
    </row>
    <row r="206" spans="1:108" ht="12.95" customHeight="1">
      <c r="D206" s="29"/>
      <c r="E206" s="29"/>
      <c r="F206" s="29"/>
      <c r="G206" s="29"/>
      <c r="H206" s="29"/>
      <c r="I206" s="29"/>
      <c r="J206" s="29"/>
      <c r="K206" s="29"/>
      <c r="L206" s="29"/>
      <c r="M206" s="29"/>
      <c r="N206" s="29"/>
      <c r="O206" s="29"/>
      <c r="P206" s="29"/>
      <c r="BC206" t="s">
        <v>1023</v>
      </c>
      <c r="BN206" s="23" t="s">
        <v>110</v>
      </c>
      <c r="BS206">
        <v>5</v>
      </c>
      <c r="BT206" s="32" t="s">
        <v>197</v>
      </c>
      <c r="BU206" s="14"/>
      <c r="CB206" s="348" t="s">
        <v>195</v>
      </c>
      <c r="CC206" s="462">
        <v>1644</v>
      </c>
      <c r="CD206" s="463">
        <v>1762</v>
      </c>
      <c r="CE206" s="462">
        <v>2114</v>
      </c>
      <c r="CF206" s="463">
        <v>2442</v>
      </c>
      <c r="CG206" s="463">
        <v>2724</v>
      </c>
      <c r="CH206" s="464">
        <v>3006</v>
      </c>
      <c r="CI206" s="3"/>
      <c r="CJ206" s="855">
        <v>924</v>
      </c>
      <c r="CK206" s="855">
        <v>930</v>
      </c>
      <c r="CL206" s="855">
        <v>1201</v>
      </c>
      <c r="CM206" s="855">
        <v>1683</v>
      </c>
      <c r="CN206" s="855">
        <v>1834</v>
      </c>
      <c r="CR206" s="23" t="s">
        <v>701</v>
      </c>
      <c r="CS206" s="321">
        <v>402640</v>
      </c>
      <c r="CT206" s="321">
        <v>464240</v>
      </c>
      <c r="CU206" s="321">
        <v>560000</v>
      </c>
      <c r="CV206" s="321">
        <v>716800</v>
      </c>
      <c r="CW206" s="321">
        <v>798560</v>
      </c>
      <c r="CX206" s="14"/>
      <c r="CY206" s="23" t="s">
        <v>701</v>
      </c>
      <c r="CZ206" s="321">
        <v>402640</v>
      </c>
      <c r="DA206" s="321">
        <v>464240</v>
      </c>
      <c r="DB206" s="321">
        <v>560000</v>
      </c>
      <c r="DC206" s="321">
        <v>716800</v>
      </c>
      <c r="DD206" s="321">
        <v>798560</v>
      </c>
    </row>
    <row r="207" spans="1:108" ht="12.95" customHeight="1">
      <c r="A207" s="2" t="s">
        <v>588</v>
      </c>
      <c r="C207" s="2" t="s">
        <v>550</v>
      </c>
      <c r="BC207" s="435" t="s">
        <v>1061</v>
      </c>
      <c r="BN207" s="23" t="s">
        <v>45</v>
      </c>
      <c r="BS207">
        <v>6</v>
      </c>
      <c r="BT207" s="32" t="s">
        <v>198</v>
      </c>
      <c r="CB207" s="348" t="s">
        <v>196</v>
      </c>
      <c r="CC207" s="462">
        <v>2404</v>
      </c>
      <c r="CD207" s="463">
        <v>2576</v>
      </c>
      <c r="CE207" s="462">
        <v>3092</v>
      </c>
      <c r="CF207" s="463">
        <v>3572</v>
      </c>
      <c r="CG207" s="463">
        <v>3984</v>
      </c>
      <c r="CH207" s="464">
        <v>4396</v>
      </c>
      <c r="CI207" s="3"/>
      <c r="CJ207" s="855">
        <v>1724</v>
      </c>
      <c r="CK207" s="855">
        <v>1894</v>
      </c>
      <c r="CL207" s="855">
        <v>2420</v>
      </c>
      <c r="CM207" s="855">
        <v>3234</v>
      </c>
      <c r="CN207" s="855">
        <v>3663</v>
      </c>
      <c r="CR207" s="23" t="s">
        <v>702</v>
      </c>
      <c r="CS207" s="319">
        <v>406666</v>
      </c>
      <c r="CT207" s="319">
        <v>468882</v>
      </c>
      <c r="CU207" s="319">
        <v>565600</v>
      </c>
      <c r="CV207" s="319">
        <v>723968</v>
      </c>
      <c r="CW207" s="319">
        <v>806546</v>
      </c>
      <c r="CX207" s="14"/>
      <c r="CY207" s="23" t="s">
        <v>702</v>
      </c>
      <c r="CZ207" s="319">
        <v>406666</v>
      </c>
      <c r="DA207" s="319">
        <v>468882</v>
      </c>
      <c r="DB207" s="319">
        <v>565600</v>
      </c>
      <c r="DC207" s="319">
        <v>723968</v>
      </c>
      <c r="DD207" s="319">
        <v>806546</v>
      </c>
    </row>
    <row r="208" spans="1:108" ht="12.95" customHeight="1">
      <c r="C208" s="21"/>
      <c r="D208" s="1740" t="s">
        <v>2644</v>
      </c>
      <c r="E208" s="1740"/>
      <c r="F208" s="1740"/>
      <c r="G208" s="1740"/>
      <c r="H208" s="1740"/>
      <c r="I208" s="1740"/>
      <c r="J208" s="1740"/>
      <c r="K208" s="1740"/>
      <c r="L208" s="1740"/>
      <c r="M208" s="1740"/>
      <c r="BC208" s="3" t="s">
        <v>2157</v>
      </c>
      <c r="BN208" s="23" t="s">
        <v>46</v>
      </c>
      <c r="BS208">
        <v>7</v>
      </c>
      <c r="BT208" s="32" t="s">
        <v>199</v>
      </c>
      <c r="CB208" s="348" t="s">
        <v>173</v>
      </c>
      <c r="CC208" s="462">
        <v>2642</v>
      </c>
      <c r="CD208" s="463">
        <v>2830</v>
      </c>
      <c r="CE208" s="462">
        <v>3396</v>
      </c>
      <c r="CF208" s="463">
        <v>3926</v>
      </c>
      <c r="CG208" s="463">
        <v>4380</v>
      </c>
      <c r="CH208" s="464">
        <v>4832</v>
      </c>
      <c r="CI208" s="3"/>
      <c r="CJ208" s="855">
        <v>1879</v>
      </c>
      <c r="CK208" s="855">
        <v>2089</v>
      </c>
      <c r="CL208" s="855">
        <v>2740</v>
      </c>
      <c r="CM208" s="855">
        <v>3743</v>
      </c>
      <c r="CN208" s="855">
        <v>3960</v>
      </c>
      <c r="CR208" s="23" t="s">
        <v>109</v>
      </c>
      <c r="CS208" s="321">
        <v>406666</v>
      </c>
      <c r="CT208" s="321">
        <v>468882</v>
      </c>
      <c r="CU208" s="321">
        <v>565600</v>
      </c>
      <c r="CV208" s="321">
        <v>723968</v>
      </c>
      <c r="CW208" s="321">
        <v>806546</v>
      </c>
      <c r="CX208" s="14"/>
      <c r="CY208" s="23" t="s">
        <v>109</v>
      </c>
      <c r="CZ208" s="321">
        <v>406666</v>
      </c>
      <c r="DA208" s="321">
        <v>468882</v>
      </c>
      <c r="DB208" s="321">
        <v>565600</v>
      </c>
      <c r="DC208" s="321">
        <v>723968</v>
      </c>
      <c r="DD208" s="321">
        <v>806546</v>
      </c>
    </row>
    <row r="209" spans="1:108" ht="12.95" customHeight="1">
      <c r="BC209" t="s">
        <v>1062</v>
      </c>
      <c r="BN209" s="23" t="s">
        <v>47</v>
      </c>
      <c r="BS209">
        <v>7</v>
      </c>
      <c r="BT209" s="32" t="s">
        <v>200</v>
      </c>
      <c r="CB209" s="348" t="s">
        <v>197</v>
      </c>
      <c r="CC209" s="462">
        <v>1724</v>
      </c>
      <c r="CD209" s="463">
        <v>1846</v>
      </c>
      <c r="CE209" s="462">
        <v>2216</v>
      </c>
      <c r="CF209" s="463">
        <v>2560</v>
      </c>
      <c r="CG209" s="463">
        <v>2856</v>
      </c>
      <c r="CH209" s="464">
        <v>3152</v>
      </c>
      <c r="CI209" s="3"/>
      <c r="CJ209" s="855">
        <v>1130</v>
      </c>
      <c r="CK209" s="855">
        <v>1209</v>
      </c>
      <c r="CL209" s="855">
        <v>1566</v>
      </c>
      <c r="CM209" s="855">
        <v>2194</v>
      </c>
      <c r="CN209" s="855">
        <v>2549</v>
      </c>
      <c r="CR209" s="23" t="s">
        <v>110</v>
      </c>
      <c r="CS209" s="319">
        <v>323262</v>
      </c>
      <c r="CT209" s="319">
        <v>372718</v>
      </c>
      <c r="CU209" s="319">
        <v>449600</v>
      </c>
      <c r="CV209" s="319">
        <v>575488</v>
      </c>
      <c r="CW209" s="319">
        <v>641130</v>
      </c>
      <c r="CX209" s="14"/>
      <c r="CY209" s="23" t="s">
        <v>110</v>
      </c>
      <c r="CZ209" s="319">
        <v>323262</v>
      </c>
      <c r="DA209" s="319">
        <v>372718</v>
      </c>
      <c r="DB209" s="319">
        <v>449600</v>
      </c>
      <c r="DC209" s="319">
        <v>575488</v>
      </c>
      <c r="DD209" s="319">
        <v>641130</v>
      </c>
    </row>
    <row r="210" spans="1:108" ht="12.95" customHeight="1">
      <c r="A210" s="2" t="s">
        <v>589</v>
      </c>
      <c r="C210" s="2" t="s">
        <v>387</v>
      </c>
      <c r="BC210" t="s">
        <v>658</v>
      </c>
      <c r="BN210" s="23" t="s">
        <v>48</v>
      </c>
      <c r="BS210">
        <v>5</v>
      </c>
      <c r="BT210" s="32" t="s">
        <v>201</v>
      </c>
      <c r="CB210" s="348" t="s">
        <v>198</v>
      </c>
      <c r="CC210" s="462">
        <v>1680</v>
      </c>
      <c r="CD210" s="463">
        <v>1800</v>
      </c>
      <c r="CE210" s="462">
        <v>2160</v>
      </c>
      <c r="CF210" s="463">
        <v>2496</v>
      </c>
      <c r="CG210" s="463">
        <v>2784</v>
      </c>
      <c r="CH210" s="464">
        <v>3072</v>
      </c>
      <c r="CI210" s="3"/>
      <c r="CJ210" s="855">
        <v>1195</v>
      </c>
      <c r="CK210" s="855">
        <v>1197</v>
      </c>
      <c r="CL210" s="855">
        <v>1522</v>
      </c>
      <c r="CM210" s="855">
        <v>2133</v>
      </c>
      <c r="CN210" s="855">
        <v>2556</v>
      </c>
      <c r="CR210" s="23" t="s">
        <v>45</v>
      </c>
      <c r="CS210" s="321">
        <v>360075</v>
      </c>
      <c r="CT210" s="321">
        <v>415163</v>
      </c>
      <c r="CU210" s="321">
        <v>500800</v>
      </c>
      <c r="CV210" s="321">
        <v>641024</v>
      </c>
      <c r="CW210" s="321">
        <v>714141</v>
      </c>
      <c r="CX210" s="14"/>
      <c r="CY210" s="23" t="s">
        <v>45</v>
      </c>
      <c r="CZ210" s="321">
        <v>360075</v>
      </c>
      <c r="DA210" s="321">
        <v>415163</v>
      </c>
      <c r="DB210" s="321">
        <v>500800</v>
      </c>
      <c r="DC210" s="321">
        <v>641024</v>
      </c>
      <c r="DD210" s="321">
        <v>714141</v>
      </c>
    </row>
    <row r="211" spans="1:108" ht="12.95" customHeight="1">
      <c r="C211" s="21"/>
      <c r="D211" s="1740" t="s">
        <v>1038</v>
      </c>
      <c r="E211" s="1740"/>
      <c r="F211" s="1740"/>
      <c r="G211" s="1740"/>
      <c r="H211" s="1740"/>
      <c r="I211" s="1740"/>
      <c r="J211" s="1740"/>
      <c r="K211" s="1740"/>
      <c r="L211" s="1740"/>
      <c r="M211" s="1740"/>
      <c r="BN211" s="23" t="s">
        <v>129</v>
      </c>
      <c r="BS211">
        <v>7</v>
      </c>
      <c r="BT211" s="32" t="s">
        <v>130</v>
      </c>
      <c r="CB211" s="348" t="s">
        <v>199</v>
      </c>
      <c r="CC211" s="462">
        <v>1644</v>
      </c>
      <c r="CD211" s="463">
        <v>1762</v>
      </c>
      <c r="CE211" s="462">
        <v>2114</v>
      </c>
      <c r="CF211" s="463">
        <v>2442</v>
      </c>
      <c r="CG211" s="463">
        <v>2724</v>
      </c>
      <c r="CH211" s="464">
        <v>3006</v>
      </c>
      <c r="CI211" s="3"/>
      <c r="CJ211" s="855">
        <v>926</v>
      </c>
      <c r="CK211" s="855">
        <v>1030</v>
      </c>
      <c r="CL211" s="855">
        <v>1351</v>
      </c>
      <c r="CM211" s="855">
        <v>1778</v>
      </c>
      <c r="CN211" s="855">
        <v>2229</v>
      </c>
      <c r="CR211" s="23" t="s">
        <v>46</v>
      </c>
      <c r="CS211" s="319">
        <v>402640</v>
      </c>
      <c r="CT211" s="319">
        <v>464240</v>
      </c>
      <c r="CU211" s="319">
        <v>560000</v>
      </c>
      <c r="CV211" s="319">
        <v>716800</v>
      </c>
      <c r="CW211" s="319">
        <v>798560</v>
      </c>
      <c r="CX211" s="14"/>
      <c r="CY211" s="23" t="s">
        <v>46</v>
      </c>
      <c r="CZ211" s="319">
        <v>402640</v>
      </c>
      <c r="DA211" s="319">
        <v>464240</v>
      </c>
      <c r="DB211" s="319">
        <v>560000</v>
      </c>
      <c r="DC211" s="319">
        <v>716800</v>
      </c>
      <c r="DD211" s="319">
        <v>798560</v>
      </c>
    </row>
    <row r="212" spans="1:108" ht="12.95" customHeight="1">
      <c r="C212" s="21"/>
      <c r="D212" s="3" t="s">
        <v>2181</v>
      </c>
      <c r="Q212" s="1599">
        <v>0</v>
      </c>
      <c r="R212" s="1599"/>
      <c r="T212" s="2054">
        <f>IFERROR(Q212/AG449,0)</f>
        <v>0</v>
      </c>
      <c r="U212" s="2055"/>
      <c r="BC212" t="s">
        <v>306</v>
      </c>
      <c r="BI212" t="s">
        <v>1181</v>
      </c>
      <c r="BN212" s="23" t="s">
        <v>49</v>
      </c>
      <c r="BS212">
        <v>4</v>
      </c>
      <c r="BT212" s="32" t="s">
        <v>202</v>
      </c>
      <c r="CB212" s="348" t="s">
        <v>200</v>
      </c>
      <c r="CC212" s="462">
        <v>1644</v>
      </c>
      <c r="CD212" s="463">
        <v>1762</v>
      </c>
      <c r="CE212" s="462">
        <v>2114</v>
      </c>
      <c r="CF212" s="463">
        <v>2442</v>
      </c>
      <c r="CG212" s="463">
        <v>2724</v>
      </c>
      <c r="CH212" s="464">
        <v>3006</v>
      </c>
      <c r="CI212" s="3"/>
      <c r="CJ212" s="855">
        <v>777</v>
      </c>
      <c r="CK212" s="855">
        <v>854</v>
      </c>
      <c r="CL212" s="855">
        <v>1120</v>
      </c>
      <c r="CM212" s="855">
        <v>1569</v>
      </c>
      <c r="CN212" s="855">
        <v>1708</v>
      </c>
      <c r="CR212" s="23" t="s">
        <v>47</v>
      </c>
      <c r="CS212" s="321">
        <v>402640</v>
      </c>
      <c r="CT212" s="321">
        <v>464240</v>
      </c>
      <c r="CU212" s="321">
        <v>560000</v>
      </c>
      <c r="CV212" s="321">
        <v>716800</v>
      </c>
      <c r="CW212" s="321">
        <v>798560</v>
      </c>
      <c r="CX212" s="14"/>
      <c r="CY212" s="23" t="s">
        <v>47</v>
      </c>
      <c r="CZ212" s="321">
        <v>402640</v>
      </c>
      <c r="DA212" s="321">
        <v>464240</v>
      </c>
      <c r="DB212" s="321">
        <v>560000</v>
      </c>
      <c r="DC212" s="321">
        <v>716800</v>
      </c>
      <c r="DD212" s="321">
        <v>798560</v>
      </c>
    </row>
    <row r="213" spans="1:108" ht="12.95" customHeight="1">
      <c r="D213" s="1134" t="s">
        <v>2395</v>
      </c>
      <c r="BC213" t="s">
        <v>525</v>
      </c>
      <c r="BI213" s="3" t="s">
        <v>2178</v>
      </c>
      <c r="BN213" s="23" t="s">
        <v>50</v>
      </c>
      <c r="BS213">
        <v>6</v>
      </c>
      <c r="BT213" s="32" t="s">
        <v>203</v>
      </c>
      <c r="CB213" s="348" t="s">
        <v>201</v>
      </c>
      <c r="CC213" s="462">
        <v>1644</v>
      </c>
      <c r="CD213" s="463">
        <v>1762</v>
      </c>
      <c r="CE213" s="462">
        <v>2114</v>
      </c>
      <c r="CF213" s="463">
        <v>2442</v>
      </c>
      <c r="CG213" s="463">
        <v>2724</v>
      </c>
      <c r="CH213" s="464">
        <v>3006</v>
      </c>
      <c r="CI213" s="3"/>
      <c r="CJ213" s="855">
        <v>1082</v>
      </c>
      <c r="CK213" s="855">
        <v>1089</v>
      </c>
      <c r="CL213" s="855">
        <v>1429</v>
      </c>
      <c r="CM213" s="855">
        <v>1967</v>
      </c>
      <c r="CN213" s="855">
        <v>2272</v>
      </c>
      <c r="CR213" s="23" t="s">
        <v>48</v>
      </c>
      <c r="CS213" s="319">
        <v>323262</v>
      </c>
      <c r="CT213" s="319">
        <v>372718</v>
      </c>
      <c r="CU213" s="319">
        <v>449600</v>
      </c>
      <c r="CV213" s="319">
        <v>575488</v>
      </c>
      <c r="CW213" s="319">
        <v>641130</v>
      </c>
      <c r="CX213" s="14"/>
      <c r="CY213" s="23" t="s">
        <v>48</v>
      </c>
      <c r="CZ213" s="319">
        <v>323262</v>
      </c>
      <c r="DA213" s="319">
        <v>372718</v>
      </c>
      <c r="DB213" s="319">
        <v>449600</v>
      </c>
      <c r="DC213" s="319">
        <v>575488</v>
      </c>
      <c r="DD213" s="319">
        <v>641130</v>
      </c>
    </row>
    <row r="214" spans="1:108" ht="12.95" customHeight="1">
      <c r="D214" s="2058" t="s">
        <v>590</v>
      </c>
      <c r="E214" s="2058"/>
      <c r="F214" s="2058"/>
      <c r="G214" s="2058"/>
      <c r="H214" s="2058"/>
      <c r="I214" s="2058"/>
      <c r="J214" s="2058"/>
      <c r="K214" s="2058"/>
      <c r="L214" s="2058"/>
      <c r="M214" s="2058"/>
      <c r="N214" s="2058"/>
      <c r="O214" s="2058"/>
      <c r="P214" s="2058"/>
      <c r="Q214" s="2058"/>
      <c r="R214" s="2058"/>
      <c r="S214" s="2058"/>
      <c r="T214" s="2058"/>
      <c r="U214" s="2058"/>
      <c r="V214" s="2058"/>
      <c r="W214" s="2058"/>
      <c r="X214" s="2058"/>
      <c r="Y214" s="2058"/>
      <c r="Z214" s="2058"/>
      <c r="AU214" s="21"/>
      <c r="AV214" s="21"/>
      <c r="AW214" s="21"/>
      <c r="AX214" s="21"/>
      <c r="AY214" s="21"/>
      <c r="BC214" t="s">
        <v>529</v>
      </c>
      <c r="BI214" s="3" t="s">
        <v>2171</v>
      </c>
      <c r="BN214" s="23" t="s">
        <v>325</v>
      </c>
      <c r="BS214">
        <v>6</v>
      </c>
      <c r="BT214" s="32" t="s">
        <v>204</v>
      </c>
      <c r="CB214" s="348" t="s">
        <v>130</v>
      </c>
      <c r="CC214" s="462">
        <v>1780</v>
      </c>
      <c r="CD214" s="463">
        <v>1906</v>
      </c>
      <c r="CE214" s="462">
        <v>2286</v>
      </c>
      <c r="CF214" s="463">
        <v>2642</v>
      </c>
      <c r="CG214" s="463">
        <v>2946</v>
      </c>
      <c r="CH214" s="464">
        <v>3252</v>
      </c>
      <c r="CI214" s="3"/>
      <c r="CJ214" s="855">
        <v>987</v>
      </c>
      <c r="CK214" s="855">
        <v>1123</v>
      </c>
      <c r="CL214" s="855">
        <v>1439</v>
      </c>
      <c r="CM214" s="855">
        <v>1891</v>
      </c>
      <c r="CN214" s="855">
        <v>2416</v>
      </c>
      <c r="CR214" s="23" t="s">
        <v>129</v>
      </c>
      <c r="CS214" s="321">
        <v>402640</v>
      </c>
      <c r="CT214" s="321">
        <v>464240</v>
      </c>
      <c r="CU214" s="321">
        <v>560000</v>
      </c>
      <c r="CV214" s="321">
        <v>716800</v>
      </c>
      <c r="CW214" s="321">
        <v>798560</v>
      </c>
      <c r="CX214" s="14"/>
      <c r="CY214" s="23" t="s">
        <v>129</v>
      </c>
      <c r="CZ214" s="321">
        <v>402640</v>
      </c>
      <c r="DA214" s="321">
        <v>464240</v>
      </c>
      <c r="DB214" s="321">
        <v>560000</v>
      </c>
      <c r="DC214" s="321">
        <v>716800</v>
      </c>
      <c r="DD214" s="321">
        <v>798560</v>
      </c>
    </row>
    <row r="215" spans="1:108" ht="12.95" customHeight="1">
      <c r="D215" s="3" t="s">
        <v>1639</v>
      </c>
      <c r="Z215" s="40"/>
      <c r="AB215" s="2057"/>
      <c r="AC215" s="2057"/>
      <c r="AD215" s="2057"/>
      <c r="AE215" s="2057"/>
      <c r="AF215" s="2057"/>
      <c r="AG215" s="2057"/>
      <c r="AH215" s="2057"/>
      <c r="AI215" s="2057"/>
      <c r="AJ215" s="2057"/>
      <c r="AK215" s="2057"/>
      <c r="AL215" s="2057"/>
      <c r="AM215" s="21"/>
      <c r="AN215" s="21"/>
      <c r="AO215" s="21"/>
      <c r="AP215" s="21"/>
      <c r="AQ215" s="21"/>
      <c r="AR215" s="21"/>
      <c r="AS215" s="21"/>
      <c r="AT215" s="21"/>
      <c r="AU215" s="21"/>
      <c r="AV215" s="21"/>
      <c r="AW215" s="21"/>
      <c r="AX215" s="21"/>
      <c r="AY215" s="21"/>
      <c r="BC215" t="s">
        <v>526</v>
      </c>
      <c r="BI215" s="3" t="s">
        <v>2172</v>
      </c>
      <c r="CB215" s="348" t="s">
        <v>202</v>
      </c>
      <c r="CC215" s="465">
        <v>2620</v>
      </c>
      <c r="CD215" s="466">
        <v>2806</v>
      </c>
      <c r="CE215" s="465">
        <v>3370</v>
      </c>
      <c r="CF215" s="466">
        <v>3892</v>
      </c>
      <c r="CG215" s="466">
        <v>4342</v>
      </c>
      <c r="CH215" s="467">
        <v>4792</v>
      </c>
      <c r="CI215" s="3"/>
      <c r="CJ215" s="855">
        <v>1871</v>
      </c>
      <c r="CK215" s="855">
        <v>2147</v>
      </c>
      <c r="CL215" s="855">
        <v>2569</v>
      </c>
      <c r="CM215" s="855">
        <v>3505</v>
      </c>
      <c r="CN215" s="855">
        <v>4080</v>
      </c>
      <c r="CR215" s="23" t="s">
        <v>49</v>
      </c>
      <c r="CS215" s="319">
        <v>442904</v>
      </c>
      <c r="CT215" s="319">
        <v>510664</v>
      </c>
      <c r="CU215" s="319">
        <v>616000</v>
      </c>
      <c r="CV215" s="319">
        <v>788480</v>
      </c>
      <c r="CW215" s="319">
        <v>878416</v>
      </c>
      <c r="CX215" s="14"/>
      <c r="CY215" s="23" t="s">
        <v>49</v>
      </c>
      <c r="CZ215" s="319">
        <v>442904</v>
      </c>
      <c r="DA215" s="319">
        <v>510664</v>
      </c>
      <c r="DB215" s="319">
        <v>616000</v>
      </c>
      <c r="DC215" s="319">
        <v>788480</v>
      </c>
      <c r="DD215" s="319">
        <v>878416</v>
      </c>
    </row>
    <row r="216" spans="1:108" ht="12.95" customHeight="1">
      <c r="D216" s="3" t="s">
        <v>1637</v>
      </c>
      <c r="Z216" s="40"/>
      <c r="AB216" s="2057"/>
      <c r="AC216" s="2057"/>
      <c r="AD216" s="2057"/>
      <c r="AE216" s="2057"/>
      <c r="AF216" s="2057"/>
      <c r="AG216" s="2057"/>
      <c r="AH216" s="2057"/>
      <c r="AI216" s="2057"/>
      <c r="AJ216" s="2057"/>
      <c r="AK216" s="2057"/>
      <c r="AL216" s="2057"/>
      <c r="AM216" s="21"/>
      <c r="AN216" s="21"/>
      <c r="AO216" s="21"/>
      <c r="AP216" s="21"/>
      <c r="AQ216" s="21"/>
      <c r="AR216" s="21"/>
      <c r="AS216" s="21"/>
      <c r="AT216" s="21"/>
      <c r="AU216" s="21"/>
      <c r="AV216" s="21"/>
      <c r="AW216" s="21"/>
      <c r="AX216" s="21"/>
      <c r="AY216" s="21"/>
      <c r="BC216" t="s">
        <v>565</v>
      </c>
      <c r="BI216" t="s">
        <v>2170</v>
      </c>
      <c r="CB216" s="348" t="s">
        <v>203</v>
      </c>
      <c r="CC216" s="468">
        <v>2204</v>
      </c>
      <c r="CD216" s="469">
        <v>2362</v>
      </c>
      <c r="CE216" s="468">
        <v>2832</v>
      </c>
      <c r="CF216" s="469">
        <v>3272</v>
      </c>
      <c r="CG216" s="469">
        <v>3652</v>
      </c>
      <c r="CH216" s="470">
        <v>4030</v>
      </c>
      <c r="CI216" s="3"/>
      <c r="CJ216" s="855">
        <v>1602</v>
      </c>
      <c r="CK216" s="855">
        <v>1613</v>
      </c>
      <c r="CL216" s="855">
        <v>2116</v>
      </c>
      <c r="CM216" s="855">
        <v>2944</v>
      </c>
      <c r="CN216" s="855">
        <v>3299</v>
      </c>
      <c r="CR216" s="23" t="s">
        <v>50</v>
      </c>
      <c r="CS216" s="321">
        <v>360075</v>
      </c>
      <c r="CT216" s="321">
        <v>415163</v>
      </c>
      <c r="CU216" s="321">
        <v>500800</v>
      </c>
      <c r="CV216" s="321">
        <v>641024</v>
      </c>
      <c r="CW216" s="321">
        <v>714141</v>
      </c>
      <c r="CX216" s="14"/>
      <c r="CY216" s="23" t="s">
        <v>50</v>
      </c>
      <c r="CZ216" s="321">
        <v>360075</v>
      </c>
      <c r="DA216" s="321">
        <v>415163</v>
      </c>
      <c r="DB216" s="321">
        <v>500800</v>
      </c>
      <c r="DC216" s="321">
        <v>641024</v>
      </c>
      <c r="DD216" s="321">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2174</v>
      </c>
      <c r="CB217" s="348" t="s">
        <v>204</v>
      </c>
      <c r="CC217" s="471">
        <v>1680</v>
      </c>
      <c r="CD217" s="472">
        <v>1800</v>
      </c>
      <c r="CE217" s="471">
        <v>2160</v>
      </c>
      <c r="CF217" s="472">
        <v>2496</v>
      </c>
      <c r="CG217" s="472">
        <v>2784</v>
      </c>
      <c r="CH217" s="473">
        <v>3072</v>
      </c>
      <c r="CI217" s="3"/>
      <c r="CJ217" s="855">
        <v>1195</v>
      </c>
      <c r="CK217" s="855">
        <v>1197</v>
      </c>
      <c r="CL217" s="855">
        <v>1522</v>
      </c>
      <c r="CM217" s="855">
        <v>2133</v>
      </c>
      <c r="CN217" s="855">
        <v>2556</v>
      </c>
      <c r="CR217" s="23" t="s">
        <v>325</v>
      </c>
      <c r="CS217" s="319">
        <v>360075</v>
      </c>
      <c r="CT217" s="319">
        <v>415163</v>
      </c>
      <c r="CU217" s="319">
        <v>500800</v>
      </c>
      <c r="CV217" s="319">
        <v>641024</v>
      </c>
      <c r="CW217" s="319">
        <v>714141</v>
      </c>
      <c r="CX217" s="14"/>
      <c r="CY217" s="23" t="s">
        <v>325</v>
      </c>
      <c r="CZ217" s="319">
        <v>360075</v>
      </c>
      <c r="DA217" s="319">
        <v>415163</v>
      </c>
      <c r="DB217" s="319">
        <v>500800</v>
      </c>
      <c r="DC217" s="319">
        <v>641024</v>
      </c>
      <c r="DD217" s="319">
        <v>714141</v>
      </c>
    </row>
    <row r="218" spans="1:108" ht="12.95" customHeight="1">
      <c r="A218" s="2" t="s">
        <v>591</v>
      </c>
      <c r="C218" s="2" t="s">
        <v>2184</v>
      </c>
      <c r="D218" s="28"/>
      <c r="AC218" s="2" t="s">
        <v>2384</v>
      </c>
      <c r="BC218" t="s">
        <v>528</v>
      </c>
    </row>
    <row r="219" spans="1:108" ht="12.95" customHeight="1">
      <c r="A219" s="2"/>
      <c r="C219" s="2"/>
      <c r="D219" s="3" t="s">
        <v>2385</v>
      </c>
      <c r="AZ219" s="3"/>
      <c r="BA219" s="3"/>
      <c r="BC219" t="s">
        <v>376</v>
      </c>
    </row>
    <row r="220" spans="1:108" ht="12.95" customHeight="1">
      <c r="A220" s="2"/>
      <c r="C220" s="2"/>
      <c r="D220" s="1740" t="s">
        <v>1061</v>
      </c>
      <c r="E220" s="1740"/>
      <c r="F220" s="1740"/>
      <c r="G220" s="1740"/>
      <c r="H220" s="1740"/>
      <c r="I220" s="1740"/>
      <c r="J220" s="1740"/>
      <c r="K220" s="1740"/>
      <c r="L220" s="1740"/>
      <c r="M220" s="1740"/>
      <c r="N220" s="1740"/>
      <c r="O220" s="1740"/>
      <c r="P220" s="1740"/>
      <c r="Q220" s="1740"/>
      <c r="R220" s="1740"/>
      <c r="S220" s="1740"/>
      <c r="T220" s="1740"/>
      <c r="U220" s="1740"/>
      <c r="V220" s="1740"/>
      <c r="W220" s="1740"/>
      <c r="X220" s="1740"/>
      <c r="Y220" s="1740"/>
      <c r="Z220" s="1740"/>
      <c r="AC220" s="2071" t="s">
        <v>2389</v>
      </c>
      <c r="AD220" s="2071"/>
      <c r="AE220" s="2071"/>
      <c r="AF220" s="2071"/>
      <c r="AG220" s="2071"/>
      <c r="AH220" s="2071"/>
      <c r="AI220" s="2071"/>
      <c r="AJ220" s="2071"/>
      <c r="AK220" s="2071"/>
      <c r="AL220" s="2071"/>
      <c r="AM220" s="2071"/>
      <c r="AN220" s="2071"/>
      <c r="AO220" s="2071"/>
      <c r="AP220" s="2071"/>
      <c r="AQ220" s="2071"/>
      <c r="BA220" s="3"/>
      <c r="BC220" t="s">
        <v>299</v>
      </c>
    </row>
    <row r="221" spans="1:108" ht="12.95" customHeight="1">
      <c r="A221" s="2"/>
      <c r="B221" s="14"/>
      <c r="C221" s="2"/>
      <c r="BA221" s="3"/>
    </row>
    <row r="222" spans="1:108" ht="12.95" customHeight="1">
      <c r="A222" s="2" t="s">
        <v>2530</v>
      </c>
      <c r="B222" s="14"/>
      <c r="C222" s="2" t="s">
        <v>2531</v>
      </c>
      <c r="BA222" s="3"/>
    </row>
    <row r="223" spans="1:108" ht="12.95" customHeight="1">
      <c r="A223" s="2"/>
      <c r="B223" s="14"/>
      <c r="C223" s="2"/>
      <c r="D223" s="3" t="s">
        <v>2532</v>
      </c>
      <c r="BA223" s="3"/>
    </row>
    <row r="224" spans="1:108" ht="12.95" customHeight="1">
      <c r="A224" s="2"/>
      <c r="B224" s="14"/>
      <c r="C224" s="2"/>
      <c r="E224" s="3" t="s">
        <v>2533</v>
      </c>
      <c r="V224" s="1599" t="s">
        <v>668</v>
      </c>
      <c r="W224" s="1599"/>
      <c r="Y224" s="1188"/>
      <c r="BA224" s="3"/>
    </row>
    <row r="225" spans="1:69" ht="12.95" customHeight="1">
      <c r="A225" s="2"/>
      <c r="B225" s="14"/>
      <c r="C225" s="2"/>
      <c r="E225" s="3" t="s">
        <v>2534</v>
      </c>
      <c r="V225" s="1599" t="s">
        <v>668</v>
      </c>
      <c r="W225" s="1599"/>
      <c r="Y225" s="1189" t="str">
        <f>IF(AND(V225="Yes",OR(V226="Yes",V227="Yes",V228="Yes",V229="Yes")),"!","")</f>
        <v/>
      </c>
      <c r="Z225" s="1190" t="str">
        <f>IF(Y225="!","Requirements for pools/set-asides selected are mutually exclusive.","")</f>
        <v/>
      </c>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BA225" s="3"/>
    </row>
    <row r="226" spans="1:69" ht="12.95" customHeight="1">
      <c r="A226" s="2"/>
      <c r="B226" s="14"/>
      <c r="C226" s="2"/>
      <c r="E226" s="3" t="s">
        <v>2535</v>
      </c>
      <c r="V226" s="1640" t="s">
        <v>668</v>
      </c>
      <c r="W226" s="1640"/>
      <c r="Y226" s="1189" t="str">
        <f>IF(AND(V226="Yes",OR(V227="Yes",V228="Yes",V229="Yes",V225="Yes")),"!","")</f>
        <v/>
      </c>
      <c r="Z226" s="1190" t="str">
        <f>IF(Y226="!","Requirements for pools/set-asides selected are mutually exclusive.","")</f>
        <v/>
      </c>
      <c r="AA226" s="1190"/>
      <c r="AB226" s="1190"/>
      <c r="AC226" s="1190"/>
      <c r="AD226" s="1190"/>
      <c r="AE226" s="1190"/>
      <c r="AF226" s="1190"/>
      <c r="AG226" s="1190"/>
      <c r="AH226" s="1190"/>
      <c r="AI226" s="1190"/>
      <c r="AJ226" s="1190"/>
      <c r="AK226" s="1190"/>
      <c r="AL226" s="1190"/>
      <c r="AM226" s="1190"/>
      <c r="AN226" s="1190"/>
      <c r="AO226" s="1190"/>
      <c r="AP226" s="1190"/>
      <c r="AQ226" s="1190"/>
      <c r="AR226" s="1190"/>
      <c r="AS226" s="1190"/>
      <c r="AT226" s="1190"/>
      <c r="BA226" s="3"/>
    </row>
    <row r="227" spans="1:69" ht="12.95" customHeight="1">
      <c r="A227" s="2"/>
      <c r="B227" s="14"/>
      <c r="C227" s="2"/>
      <c r="E227" s="3" t="s">
        <v>2536</v>
      </c>
      <c r="V227" s="1640" t="s">
        <v>668</v>
      </c>
      <c r="W227" s="1640"/>
      <c r="Y227" s="1189" t="str">
        <f>IF(AND(V227="Yes",OR(V229="Yes",V225="Yes",V226="Yes")),"!","")</f>
        <v/>
      </c>
      <c r="Z227" s="1190" t="str">
        <f>IF(Y227="!","Requirements for pools/set-asides selected are mutually exclusive.","")</f>
        <v/>
      </c>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BA227" s="3"/>
    </row>
    <row r="228" spans="1:69" ht="12.95" customHeight="1">
      <c r="A228" s="2"/>
      <c r="B228" s="14"/>
      <c r="C228" s="2"/>
      <c r="E228" s="3" t="s">
        <v>2537</v>
      </c>
      <c r="V228" s="1640" t="s">
        <v>668</v>
      </c>
      <c r="W228" s="1640"/>
      <c r="Y228" s="1189" t="str">
        <f>IF(AND(V228="Yes",OR(V229="Yes",V225="Yes",V226="Yes")),"!","")</f>
        <v/>
      </c>
      <c r="Z228" s="1190" t="str">
        <f t="shared" ref="Z228:Z229" si="1">IF(Y228="!","Requirements for pools/set-asides selected are mutually exclusive.","")</f>
        <v/>
      </c>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BA228" s="3"/>
    </row>
    <row r="229" spans="1:69" ht="12.95" customHeight="1">
      <c r="A229" s="2"/>
      <c r="B229" s="14"/>
      <c r="C229" s="2"/>
      <c r="E229" s="3" t="s">
        <v>2538</v>
      </c>
      <c r="V229" s="1640" t="s">
        <v>544</v>
      </c>
      <c r="W229" s="1640"/>
      <c r="Y229" s="1189" t="str">
        <f>IF(AND(V229="Yes",OR(V228="Yes",V227="Yes",V226="Yes",V225="Yes")),"!","")</f>
        <v/>
      </c>
      <c r="Z229" s="1190" t="str">
        <f t="shared" si="1"/>
        <v/>
      </c>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BA229" s="3"/>
    </row>
    <row r="230" spans="1:69" ht="12.95" customHeight="1">
      <c r="A230" s="2"/>
      <c r="B230" s="14"/>
      <c r="C230" s="2"/>
      <c r="BA230" s="3"/>
    </row>
    <row r="231" spans="1:69" ht="12.95" customHeight="1">
      <c r="A231" s="1744" t="s">
        <v>539</v>
      </c>
      <c r="B231" s="1744"/>
      <c r="C231" s="1744"/>
      <c r="D231" s="1744"/>
      <c r="E231" s="1744"/>
      <c r="F231" s="1744"/>
      <c r="G231" s="1744"/>
      <c r="H231" s="1744"/>
      <c r="I231" s="1744"/>
      <c r="J231" s="1744"/>
      <c r="K231" s="1744"/>
      <c r="L231" s="1744"/>
      <c r="M231" s="1744"/>
      <c r="N231" s="1744"/>
      <c r="O231" s="1744"/>
      <c r="P231" s="1744"/>
      <c r="Q231" s="1744"/>
      <c r="R231" s="1744"/>
      <c r="S231" s="1744"/>
      <c r="T231" s="1744"/>
      <c r="U231" s="1744"/>
      <c r="V231" s="1744"/>
      <c r="W231" s="1744"/>
      <c r="X231" s="1744"/>
      <c r="Y231" s="1744"/>
      <c r="Z231" s="1744"/>
      <c r="AA231" s="1744"/>
      <c r="AB231" s="1744"/>
      <c r="AC231" s="1744"/>
      <c r="AD231" s="1744"/>
      <c r="AE231" s="1744"/>
      <c r="AF231" s="1744"/>
      <c r="AG231" s="1744"/>
      <c r="AH231" s="1744"/>
      <c r="AI231" s="1744"/>
      <c r="AJ231" s="1744"/>
      <c r="AK231" s="1744"/>
      <c r="AL231" s="1744"/>
      <c r="AM231" s="1744"/>
      <c r="AN231" s="1744"/>
      <c r="AO231" s="1744"/>
      <c r="AP231" s="1744"/>
      <c r="AQ231" s="1744"/>
      <c r="AR231" s="1744"/>
      <c r="AS231" s="1744"/>
      <c r="AT231" s="1744"/>
      <c r="AU231" s="95"/>
      <c r="AV231" s="95"/>
      <c r="AW231" s="95"/>
      <c r="AX231" s="95"/>
      <c r="AY231" s="95"/>
      <c r="AZ231" s="3"/>
      <c r="BA231" s="3"/>
      <c r="BP231" s="34"/>
    </row>
    <row r="232" spans="1:69" ht="12.95" customHeight="1">
      <c r="A232" s="1744"/>
      <c r="B232" s="1744"/>
      <c r="C232" s="1744"/>
      <c r="D232" s="1744"/>
      <c r="E232" s="1744"/>
      <c r="F232" s="1744"/>
      <c r="G232" s="1744"/>
      <c r="H232" s="1744"/>
      <c r="I232" s="1744"/>
      <c r="J232" s="1744"/>
      <c r="K232" s="1744"/>
      <c r="L232" s="1744"/>
      <c r="M232" s="1744"/>
      <c r="N232" s="1744"/>
      <c r="O232" s="1744"/>
      <c r="P232" s="1744"/>
      <c r="Q232" s="1744"/>
      <c r="R232" s="1744"/>
      <c r="S232" s="1744"/>
      <c r="T232" s="1744"/>
      <c r="U232" s="1744"/>
      <c r="V232" s="1744"/>
      <c r="W232" s="1744"/>
      <c r="X232" s="1744"/>
      <c r="Y232" s="1744"/>
      <c r="Z232" s="1744"/>
      <c r="AA232" s="1744"/>
      <c r="AB232" s="1744"/>
      <c r="AC232" s="1744"/>
      <c r="AD232" s="1744"/>
      <c r="AE232" s="1744"/>
      <c r="AF232" s="1744"/>
      <c r="AG232" s="1744"/>
      <c r="AH232" s="1744"/>
      <c r="AI232" s="1744"/>
      <c r="AJ232" s="1744"/>
      <c r="AK232" s="1744"/>
      <c r="AL232" s="1744"/>
      <c r="AM232" s="1744"/>
      <c r="AN232" s="1744"/>
      <c r="AO232" s="1744"/>
      <c r="AP232" s="1744"/>
      <c r="AQ232" s="1744"/>
      <c r="AR232" s="1744"/>
      <c r="AS232" s="1744"/>
      <c r="AT232" s="1744"/>
      <c r="BA232" s="3"/>
      <c r="BB232" s="3"/>
      <c r="BQ232" s="34"/>
    </row>
    <row r="233" spans="1:69" ht="12.95" customHeight="1">
      <c r="AZ233" s="4"/>
      <c r="BA233" s="3"/>
      <c r="BB233" s="3"/>
      <c r="BQ233" s="34"/>
    </row>
    <row r="234" spans="1:69" ht="12.95" customHeight="1">
      <c r="A234" s="2" t="s">
        <v>318</v>
      </c>
      <c r="B234" s="2"/>
      <c r="C234" s="2" t="s">
        <v>2034</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599" t="s">
        <v>590</v>
      </c>
      <c r="AJ235" s="1599"/>
      <c r="AL235" s="3"/>
      <c r="AM235" s="3"/>
      <c r="AN235" s="3"/>
      <c r="AO235" s="3"/>
      <c r="AP235" s="3"/>
      <c r="AQ235" s="3"/>
      <c r="AR235" s="3"/>
      <c r="AS235" s="3"/>
      <c r="AT235" s="3"/>
      <c r="AU235" s="3"/>
      <c r="AV235" s="3"/>
      <c r="AW235" s="3"/>
      <c r="AX235" s="3"/>
      <c r="AY235" s="3"/>
      <c r="AZ235" s="4"/>
      <c r="BB235" s="204" t="s">
        <v>537</v>
      </c>
      <c r="BG235" s="239">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599" t="s">
        <v>544</v>
      </c>
      <c r="AJ236" s="1599"/>
      <c r="AL236" s="3"/>
      <c r="AM236" s="3"/>
      <c r="AN236" s="3"/>
      <c r="AO236" s="3"/>
      <c r="AP236" s="3"/>
      <c r="AQ236" s="3"/>
      <c r="AR236" s="3"/>
      <c r="AS236" s="3"/>
      <c r="AT236" s="3"/>
      <c r="AU236" s="3"/>
      <c r="AV236" s="3"/>
      <c r="AW236" s="3"/>
      <c r="AX236" s="3"/>
      <c r="AY236" s="3"/>
      <c r="BA236" s="3"/>
      <c r="BB236" s="204" t="s">
        <v>537</v>
      </c>
      <c r="BG236" s="239">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599" t="s">
        <v>590</v>
      </c>
      <c r="AJ237" s="1599"/>
      <c r="AL237" s="3"/>
      <c r="AM237" s="3"/>
      <c r="AN237" s="3"/>
      <c r="AO237" s="3"/>
      <c r="AP237" s="3"/>
      <c r="AQ237" s="3"/>
      <c r="AR237" s="3"/>
      <c r="AS237" s="3"/>
      <c r="AT237" s="3"/>
      <c r="AU237" s="3"/>
      <c r="AV237" s="3"/>
      <c r="AW237" s="3"/>
      <c r="AX237" s="3"/>
      <c r="AY237" s="3"/>
      <c r="AZ237" s="4"/>
      <c r="BA237" s="3"/>
      <c r="BB237" s="204" t="s">
        <v>537</v>
      </c>
      <c r="BG237" s="239">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599" t="s">
        <v>590</v>
      </c>
      <c r="AJ238" s="1599"/>
      <c r="AL238" s="3"/>
      <c r="AM238" s="3"/>
      <c r="AN238" s="3"/>
      <c r="AO238" s="3"/>
      <c r="AP238" s="3"/>
      <c r="AQ238" s="3"/>
      <c r="AR238" s="3"/>
      <c r="AS238" s="3"/>
      <c r="AT238" s="3"/>
      <c r="AU238" s="3"/>
      <c r="AV238" s="3"/>
      <c r="AW238" s="3"/>
      <c r="AX238" s="3"/>
      <c r="AY238" s="3"/>
      <c r="BA238" s="3"/>
      <c r="BB238" s="204" t="s">
        <v>537</v>
      </c>
      <c r="BG238" s="239">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38">
        <f>IF(AND(AND($M$258="nonprofit",$M$266="for profit",$M$274="(select one)")),2,0)</f>
        <v>0</v>
      </c>
    </row>
    <row r="240" spans="1:69" ht="12.95" customHeight="1">
      <c r="A240" s="2" t="s">
        <v>575</v>
      </c>
      <c r="B240" s="4"/>
      <c r="C240" s="2" t="s">
        <v>2035</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2050" t="str">
        <f>H16</f>
        <v>Fong Natomas L.P.</v>
      </c>
      <c r="N241" s="2050"/>
      <c r="O241" s="2050"/>
      <c r="P241" s="2050"/>
      <c r="Q241" s="2050"/>
      <c r="R241" s="2050"/>
      <c r="S241" s="2050"/>
      <c r="T241" s="2050"/>
      <c r="U241" s="2050"/>
      <c r="V241" s="2050"/>
      <c r="W241" s="2050"/>
      <c r="X241" s="2050"/>
      <c r="Y241" s="2050"/>
      <c r="Z241" s="2050"/>
      <c r="AA241" s="2050"/>
      <c r="AB241" s="2050"/>
      <c r="AC241" s="2050"/>
      <c r="AD241" s="2050"/>
      <c r="AE241" s="2050"/>
      <c r="AF241" s="2050"/>
      <c r="AG241" s="2050"/>
      <c r="AH241" s="2050"/>
      <c r="AI241" s="2050"/>
      <c r="AJ241" s="2050"/>
      <c r="AK241" s="2050"/>
      <c r="AZ241" s="4"/>
      <c r="BA241" s="3"/>
      <c r="BB241" s="205" t="s">
        <v>537</v>
      </c>
      <c r="BG241" s="239">
        <f>IF(AND(AND($M$258="nonprofit",$M$266="nonprofit",$M$274="for profit")),2,0)</f>
        <v>0</v>
      </c>
    </row>
    <row r="242" spans="1:67" ht="12.95" customHeight="1">
      <c r="D242" s="4" t="s">
        <v>85</v>
      </c>
      <c r="E242" s="4"/>
      <c r="F242" s="4"/>
      <c r="G242" s="4"/>
      <c r="H242" s="4"/>
      <c r="I242" s="4"/>
      <c r="J242" s="4"/>
      <c r="K242" s="4"/>
      <c r="M242" s="1703" t="s">
        <v>2645</v>
      </c>
      <c r="N242" s="1740"/>
      <c r="O242" s="1740"/>
      <c r="P242" s="1740"/>
      <c r="Q242" s="1740"/>
      <c r="R242" s="1740"/>
      <c r="S242" s="1740"/>
      <c r="T242" s="1740"/>
      <c r="U242" s="1740"/>
      <c r="V242" s="1740"/>
      <c r="W242" s="1740"/>
      <c r="X242" s="1740"/>
      <c r="Y242" s="1740"/>
      <c r="Z242" s="1740"/>
      <c r="AA242" s="1740"/>
      <c r="AB242" s="1740"/>
      <c r="AC242" s="1740"/>
      <c r="AD242" s="1740"/>
      <c r="AE242" s="1740"/>
      <c r="BB242" s="205" t="s">
        <v>537</v>
      </c>
      <c r="BG242" s="239">
        <f>IF(AND(AND($M$258="nonprofit",$M$266="for profit",$M$274="nonprofit")),2,0)</f>
        <v>0</v>
      </c>
    </row>
    <row r="243" spans="1:67" ht="12.95" customHeight="1">
      <c r="D243" s="4" t="s">
        <v>579</v>
      </c>
      <c r="E243" s="4"/>
      <c r="M243" s="1703" t="s">
        <v>68</v>
      </c>
      <c r="N243" s="1740"/>
      <c r="O243" s="1740"/>
      <c r="P243" s="1740"/>
      <c r="Q243" s="1740"/>
      <c r="R243" s="1740"/>
      <c r="S243" s="1740"/>
      <c r="T243" s="1740"/>
      <c r="V243" s="33" t="s">
        <v>86</v>
      </c>
      <c r="W243" s="1643" t="s">
        <v>2646</v>
      </c>
      <c r="X243" s="1753"/>
      <c r="Y243" s="4" t="s">
        <v>582</v>
      </c>
      <c r="AC243" s="1740">
        <v>95825</v>
      </c>
      <c r="AD243" s="1740"/>
      <c r="AE243" s="1740"/>
      <c r="AU243" s="4"/>
      <c r="AV243" s="4"/>
      <c r="AW243" s="4"/>
      <c r="AX243" s="4"/>
      <c r="AY243" s="4"/>
      <c r="AZ243" s="4"/>
      <c r="BB243" s="205" t="s">
        <v>537</v>
      </c>
      <c r="BG243" s="238">
        <f>IF(AND(AND($M$258="for profit",$M$266="nonprofit",$M$274="nonprofit")),2,0)</f>
        <v>0</v>
      </c>
    </row>
    <row r="244" spans="1:67" ht="12.95" customHeight="1">
      <c r="D244" s="4" t="s">
        <v>87</v>
      </c>
      <c r="E244" s="4"/>
      <c r="F244" s="4"/>
      <c r="G244" s="4"/>
      <c r="H244" s="4"/>
      <c r="I244" s="4"/>
      <c r="J244" s="4"/>
      <c r="K244" s="19"/>
      <c r="M244" s="1703" t="s">
        <v>2641</v>
      </c>
      <c r="N244" s="1740"/>
      <c r="O244" s="1740"/>
      <c r="P244" s="1740"/>
      <c r="Q244" s="1740"/>
      <c r="R244" s="1740"/>
      <c r="S244" s="1740"/>
      <c r="T244" s="1740"/>
      <c r="U244" s="1740"/>
      <c r="V244" s="1740"/>
      <c r="W244" s="1740"/>
      <c r="X244" s="1740"/>
      <c r="Y244" s="1740"/>
      <c r="Z244" s="1740"/>
      <c r="AA244" s="1740"/>
      <c r="AB244" s="1740"/>
      <c r="AC244" s="1740"/>
      <c r="AD244" s="1740"/>
      <c r="AE244" s="1740"/>
      <c r="AI244" s="4"/>
      <c r="AJ244" s="4"/>
      <c r="AK244" s="4"/>
      <c r="AL244" s="4"/>
      <c r="AM244" s="4"/>
      <c r="AN244" s="4"/>
      <c r="AO244" s="4"/>
      <c r="AP244" s="4"/>
      <c r="AQ244" s="4"/>
      <c r="AR244" s="4"/>
      <c r="AS244" s="4"/>
      <c r="AT244" s="4"/>
      <c r="BB244" s="205"/>
      <c r="BG244" s="204"/>
    </row>
    <row r="245" spans="1:67" ht="12.95" customHeight="1">
      <c r="D245" s="4" t="s">
        <v>88</v>
      </c>
      <c r="E245" s="4"/>
      <c r="F245" s="4"/>
      <c r="M245" s="1698" t="s">
        <v>2647</v>
      </c>
      <c r="N245" s="1699"/>
      <c r="O245" s="1699"/>
      <c r="P245" s="1699"/>
      <c r="Q245" s="1699"/>
      <c r="R245" s="1699"/>
      <c r="S245" s="4" t="s">
        <v>205</v>
      </c>
      <c r="T245" s="4"/>
      <c r="U245" s="1753"/>
      <c r="V245" s="1753"/>
      <c r="W245" s="1753"/>
      <c r="X245" s="4" t="s">
        <v>89</v>
      </c>
      <c r="Z245" s="1699"/>
      <c r="AA245" s="1699"/>
      <c r="AB245" s="1699"/>
      <c r="AC245" s="1699"/>
      <c r="AD245" s="1699"/>
      <c r="AE245" s="1699"/>
      <c r="AU245" s="4"/>
      <c r="AV245" s="4"/>
      <c r="AW245" s="4"/>
      <c r="AX245" s="4"/>
      <c r="AY245" s="4"/>
      <c r="AZ245" s="4"/>
      <c r="BB245" s="204" t="s">
        <v>536</v>
      </c>
      <c r="BG245" s="239">
        <f>IF(AND(AND($M$258="nonprofit",$M$266="nonprofit",$M$274="(select one)")),1,0)</f>
        <v>0</v>
      </c>
    </row>
    <row r="246" spans="1:67" ht="12.95" customHeight="1">
      <c r="D246" s="4" t="s">
        <v>90</v>
      </c>
      <c r="E246" s="4"/>
      <c r="F246" s="4"/>
      <c r="M246" s="2040" t="s">
        <v>2648</v>
      </c>
      <c r="N246" s="2040"/>
      <c r="O246" s="2040"/>
      <c r="P246" s="2040"/>
      <c r="Q246" s="2040"/>
      <c r="R246" s="2040"/>
      <c r="S246" s="2040"/>
      <c r="T246" s="2040"/>
      <c r="U246" s="2040"/>
      <c r="V246" s="2040"/>
      <c r="W246" s="2040"/>
      <c r="X246" s="2040"/>
      <c r="Y246" s="2040"/>
      <c r="Z246" s="2040"/>
      <c r="AA246" s="2040"/>
      <c r="AB246" s="2040"/>
      <c r="AC246" s="2040"/>
      <c r="AD246" s="2040"/>
      <c r="AE246" s="2040"/>
      <c r="AF246" s="4"/>
      <c r="AG246" s="4"/>
      <c r="AH246" s="4"/>
      <c r="AI246" s="4"/>
      <c r="AJ246" s="4"/>
      <c r="AK246" s="4"/>
      <c r="AL246" s="4"/>
      <c r="AM246" s="4"/>
      <c r="AN246" s="4"/>
      <c r="AO246" s="4"/>
      <c r="AP246" s="4"/>
      <c r="AQ246" s="4"/>
      <c r="AR246" s="4"/>
      <c r="AS246" s="4"/>
      <c r="AT246" s="4"/>
      <c r="AU246" s="3"/>
      <c r="AV246" s="3"/>
      <c r="AW246" s="3"/>
      <c r="AX246" s="3"/>
      <c r="AY246" s="3"/>
      <c r="BB246" s="204" t="s">
        <v>536</v>
      </c>
      <c r="BG246" s="239">
        <f>IF(AND(AND($M$258="nonprofit",$M$266="nonprofit",$M$274="nonprofit")),1,0)</f>
        <v>0</v>
      </c>
    </row>
    <row r="247" spans="1:67" ht="12.95" customHeight="1">
      <c r="A247" s="2" t="s">
        <v>585</v>
      </c>
      <c r="C247" s="2" t="s">
        <v>524</v>
      </c>
      <c r="M247" s="1696" t="s">
        <v>527</v>
      </c>
      <c r="N247" s="1696"/>
      <c r="O247" s="1696"/>
      <c r="P247" s="1696"/>
      <c r="Q247" s="1696"/>
      <c r="R247" s="1696"/>
      <c r="S247" s="1696"/>
      <c r="T247" s="1696"/>
      <c r="U247" s="204" t="s">
        <v>903</v>
      </c>
      <c r="V247" s="204"/>
      <c r="W247" s="204"/>
      <c r="X247" s="204"/>
      <c r="Y247" s="204"/>
      <c r="Z247" s="204"/>
      <c r="AA247" s="2035" t="s">
        <v>2649</v>
      </c>
      <c r="AB247" s="2036"/>
      <c r="AC247" s="2036"/>
      <c r="AD247" s="2036"/>
      <c r="AE247" s="2036"/>
      <c r="AF247" s="2036"/>
      <c r="AG247" s="2036"/>
      <c r="AH247" s="2036"/>
      <c r="AI247" s="2036"/>
      <c r="AJ247" s="2036"/>
      <c r="AK247" s="2036"/>
      <c r="AL247" s="3"/>
      <c r="AM247" s="3"/>
      <c r="AN247" s="3"/>
      <c r="AO247" s="3"/>
      <c r="AP247" s="3"/>
      <c r="AQ247" s="3"/>
      <c r="AR247" s="3"/>
      <c r="AS247" s="3"/>
      <c r="AT247" s="3"/>
      <c r="AU247" s="3"/>
      <c r="AV247" s="3"/>
      <c r="AW247" s="3"/>
      <c r="AX247" s="3"/>
      <c r="AY247" s="3"/>
      <c r="BB247" s="204" t="s">
        <v>536</v>
      </c>
      <c r="BG247" s="239">
        <f>IF(AND(AND($M$258="nonprofit",$M$266="(select one)",$M$274="(select one)")),1,0)</f>
        <v>0</v>
      </c>
    </row>
    <row r="248" spans="1:67" ht="12.95" customHeight="1">
      <c r="D248" t="s">
        <v>530</v>
      </c>
      <c r="M248" s="1697"/>
      <c r="N248" s="1697"/>
      <c r="O248" s="1697"/>
      <c r="P248" s="1697"/>
      <c r="Q248" s="1697"/>
      <c r="R248" s="1697"/>
      <c r="S248" s="1697"/>
      <c r="T248" s="1697"/>
      <c r="U248" s="1697"/>
      <c r="V248" s="1697"/>
      <c r="W248" s="1697"/>
      <c r="X248" s="1697"/>
      <c r="Y248" s="1697"/>
      <c r="Z248" s="1697"/>
      <c r="AA248" s="1697"/>
      <c r="AB248" s="1697"/>
      <c r="AC248" s="1697"/>
      <c r="AD248" s="1697"/>
      <c r="AE248" s="1697"/>
      <c r="AF248" s="4"/>
      <c r="AG248" s="4"/>
      <c r="AH248" s="4"/>
      <c r="AI248" s="4"/>
      <c r="AJ248" s="4"/>
      <c r="AK248" s="3"/>
      <c r="AL248" s="3"/>
      <c r="AM248" s="3"/>
      <c r="AN248" s="3"/>
      <c r="AO248" s="3"/>
      <c r="AP248" s="3"/>
      <c r="AQ248" s="3"/>
      <c r="AR248" s="3"/>
      <c r="AS248" s="3"/>
      <c r="AT248" s="3"/>
      <c r="BB248" s="204" t="s">
        <v>874</v>
      </c>
      <c r="BG248" s="239">
        <f>IF(AND(AND($M$258="for profit",$M$266="for profit",$M$274="(select one)")),3,0)</f>
        <v>0</v>
      </c>
    </row>
    <row r="249" spans="1:67" ht="12.95" customHeight="1">
      <c r="D249" s="4"/>
      <c r="BB249" s="204" t="s">
        <v>874</v>
      </c>
      <c r="BG249" s="239">
        <f>IF(AND(AND($M$258="for profit",$M$266="for profit",$M$274="for profit")),3,0)</f>
        <v>0</v>
      </c>
    </row>
    <row r="250" spans="1:67" ht="12.95" customHeight="1">
      <c r="A250" s="2" t="s">
        <v>588</v>
      </c>
      <c r="C250" s="2" t="s">
        <v>1180</v>
      </c>
      <c r="D250" s="4"/>
      <c r="L250" s="8"/>
      <c r="M250" s="8"/>
      <c r="N250" s="8"/>
      <c r="AU250" s="3"/>
      <c r="AV250" s="3"/>
      <c r="AW250" s="3"/>
      <c r="AX250" s="3"/>
      <c r="AY250" s="3"/>
      <c r="BB250" s="204" t="s">
        <v>874</v>
      </c>
      <c r="BG250" s="239">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742" t="s">
        <v>2650</v>
      </c>
      <c r="N252" s="1743"/>
      <c r="O252" s="1743"/>
      <c r="P252" s="1743"/>
      <c r="Q252" s="1743"/>
      <c r="R252" s="1743"/>
      <c r="S252" s="1743"/>
      <c r="T252" s="1743"/>
      <c r="U252" s="1743"/>
      <c r="V252" s="1743"/>
      <c r="W252" s="1743"/>
      <c r="X252" s="1743"/>
      <c r="Y252" s="1743"/>
      <c r="Z252" s="1743"/>
      <c r="AA252" s="1743"/>
      <c r="AB252" s="1743"/>
      <c r="AC252" s="1743"/>
      <c r="AD252" s="1743"/>
      <c r="AE252" s="1743"/>
      <c r="AF252" s="1743" t="s">
        <v>2651</v>
      </c>
      <c r="AG252" s="1743"/>
      <c r="AH252" s="1743"/>
      <c r="AI252" s="1743"/>
      <c r="AJ252" s="1743"/>
      <c r="AK252" s="174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740" t="s">
        <v>2645</v>
      </c>
      <c r="N253" s="1740"/>
      <c r="O253" s="1740"/>
      <c r="P253" s="1740"/>
      <c r="Q253" s="1740"/>
      <c r="R253" s="1740"/>
      <c r="S253" s="1740"/>
      <c r="T253" s="1740"/>
      <c r="U253" s="1740"/>
      <c r="V253" s="1740"/>
      <c r="W253" s="1740"/>
      <c r="X253" s="1740"/>
      <c r="Y253" s="1740"/>
      <c r="Z253" s="1740"/>
      <c r="AA253" s="1740"/>
      <c r="AB253" s="1740"/>
      <c r="AC253" s="1740"/>
      <c r="AD253" s="1740"/>
      <c r="AE253" s="1740"/>
      <c r="AF253" s="3" t="s">
        <v>1176</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740" t="s">
        <v>68</v>
      </c>
      <c r="N254" s="1740"/>
      <c r="O254" s="1740"/>
      <c r="P254" s="1740"/>
      <c r="Q254" s="1740"/>
      <c r="R254" s="1740"/>
      <c r="S254" s="1740"/>
      <c r="T254" s="1740"/>
      <c r="V254" s="33" t="s">
        <v>86</v>
      </c>
      <c r="W254" s="1753" t="s">
        <v>2646</v>
      </c>
      <c r="X254" s="1753"/>
      <c r="Y254" s="4" t="s">
        <v>582</v>
      </c>
      <c r="AC254" s="1740">
        <v>95825</v>
      </c>
      <c r="AD254" s="1740"/>
      <c r="AE254" s="1740"/>
      <c r="AF254" s="3" t="s">
        <v>1177</v>
      </c>
      <c r="AU254" s="4"/>
      <c r="AV254" s="4"/>
      <c r="AW254" s="4"/>
      <c r="AX254" s="4"/>
      <c r="AY254" s="4"/>
      <c r="BB254" s="4" t="s">
        <v>279</v>
      </c>
      <c r="BG254">
        <v>2</v>
      </c>
      <c r="BH254" t="s">
        <v>565</v>
      </c>
      <c r="BO254" s="237" t="str">
        <f>VLOOKUP(BG252,BG253:BH256,2,FALSE)</f>
        <v>Joint Venture</v>
      </c>
    </row>
    <row r="255" spans="1:67" ht="12.95" customHeight="1">
      <c r="A255" s="19"/>
      <c r="B255" s="4"/>
      <c r="C255" s="4"/>
      <c r="D255" s="4" t="s">
        <v>87</v>
      </c>
      <c r="E255" s="4"/>
      <c r="F255" s="4"/>
      <c r="G255" s="4"/>
      <c r="H255" s="4"/>
      <c r="I255" s="4"/>
      <c r="J255" s="4"/>
      <c r="K255" s="4"/>
      <c r="L255" s="19"/>
      <c r="M255" s="1740" t="s">
        <v>2641</v>
      </c>
      <c r="N255" s="1740"/>
      <c r="O255" s="1740"/>
      <c r="P255" s="1740"/>
      <c r="Q255" s="1740"/>
      <c r="R255" s="1740"/>
      <c r="S255" s="1740"/>
      <c r="T255" s="1740"/>
      <c r="U255" s="1740"/>
      <c r="V255" s="1740"/>
      <c r="W255" s="1740"/>
      <c r="X255" s="1740"/>
      <c r="Y255" s="1740"/>
      <c r="Z255" s="1740"/>
      <c r="AA255" s="1740"/>
      <c r="AB255" s="1740"/>
      <c r="AC255" s="1740"/>
      <c r="AD255" s="1740"/>
      <c r="AE255" s="1740"/>
      <c r="AH255" s="2044">
        <v>5.0000000000000001E-3</v>
      </c>
      <c r="AI255" s="2044"/>
      <c r="AJ255" s="2044"/>
      <c r="AK255" s="2044"/>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699" t="s">
        <v>2647</v>
      </c>
      <c r="N256" s="1699"/>
      <c r="O256" s="1699"/>
      <c r="P256" s="1699"/>
      <c r="Q256" s="1699"/>
      <c r="R256" s="1699"/>
      <c r="S256" s="4" t="s">
        <v>205</v>
      </c>
      <c r="T256" s="4"/>
      <c r="U256" s="1753"/>
      <c r="V256" s="1753"/>
      <c r="W256" s="1753"/>
      <c r="X256" s="4" t="s">
        <v>89</v>
      </c>
      <c r="Z256" s="1699"/>
      <c r="AA256" s="1699"/>
      <c r="AB256" s="1699"/>
      <c r="AC256" s="1699"/>
      <c r="AD256" s="1699"/>
      <c r="AE256" s="1699"/>
      <c r="AU256" s="4"/>
      <c r="AV256" s="4"/>
      <c r="AW256" s="4"/>
      <c r="AX256" s="4"/>
      <c r="AY256" s="4"/>
      <c r="BG256">
        <v>0</v>
      </c>
      <c r="BH256" s="3" t="str">
        <f>""</f>
        <v/>
      </c>
      <c r="BN256" s="34"/>
    </row>
    <row r="257" spans="1:66" ht="12.95" customHeight="1">
      <c r="A257" s="19"/>
      <c r="B257" s="4"/>
      <c r="C257" s="4"/>
      <c r="D257" s="4" t="s">
        <v>90</v>
      </c>
      <c r="E257" s="4"/>
      <c r="F257" s="4"/>
      <c r="M257" s="2040" t="s">
        <v>2648</v>
      </c>
      <c r="N257" s="2040"/>
      <c r="O257" s="2040"/>
      <c r="P257" s="2040"/>
      <c r="Q257" s="2040"/>
      <c r="R257" s="2040"/>
      <c r="S257" s="2040"/>
      <c r="T257" s="2040"/>
      <c r="U257" s="2040"/>
      <c r="V257" s="2040"/>
      <c r="W257" s="2040"/>
      <c r="X257" s="2040"/>
      <c r="Y257" s="2040"/>
      <c r="Z257" s="2040"/>
      <c r="AA257" s="2040"/>
      <c r="AB257" s="2040"/>
      <c r="AC257" s="2040"/>
      <c r="AD257" s="2040"/>
      <c r="AE257" s="2040"/>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696" t="s">
        <v>535</v>
      </c>
      <c r="N258" s="1696"/>
      <c r="O258" s="1696"/>
      <c r="P258" s="1696"/>
      <c r="Q258" s="1696"/>
      <c r="R258" s="1696"/>
      <c r="S258" s="1696"/>
      <c r="T258" s="1696"/>
      <c r="U258" s="204" t="s">
        <v>903</v>
      </c>
      <c r="V258" s="204"/>
      <c r="W258" s="204"/>
      <c r="X258" s="204"/>
      <c r="Y258" s="204"/>
      <c r="Z258" s="204"/>
      <c r="AA258" s="2035" t="s">
        <v>2649</v>
      </c>
      <c r="AB258" s="2036"/>
      <c r="AC258" s="2036"/>
      <c r="AD258" s="2036"/>
      <c r="AE258" s="2036"/>
      <c r="AF258" s="2036"/>
      <c r="AG258" s="2036"/>
      <c r="AH258" s="2036"/>
      <c r="AI258" s="2036"/>
      <c r="AJ258" s="2036"/>
      <c r="AK258" s="203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952</v>
      </c>
      <c r="E260" s="4"/>
      <c r="F260" s="4"/>
      <c r="G260" s="4"/>
      <c r="H260" s="4"/>
      <c r="I260" s="4"/>
      <c r="J260" s="4"/>
      <c r="K260" s="4"/>
      <c r="L260" s="4"/>
      <c r="M260" s="1743" t="s">
        <v>2652</v>
      </c>
      <c r="N260" s="1743"/>
      <c r="O260" s="1743"/>
      <c r="P260" s="1743"/>
      <c r="Q260" s="1743"/>
      <c r="R260" s="1743"/>
      <c r="S260" s="1743"/>
      <c r="T260" s="1743"/>
      <c r="U260" s="1743"/>
      <c r="V260" s="1743"/>
      <c r="W260" s="1743"/>
      <c r="X260" s="1743"/>
      <c r="Y260" s="1743"/>
      <c r="Z260" s="1743"/>
      <c r="AA260" s="1743"/>
      <c r="AB260" s="1743"/>
      <c r="AC260" s="1743"/>
      <c r="AD260" s="1743"/>
      <c r="AE260" s="1743"/>
      <c r="AF260" s="1743" t="s">
        <v>2655</v>
      </c>
      <c r="AG260" s="1743"/>
      <c r="AH260" s="1743"/>
      <c r="AI260" s="1743"/>
      <c r="AJ260" s="1743"/>
      <c r="AK260" s="1743"/>
      <c r="AU260" s="4"/>
      <c r="AV260" s="4"/>
      <c r="AW260" s="4"/>
      <c r="AX260" s="4"/>
      <c r="AY260" s="4"/>
      <c r="BN260" s="34"/>
    </row>
    <row r="261" spans="1:66" ht="12.95" customHeight="1">
      <c r="A261" s="19"/>
      <c r="B261" s="4"/>
      <c r="C261" s="4"/>
      <c r="D261" s="4" t="s">
        <v>85</v>
      </c>
      <c r="E261" s="4"/>
      <c r="F261" s="4"/>
      <c r="G261" s="4"/>
      <c r="H261" s="4"/>
      <c r="I261" s="4"/>
      <c r="J261" s="4"/>
      <c r="K261" s="4"/>
      <c r="L261" s="4"/>
      <c r="M261" s="1740" t="s">
        <v>2653</v>
      </c>
      <c r="N261" s="1740"/>
      <c r="O261" s="1740"/>
      <c r="P261" s="1740"/>
      <c r="Q261" s="1740"/>
      <c r="R261" s="1740"/>
      <c r="S261" s="1740"/>
      <c r="T261" s="1740"/>
      <c r="U261" s="1740"/>
      <c r="V261" s="1740"/>
      <c r="W261" s="1740"/>
      <c r="X261" s="1740"/>
      <c r="Y261" s="1740"/>
      <c r="Z261" s="1740"/>
      <c r="AA261" s="1740"/>
      <c r="AB261" s="1740"/>
      <c r="AC261" s="1740"/>
      <c r="AD261" s="1740"/>
      <c r="AE261" s="1740"/>
      <c r="AF261" s="3" t="s">
        <v>1176</v>
      </c>
      <c r="AL261" s="4"/>
      <c r="AM261" s="4"/>
      <c r="AN261" s="4"/>
      <c r="AO261" s="4"/>
      <c r="AP261" s="4"/>
      <c r="AQ261" s="4"/>
      <c r="AR261" s="4"/>
      <c r="AS261" s="4"/>
      <c r="AT261" s="4"/>
      <c r="BN261" s="34"/>
    </row>
    <row r="262" spans="1:66" ht="12.95" customHeight="1">
      <c r="A262" s="19"/>
      <c r="B262" s="4"/>
      <c r="C262" s="4"/>
      <c r="D262" s="4" t="s">
        <v>579</v>
      </c>
      <c r="E262" s="4"/>
      <c r="M262" s="1740" t="s">
        <v>68</v>
      </c>
      <c r="N262" s="1740"/>
      <c r="O262" s="1740"/>
      <c r="P262" s="1740"/>
      <c r="Q262" s="1740"/>
      <c r="R262" s="1740"/>
      <c r="S262" s="1740"/>
      <c r="T262" s="1740"/>
      <c r="V262" s="33" t="s">
        <v>86</v>
      </c>
      <c r="W262" s="1753" t="s">
        <v>2654</v>
      </c>
      <c r="X262" s="1753"/>
      <c r="Y262" s="4" t="s">
        <v>582</v>
      </c>
      <c r="AC262" s="1740">
        <v>95811</v>
      </c>
      <c r="AD262" s="1740"/>
      <c r="AE262" s="1740"/>
      <c r="AF262" s="3" t="s">
        <v>1177</v>
      </c>
      <c r="AU262" s="4"/>
      <c r="AV262" s="4"/>
      <c r="AW262" s="4"/>
      <c r="AX262" s="4"/>
      <c r="AY262" s="4"/>
      <c r="BN262" s="34"/>
    </row>
    <row r="263" spans="1:66" ht="12.95" customHeight="1">
      <c r="A263" s="19"/>
      <c r="B263" s="4"/>
      <c r="C263" s="4"/>
      <c r="D263" s="4" t="s">
        <v>87</v>
      </c>
      <c r="E263" s="4"/>
      <c r="F263" s="4"/>
      <c r="G263" s="4"/>
      <c r="H263" s="4"/>
      <c r="I263" s="4"/>
      <c r="J263" s="4"/>
      <c r="K263" s="4"/>
      <c r="L263" s="19"/>
      <c r="M263" s="1703" t="s">
        <v>2656</v>
      </c>
      <c r="N263" s="1740"/>
      <c r="O263" s="1740"/>
      <c r="P263" s="1740"/>
      <c r="Q263" s="1740"/>
      <c r="R263" s="1740"/>
      <c r="S263" s="1740"/>
      <c r="T263" s="1740"/>
      <c r="U263" s="1740"/>
      <c r="V263" s="1740"/>
      <c r="W263" s="1740"/>
      <c r="X263" s="1740"/>
      <c r="Y263" s="1740"/>
      <c r="Z263" s="1740"/>
      <c r="AA263" s="1740"/>
      <c r="AB263" s="1740"/>
      <c r="AC263" s="1740"/>
      <c r="AD263" s="1740"/>
      <c r="AE263" s="1740"/>
      <c r="AH263" s="2044">
        <v>5.0000000000000001E-3</v>
      </c>
      <c r="AI263" s="2044"/>
      <c r="AJ263" s="2044"/>
      <c r="AK263" s="2044"/>
      <c r="AL263" s="4"/>
      <c r="AM263" s="4"/>
      <c r="AN263" s="4"/>
      <c r="AO263" s="4"/>
      <c r="AP263" s="4"/>
      <c r="AQ263" s="4"/>
      <c r="AR263" s="4"/>
      <c r="AS263" s="4"/>
      <c r="AT263" s="4"/>
    </row>
    <row r="264" spans="1:66" ht="12.95" customHeight="1">
      <c r="A264" s="19"/>
      <c r="B264" s="4"/>
      <c r="C264" s="4"/>
      <c r="D264" s="4" t="s">
        <v>88</v>
      </c>
      <c r="E264" s="4"/>
      <c r="F264" s="4"/>
      <c r="M264" s="1698" t="s">
        <v>2657</v>
      </c>
      <c r="N264" s="1699"/>
      <c r="O264" s="1699"/>
      <c r="P264" s="1699"/>
      <c r="Q264" s="1699"/>
      <c r="R264" s="1699"/>
      <c r="S264" s="4" t="s">
        <v>205</v>
      </c>
      <c r="T264" s="4"/>
      <c r="U264" s="1753"/>
      <c r="V264" s="1753"/>
      <c r="W264" s="1753"/>
      <c r="X264" s="4" t="s">
        <v>89</v>
      </c>
      <c r="Z264" s="1699"/>
      <c r="AA264" s="1699"/>
      <c r="AB264" s="1699"/>
      <c r="AC264" s="1699"/>
      <c r="AD264" s="1699"/>
      <c r="AE264" s="1699"/>
      <c r="AU264" s="4"/>
      <c r="AV264" s="4"/>
      <c r="AW264" s="4"/>
      <c r="AX264" s="4"/>
      <c r="AY264" s="4"/>
      <c r="BN264" s="34"/>
    </row>
    <row r="265" spans="1:66" ht="12.95" customHeight="1">
      <c r="A265" s="19"/>
      <c r="B265" s="4"/>
      <c r="C265" s="4"/>
      <c r="D265" s="4" t="s">
        <v>90</v>
      </c>
      <c r="E265" s="4"/>
      <c r="F265" s="4"/>
      <c r="M265" s="2040" t="s">
        <v>2658</v>
      </c>
      <c r="N265" s="2040"/>
      <c r="O265" s="2040"/>
      <c r="P265" s="2040"/>
      <c r="Q265" s="2040"/>
      <c r="R265" s="2040"/>
      <c r="S265" s="2040"/>
      <c r="T265" s="2040"/>
      <c r="U265" s="2040"/>
      <c r="V265" s="2040"/>
      <c r="W265" s="2040"/>
      <c r="X265" s="2040"/>
      <c r="Y265" s="2040"/>
      <c r="Z265" s="2040"/>
      <c r="AA265" s="2040"/>
      <c r="AB265" s="2040"/>
      <c r="AC265" s="2040"/>
      <c r="AD265" s="2040"/>
      <c r="AE265" s="204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696" t="s">
        <v>533</v>
      </c>
      <c r="N266" s="1696"/>
      <c r="O266" s="1696"/>
      <c r="P266" s="1696"/>
      <c r="Q266" s="1696"/>
      <c r="R266" s="1696"/>
      <c r="S266" s="1696"/>
      <c r="T266" s="1696"/>
      <c r="U266" s="204" t="s">
        <v>903</v>
      </c>
      <c r="V266" s="204"/>
      <c r="W266" s="204"/>
      <c r="X266" s="204"/>
      <c r="Y266" s="204"/>
      <c r="Z266" s="204"/>
      <c r="AA266" s="2035" t="s">
        <v>2659</v>
      </c>
      <c r="AB266" s="2036"/>
      <c r="AC266" s="2036"/>
      <c r="AD266" s="2036"/>
      <c r="AE266" s="2036"/>
      <c r="AF266" s="2036"/>
      <c r="AG266" s="2036"/>
      <c r="AH266" s="2036"/>
      <c r="AI266" s="2036"/>
      <c r="AJ266" s="2036"/>
      <c r="AK266" s="203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873</v>
      </c>
      <c r="D268" s="4" t="s">
        <v>531</v>
      </c>
      <c r="E268" s="4"/>
      <c r="F268" s="4"/>
      <c r="G268" s="4"/>
      <c r="H268" s="4"/>
      <c r="I268" s="4"/>
      <c r="J268" s="4"/>
      <c r="K268" s="4"/>
      <c r="L268" s="4"/>
      <c r="M268" s="2132"/>
      <c r="N268" s="2132"/>
      <c r="O268" s="2132"/>
      <c r="P268" s="2132"/>
      <c r="Q268" s="2132"/>
      <c r="R268" s="2132"/>
      <c r="S268" s="2132"/>
      <c r="T268" s="2132"/>
      <c r="U268" s="2132"/>
      <c r="V268" s="2132"/>
      <c r="W268" s="2132"/>
      <c r="X268" s="2132"/>
      <c r="Y268" s="2132"/>
      <c r="Z268" s="2132"/>
      <c r="AA268" s="2132"/>
      <c r="AB268" s="2132"/>
      <c r="AC268" s="2132"/>
      <c r="AD268" s="2132"/>
      <c r="AE268" s="2132"/>
      <c r="AF268" s="1743" t="s">
        <v>306</v>
      </c>
      <c r="AG268" s="1743"/>
      <c r="AH268" s="1743"/>
      <c r="AI268" s="1743"/>
      <c r="AJ268" s="1743"/>
      <c r="AK268" s="174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2033"/>
      <c r="N269" s="2033"/>
      <c r="O269" s="2033"/>
      <c r="P269" s="2033"/>
      <c r="Q269" s="2033"/>
      <c r="R269" s="2033"/>
      <c r="S269" s="2033"/>
      <c r="T269" s="2033"/>
      <c r="U269" s="2033"/>
      <c r="V269" s="2033"/>
      <c r="W269" s="2033"/>
      <c r="X269" s="2033"/>
      <c r="Y269" s="2033"/>
      <c r="Z269" s="2033"/>
      <c r="AA269" s="2033"/>
      <c r="AB269" s="2033"/>
      <c r="AC269" s="2033"/>
      <c r="AD269" s="2033"/>
      <c r="AE269" s="2033"/>
      <c r="AF269" s="3" t="s">
        <v>1176</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703"/>
      <c r="N270" s="1740"/>
      <c r="O270" s="1740"/>
      <c r="P270" s="1740"/>
      <c r="Q270" s="1740"/>
      <c r="R270" s="1740"/>
      <c r="S270" s="1740"/>
      <c r="T270" s="1740"/>
      <c r="V270" s="33" t="s">
        <v>86</v>
      </c>
      <c r="W270" s="1643"/>
      <c r="X270" s="1753"/>
      <c r="Y270" s="4" t="s">
        <v>582</v>
      </c>
      <c r="AC270" s="1740"/>
      <c r="AD270" s="1740"/>
      <c r="AE270" s="1740"/>
      <c r="AF270" s="3" t="s">
        <v>1177</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703"/>
      <c r="N271" s="1740"/>
      <c r="O271" s="1740"/>
      <c r="P271" s="1740"/>
      <c r="Q271" s="1740"/>
      <c r="R271" s="1740"/>
      <c r="S271" s="1740"/>
      <c r="T271" s="1740"/>
      <c r="U271" s="1740"/>
      <c r="V271" s="1740"/>
      <c r="W271" s="1740"/>
      <c r="X271" s="1740"/>
      <c r="Y271" s="1740"/>
      <c r="Z271" s="1740"/>
      <c r="AA271" s="1740"/>
      <c r="AB271" s="1740"/>
      <c r="AC271" s="1740"/>
      <c r="AD271" s="1740"/>
      <c r="AE271" s="1740"/>
      <c r="AH271" s="2044"/>
      <c r="AI271" s="2044"/>
      <c r="AJ271" s="2044"/>
      <c r="AK271" s="204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699"/>
      <c r="N272" s="1699"/>
      <c r="O272" s="1699"/>
      <c r="P272" s="1699"/>
      <c r="Q272" s="1699"/>
      <c r="R272" s="1699"/>
      <c r="S272" s="4" t="s">
        <v>205</v>
      </c>
      <c r="T272" s="4"/>
      <c r="U272" s="1753"/>
      <c r="V272" s="1753"/>
      <c r="W272" s="1753"/>
      <c r="X272" s="4" t="s">
        <v>89</v>
      </c>
      <c r="Z272" s="1699"/>
      <c r="AA272" s="1699"/>
      <c r="AB272" s="1699"/>
      <c r="AC272" s="1699"/>
      <c r="AD272" s="1699"/>
      <c r="AE272" s="169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2040"/>
      <c r="N273" s="2040"/>
      <c r="O273" s="2040"/>
      <c r="P273" s="2040"/>
      <c r="Q273" s="2040"/>
      <c r="R273" s="2040"/>
      <c r="S273" s="2040"/>
      <c r="T273" s="2040"/>
      <c r="U273" s="2040"/>
      <c r="V273" s="2040"/>
      <c r="W273" s="2040"/>
      <c r="X273" s="2040"/>
      <c r="Y273" s="2040"/>
      <c r="Z273" s="2040"/>
      <c r="AA273" s="2041"/>
      <c r="AB273" s="2041"/>
      <c r="AC273" s="2041"/>
      <c r="AD273" s="2041"/>
      <c r="AE273" s="2041"/>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696" t="s">
        <v>306</v>
      </c>
      <c r="N274" s="1696"/>
      <c r="O274" s="1696"/>
      <c r="P274" s="1696"/>
      <c r="Q274" s="1696"/>
      <c r="R274" s="1696"/>
      <c r="S274" s="1696"/>
      <c r="T274" s="1696"/>
      <c r="U274" s="204" t="s">
        <v>903</v>
      </c>
      <c r="V274" s="204"/>
      <c r="W274" s="204"/>
      <c r="X274" s="204"/>
      <c r="Y274" s="204"/>
      <c r="Z274" s="204"/>
      <c r="AA274" s="2037"/>
      <c r="AB274" s="2037"/>
      <c r="AC274" s="2037"/>
      <c r="AD274" s="2037"/>
      <c r="AE274" s="2037"/>
      <c r="AF274" s="2037"/>
      <c r="AG274" s="2037"/>
      <c r="AH274" s="2037"/>
      <c r="AI274" s="2037"/>
      <c r="AJ274" s="2037"/>
      <c r="AK274" s="203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2064" t="str">
        <f>IFERROR(BO254,"")</f>
        <v>Joint Venture</v>
      </c>
      <c r="U276" s="2064"/>
      <c r="V276" s="2064"/>
      <c r="W276" s="2064"/>
      <c r="X276" s="2064"/>
      <c r="Z276" s="305" t="s">
        <v>951</v>
      </c>
      <c r="AA276" s="306"/>
      <c r="AB276" s="306"/>
      <c r="AC276" s="306"/>
      <c r="AD276" s="105"/>
      <c r="AE276" s="105"/>
      <c r="AF276" s="105"/>
      <c r="AG276" s="105"/>
      <c r="AH276" s="105"/>
      <c r="AI276" s="105"/>
      <c r="AJ276" s="105"/>
      <c r="AK276" s="307"/>
      <c r="AL276" s="58"/>
    </row>
    <row r="277" spans="1:51" ht="12.95" customHeight="1">
      <c r="A277" s="2"/>
      <c r="B277" s="4"/>
      <c r="C277" s="2"/>
      <c r="I277" s="4"/>
      <c r="J277" s="4"/>
      <c r="K277" s="4"/>
      <c r="L277" s="4"/>
      <c r="M277" s="35"/>
      <c r="N277" s="35"/>
      <c r="O277" s="35"/>
      <c r="P277" s="35"/>
      <c r="Q277" s="35"/>
      <c r="T277" s="4"/>
      <c r="U277" s="4"/>
      <c r="V277" s="4"/>
      <c r="W277" s="35"/>
      <c r="Z277" s="308"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09" t="s">
        <v>950</v>
      </c>
      <c r="AA278" s="48"/>
      <c r="AB278" s="48"/>
      <c r="AC278" s="48"/>
      <c r="AD278" s="48"/>
      <c r="AE278" s="48"/>
      <c r="AF278" s="104"/>
      <c r="AG278" s="104"/>
      <c r="AH278" s="104"/>
      <c r="AI278" s="104"/>
      <c r="AJ278" s="104"/>
      <c r="AK278" s="48"/>
      <c r="AL278" s="49"/>
    </row>
    <row r="279" spans="1:51" ht="12.95" customHeight="1">
      <c r="A279" s="4"/>
      <c r="B279" s="36">
        <v>0</v>
      </c>
      <c r="D279" s="1740" t="s">
        <v>279</v>
      </c>
      <c r="E279" s="1740"/>
      <c r="F279" s="1740"/>
      <c r="G279" s="1740"/>
      <c r="H279" s="1740"/>
      <c r="J279" t="s">
        <v>278</v>
      </c>
      <c r="X279" s="1971"/>
      <c r="Y279" s="1971"/>
      <c r="Z279" s="1971"/>
      <c r="AA279" s="1971"/>
      <c r="AB279" s="1971"/>
      <c r="AC279" s="1971"/>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742" t="s">
        <v>2649</v>
      </c>
      <c r="M283" s="1743"/>
      <c r="N283" s="1743"/>
      <c r="O283" s="1743"/>
      <c r="P283" s="1743"/>
      <c r="Q283" s="1743"/>
      <c r="R283" s="1743"/>
      <c r="S283" s="1743"/>
      <c r="T283" s="1743"/>
      <c r="U283" s="1743"/>
      <c r="V283" s="1743"/>
      <c r="W283" s="1743"/>
      <c r="X283" s="1743"/>
      <c r="Y283" s="1743"/>
      <c r="Z283" s="1743"/>
      <c r="AA283" s="1743"/>
      <c r="AB283" s="1743"/>
      <c r="AC283" s="1743"/>
      <c r="AD283" s="1743"/>
      <c r="AE283" s="1743"/>
      <c r="AF283" s="1743"/>
      <c r="AG283" s="1743"/>
      <c r="AH283" s="1743"/>
      <c r="AI283" s="1743"/>
      <c r="AJ283" s="174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703" t="s">
        <v>2660</v>
      </c>
      <c r="M284" s="1740"/>
      <c r="N284" s="1740"/>
      <c r="O284" s="1740"/>
      <c r="P284" s="1740"/>
      <c r="Q284" s="1740"/>
      <c r="R284" s="1740"/>
      <c r="S284" s="1740"/>
      <c r="T284" s="1740"/>
      <c r="U284" s="1740"/>
      <c r="V284" s="1740"/>
      <c r="W284" s="1740"/>
      <c r="X284" s="1740"/>
      <c r="Y284" s="1740"/>
      <c r="Z284" s="1740"/>
      <c r="AA284" s="1740"/>
      <c r="AB284" s="1740"/>
      <c r="AC284" s="1740"/>
      <c r="AD284" s="1740"/>
      <c r="AK284" s="3"/>
      <c r="AL284" s="3"/>
      <c r="AM284" s="3"/>
      <c r="AN284" s="3"/>
      <c r="AO284" s="3"/>
      <c r="AP284" s="3"/>
      <c r="AQ284" s="3"/>
      <c r="AR284" s="3"/>
      <c r="AS284" s="3"/>
      <c r="AT284" s="3"/>
      <c r="AU284" s="3"/>
      <c r="AV284" s="3"/>
      <c r="AW284" s="3"/>
      <c r="AX284" s="3"/>
      <c r="AY284" s="3"/>
    </row>
    <row r="285" spans="1:51" ht="12.95" customHeight="1">
      <c r="D285" s="4" t="s">
        <v>579</v>
      </c>
      <c r="E285" s="4"/>
      <c r="L285" s="1703" t="s">
        <v>68</v>
      </c>
      <c r="M285" s="1740"/>
      <c r="N285" s="1740"/>
      <c r="O285" s="1740"/>
      <c r="P285" s="1740"/>
      <c r="Q285" s="1740"/>
      <c r="R285" s="1740"/>
      <c r="S285" s="1740"/>
      <c r="U285" s="33" t="s">
        <v>86</v>
      </c>
      <c r="V285" s="1643" t="s">
        <v>2646</v>
      </c>
      <c r="W285" s="1753"/>
      <c r="X285" s="4" t="s">
        <v>582</v>
      </c>
      <c r="AB285" s="1740">
        <v>95825</v>
      </c>
      <c r="AC285" s="1740"/>
      <c r="AD285" s="174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703" t="s">
        <v>2641</v>
      </c>
      <c r="M286" s="1740"/>
      <c r="N286" s="1740"/>
      <c r="O286" s="1740"/>
      <c r="P286" s="1740"/>
      <c r="Q286" s="1740"/>
      <c r="R286" s="1740"/>
      <c r="S286" s="1740"/>
      <c r="T286" s="1740"/>
      <c r="U286" s="1740"/>
      <c r="V286" s="1740"/>
      <c r="W286" s="1740"/>
      <c r="X286" s="1740"/>
      <c r="Y286" s="1740"/>
      <c r="Z286" s="1740"/>
      <c r="AA286" s="1740"/>
      <c r="AB286" s="1740"/>
      <c r="AC286" s="1740"/>
      <c r="AD286" s="1740"/>
      <c r="AI286" s="4"/>
      <c r="AJ286" s="4"/>
      <c r="AK286" s="3"/>
      <c r="AL286" s="3"/>
      <c r="AM286" s="3"/>
      <c r="AN286" s="3"/>
      <c r="AO286" s="3"/>
      <c r="AP286" s="3"/>
      <c r="AQ286" s="3"/>
      <c r="AR286" s="3"/>
      <c r="AS286" s="3"/>
      <c r="AT286" s="3"/>
    </row>
    <row r="287" spans="1:51" ht="12.95" customHeight="1">
      <c r="D287" s="4" t="s">
        <v>88</v>
      </c>
      <c r="E287" s="4"/>
      <c r="F287" s="4"/>
      <c r="L287" s="1698" t="s">
        <v>2647</v>
      </c>
      <c r="M287" s="1699"/>
      <c r="N287" s="1699"/>
      <c r="O287" s="1699"/>
      <c r="P287" s="1699"/>
      <c r="Q287" s="1699"/>
      <c r="R287" s="4" t="s">
        <v>205</v>
      </c>
      <c r="S287" s="4"/>
      <c r="T287" s="1753"/>
      <c r="U287" s="1753"/>
      <c r="V287" s="1753"/>
      <c r="W287" s="4" t="s">
        <v>89</v>
      </c>
      <c r="Y287" s="1699"/>
      <c r="Z287" s="1699"/>
      <c r="AA287" s="1699"/>
      <c r="AB287" s="1699"/>
      <c r="AC287" s="1699"/>
      <c r="AD287" s="1699"/>
    </row>
    <row r="288" spans="1:51" ht="12.95" customHeight="1">
      <c r="D288" s="4" t="s">
        <v>90</v>
      </c>
      <c r="E288" s="4"/>
      <c r="F288" s="4"/>
      <c r="L288" s="2040" t="s">
        <v>2648</v>
      </c>
      <c r="M288" s="2040"/>
      <c r="N288" s="2040"/>
      <c r="O288" s="2040"/>
      <c r="P288" s="2040"/>
      <c r="Q288" s="2040"/>
      <c r="R288" s="2040"/>
      <c r="S288" s="2040"/>
      <c r="T288" s="2040"/>
      <c r="U288" s="2040"/>
      <c r="V288" s="2040"/>
      <c r="W288" s="2040"/>
      <c r="X288" s="2040"/>
      <c r="Y288" s="2040"/>
      <c r="Z288" s="2040"/>
      <c r="AA288" s="2040"/>
      <c r="AB288" s="2040"/>
      <c r="AC288" s="2040"/>
      <c r="AD288" s="2040"/>
      <c r="AF288" s="4"/>
      <c r="AG288" s="4"/>
      <c r="AH288" s="4"/>
      <c r="AI288" s="4"/>
      <c r="AJ288" s="4"/>
      <c r="AU288" s="3"/>
      <c r="AV288" s="3"/>
      <c r="AW288" s="3"/>
      <c r="AX288" s="3"/>
      <c r="AY288" s="3"/>
    </row>
    <row r="289" spans="1:51" ht="12.95" customHeight="1">
      <c r="D289" s="3" t="s">
        <v>622</v>
      </c>
      <c r="E289" s="3"/>
      <c r="F289" s="3"/>
      <c r="G289" s="3"/>
      <c r="H289" s="3"/>
      <c r="I289" s="3"/>
      <c r="L289" s="1643" t="s">
        <v>2661</v>
      </c>
      <c r="M289" s="1643"/>
      <c r="N289" s="1643"/>
      <c r="O289" s="1643"/>
      <c r="P289" s="1643"/>
      <c r="Q289" s="1643"/>
      <c r="R289" s="1643"/>
      <c r="S289" s="1643"/>
      <c r="T289" s="1643"/>
      <c r="U289" s="1643"/>
      <c r="V289" s="1643"/>
      <c r="W289" s="1643"/>
      <c r="X289" s="1643"/>
      <c r="Y289" s="1643"/>
      <c r="Z289" s="1643"/>
      <c r="AA289" s="1643"/>
      <c r="AB289" s="1643"/>
      <c r="AC289" s="1643"/>
      <c r="AD289" s="1643"/>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744" t="s">
        <v>540</v>
      </c>
      <c r="B291" s="1744"/>
      <c r="C291" s="1744"/>
      <c r="D291" s="1744"/>
      <c r="E291" s="1744"/>
      <c r="F291" s="1744"/>
      <c r="G291" s="1744"/>
      <c r="H291" s="1744"/>
      <c r="I291" s="1744"/>
      <c r="J291" s="1744"/>
      <c r="K291" s="1744"/>
      <c r="L291" s="1744"/>
      <c r="M291" s="1744"/>
      <c r="N291" s="1744"/>
      <c r="O291" s="1744"/>
      <c r="P291" s="1744"/>
      <c r="Q291" s="1744"/>
      <c r="R291" s="1744"/>
      <c r="S291" s="1744"/>
      <c r="T291" s="1744"/>
      <c r="U291" s="1744"/>
      <c r="V291" s="1744"/>
      <c r="W291" s="1744"/>
      <c r="X291" s="1744"/>
      <c r="Y291" s="1744"/>
      <c r="Z291" s="1744"/>
      <c r="AA291" s="1744"/>
      <c r="AB291" s="1744"/>
      <c r="AC291" s="1744"/>
      <c r="AD291" s="1744"/>
      <c r="AE291" s="1744"/>
      <c r="AF291" s="1744"/>
      <c r="AG291" s="1744"/>
      <c r="AH291" s="1744"/>
      <c r="AI291" s="1744"/>
      <c r="AJ291" s="1744"/>
      <c r="AK291" s="1744"/>
      <c r="AL291" s="1744"/>
      <c r="AM291" s="1744"/>
      <c r="AN291" s="1744"/>
      <c r="AO291" s="1744"/>
      <c r="AP291" s="1744"/>
      <c r="AQ291" s="1744"/>
      <c r="AR291" s="1744"/>
      <c r="AS291" s="1744"/>
      <c r="AT291" s="1744"/>
      <c r="AU291" s="95"/>
      <c r="AV291" s="95"/>
      <c r="AW291" s="95"/>
      <c r="AX291" s="95"/>
      <c r="AY291" s="95"/>
    </row>
    <row r="292" spans="1:51" ht="12.95" customHeight="1">
      <c r="A292" s="1744"/>
      <c r="B292" s="1744"/>
      <c r="C292" s="1744"/>
      <c r="D292" s="1744"/>
      <c r="E292" s="1744"/>
      <c r="F292" s="1744"/>
      <c r="G292" s="1744"/>
      <c r="H292" s="1744"/>
      <c r="I292" s="1744"/>
      <c r="J292" s="1744"/>
      <c r="K292" s="1744"/>
      <c r="L292" s="1744"/>
      <c r="M292" s="1744"/>
      <c r="N292" s="1744"/>
      <c r="O292" s="1744"/>
      <c r="P292" s="1744"/>
      <c r="Q292" s="1744"/>
      <c r="R292" s="1744"/>
      <c r="S292" s="1744"/>
      <c r="T292" s="1744"/>
      <c r="U292" s="1744"/>
      <c r="V292" s="1744"/>
      <c r="W292" s="1744"/>
      <c r="X292" s="1744"/>
      <c r="Y292" s="1744"/>
      <c r="Z292" s="1744"/>
      <c r="AA292" s="1744"/>
      <c r="AB292" s="1744"/>
      <c r="AC292" s="1744"/>
      <c r="AD292" s="1744"/>
      <c r="AE292" s="1744"/>
      <c r="AF292" s="1744"/>
      <c r="AG292" s="1744"/>
      <c r="AH292" s="1744"/>
      <c r="AI292" s="1744"/>
      <c r="AJ292" s="1744"/>
      <c r="AK292" s="1744"/>
      <c r="AL292" s="1744"/>
      <c r="AM292" s="1744"/>
      <c r="AN292" s="1744"/>
      <c r="AO292" s="1744"/>
      <c r="AP292" s="1744"/>
      <c r="AQ292" s="1744"/>
      <c r="AR292" s="1744"/>
      <c r="AS292" s="1744"/>
      <c r="AT292" s="1744"/>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2033" t="s">
        <v>2649</v>
      </c>
      <c r="I296" s="2033"/>
      <c r="J296" s="2033"/>
      <c r="K296" s="2033"/>
      <c r="L296" s="2033"/>
      <c r="M296" s="2033"/>
      <c r="N296" s="2033"/>
      <c r="O296" s="2033"/>
      <c r="P296" s="2033"/>
      <c r="Q296" s="2033"/>
      <c r="R296" s="2033"/>
      <c r="T296" s="3" t="s">
        <v>566</v>
      </c>
      <c r="V296" s="3"/>
      <c r="W296" s="3"/>
      <c r="X296" s="3"/>
      <c r="Y296" s="3"/>
      <c r="AA296" s="2033" t="s">
        <v>2665</v>
      </c>
      <c r="AB296" s="2033"/>
      <c r="AC296" s="2033"/>
      <c r="AD296" s="2033"/>
      <c r="AE296" s="2033"/>
      <c r="AF296" s="2033"/>
      <c r="AG296" s="2033"/>
      <c r="AH296" s="2033"/>
      <c r="AI296" s="2033"/>
      <c r="AJ296" s="2033"/>
      <c r="AK296" s="2033"/>
    </row>
    <row r="297" spans="1:51" ht="12.95" customHeight="1">
      <c r="B297" s="3" t="s">
        <v>470</v>
      </c>
      <c r="C297" s="3"/>
      <c r="D297" s="3"/>
      <c r="E297" s="3"/>
      <c r="F297" s="3"/>
      <c r="H297" s="2034" t="s">
        <v>2662</v>
      </c>
      <c r="I297" s="2034"/>
      <c r="J297" s="2034"/>
      <c r="K297" s="2034"/>
      <c r="L297" s="2034"/>
      <c r="M297" s="2034"/>
      <c r="N297" s="2034"/>
      <c r="O297" s="2034"/>
      <c r="P297" s="2034"/>
      <c r="Q297" s="2034"/>
      <c r="R297" s="2034"/>
      <c r="T297" s="3" t="s">
        <v>470</v>
      </c>
      <c r="V297" s="3"/>
      <c r="W297" s="3"/>
      <c r="X297" s="3"/>
      <c r="Y297" s="3"/>
      <c r="AA297" s="2034" t="s">
        <v>2666</v>
      </c>
      <c r="AB297" s="2034"/>
      <c r="AC297" s="2034"/>
      <c r="AD297" s="2034"/>
      <c r="AE297" s="2034"/>
      <c r="AF297" s="2034"/>
      <c r="AG297" s="2034"/>
      <c r="AH297" s="2034"/>
      <c r="AI297" s="2034"/>
      <c r="AJ297" s="2034"/>
      <c r="AK297" s="2034"/>
    </row>
    <row r="298" spans="1:51" ht="12.95" customHeight="1">
      <c r="B298" s="3" t="s">
        <v>471</v>
      </c>
      <c r="C298" s="3"/>
      <c r="D298" s="3"/>
      <c r="E298" s="3"/>
      <c r="F298" s="3"/>
      <c r="H298" s="2034" t="s">
        <v>2663</v>
      </c>
      <c r="I298" s="2034"/>
      <c r="J298" s="2034"/>
      <c r="K298" s="2034"/>
      <c r="L298" s="2034"/>
      <c r="M298" s="2034"/>
      <c r="N298" s="2034"/>
      <c r="O298" s="2034"/>
      <c r="P298" s="2034"/>
      <c r="Q298" s="2034"/>
      <c r="R298" s="2034"/>
      <c r="T298" s="3" t="s">
        <v>75</v>
      </c>
      <c r="V298" s="3"/>
      <c r="W298" s="3"/>
      <c r="X298" s="3"/>
      <c r="Y298" s="3"/>
      <c r="AA298" s="2034" t="s">
        <v>2667</v>
      </c>
      <c r="AB298" s="2034"/>
      <c r="AC298" s="2034"/>
      <c r="AD298" s="2034"/>
      <c r="AE298" s="2034"/>
      <c r="AF298" s="2034"/>
      <c r="AG298" s="2034"/>
      <c r="AH298" s="2034"/>
      <c r="AI298" s="2034"/>
      <c r="AJ298" s="2034"/>
      <c r="AK298" s="2034"/>
    </row>
    <row r="299" spans="1:51" ht="12.95" customHeight="1">
      <c r="B299" s="3" t="s">
        <v>87</v>
      </c>
      <c r="C299" s="3"/>
      <c r="D299" s="3"/>
      <c r="E299" s="3"/>
      <c r="F299" s="3"/>
      <c r="H299" s="2034" t="s">
        <v>2641</v>
      </c>
      <c r="I299" s="2034"/>
      <c r="J299" s="2034"/>
      <c r="K299" s="2034"/>
      <c r="L299" s="2034"/>
      <c r="M299" s="2034"/>
      <c r="N299" s="2034"/>
      <c r="O299" s="2034"/>
      <c r="P299" s="2034"/>
      <c r="Q299" s="2034"/>
      <c r="R299" s="2034"/>
      <c r="T299" s="3" t="s">
        <v>87</v>
      </c>
      <c r="V299" s="3"/>
      <c r="W299" s="3"/>
      <c r="X299" s="3"/>
      <c r="Y299" s="3"/>
      <c r="AA299" s="2034" t="s">
        <v>2668</v>
      </c>
      <c r="AB299" s="2034"/>
      <c r="AC299" s="2034"/>
      <c r="AD299" s="2034"/>
      <c r="AE299" s="2034"/>
      <c r="AF299" s="2034"/>
      <c r="AG299" s="2034"/>
      <c r="AH299" s="2034"/>
      <c r="AI299" s="2034"/>
      <c r="AJ299" s="2034"/>
      <c r="AK299" s="2034"/>
    </row>
    <row r="300" spans="1:51" ht="12.95" customHeight="1">
      <c r="B300" s="3" t="s">
        <v>88</v>
      </c>
      <c r="C300" s="3"/>
      <c r="D300" s="3"/>
      <c r="E300" s="3"/>
      <c r="F300" s="3"/>
      <c r="G300" s="3"/>
      <c r="H300" s="1745" t="s">
        <v>2647</v>
      </c>
      <c r="I300" s="1746"/>
      <c r="J300" s="1746"/>
      <c r="K300" s="1746"/>
      <c r="L300" s="1746"/>
      <c r="M300" s="1746"/>
      <c r="N300" s="4" t="s">
        <v>205</v>
      </c>
      <c r="O300" s="4"/>
      <c r="P300" s="1740"/>
      <c r="Q300" s="1740"/>
      <c r="R300" s="1740"/>
      <c r="S300" s="3"/>
      <c r="T300" s="3" t="s">
        <v>88</v>
      </c>
      <c r="V300" s="3"/>
      <c r="W300" s="3"/>
      <c r="X300" s="3"/>
      <c r="Y300" s="3"/>
      <c r="AA300" s="1745" t="s">
        <v>2669</v>
      </c>
      <c r="AB300" s="1746"/>
      <c r="AC300" s="1746"/>
      <c r="AD300" s="1746"/>
      <c r="AE300" s="1746"/>
      <c r="AF300" s="1746"/>
      <c r="AG300" s="4" t="s">
        <v>205</v>
      </c>
      <c r="AH300" s="4"/>
      <c r="AI300" s="1740"/>
      <c r="AJ300" s="1740"/>
      <c r="AK300" s="1740"/>
    </row>
    <row r="301" spans="1:51" ht="12.95" customHeight="1">
      <c r="B301" s="3" t="s">
        <v>89</v>
      </c>
      <c r="C301" s="3"/>
      <c r="D301" s="3"/>
      <c r="E301" s="3"/>
      <c r="F301" s="3"/>
      <c r="G301" s="3"/>
      <c r="H301" s="1699"/>
      <c r="I301" s="1699"/>
      <c r="J301" s="1699"/>
      <c r="K301" s="1699"/>
      <c r="L301" s="1699"/>
      <c r="M301" s="1699"/>
      <c r="N301" s="4"/>
      <c r="O301" s="4"/>
      <c r="P301" s="35"/>
      <c r="Q301" s="35"/>
      <c r="R301" s="35"/>
      <c r="S301" s="3"/>
      <c r="T301" s="3" t="s">
        <v>89</v>
      </c>
      <c r="V301" s="3"/>
      <c r="W301" s="3"/>
      <c r="X301" s="3"/>
      <c r="Y301" s="3"/>
      <c r="AA301" s="1699"/>
      <c r="AB301" s="1699"/>
      <c r="AC301" s="1699"/>
      <c r="AD301" s="1699"/>
      <c r="AE301" s="1699"/>
      <c r="AF301" s="1699"/>
      <c r="AG301" s="4"/>
      <c r="AH301" s="4"/>
      <c r="AI301" s="35"/>
      <c r="AJ301" s="35"/>
      <c r="AK301" s="35"/>
    </row>
    <row r="302" spans="1:51" ht="12.95" customHeight="1">
      <c r="B302" s="3" t="s">
        <v>76</v>
      </c>
      <c r="C302" s="3"/>
      <c r="D302" s="3"/>
      <c r="E302" s="3"/>
      <c r="F302" s="3"/>
      <c r="G302" s="3"/>
      <c r="H302" s="1643" t="s">
        <v>2648</v>
      </c>
      <c r="I302" s="1696"/>
      <c r="J302" s="1696"/>
      <c r="K302" s="1696"/>
      <c r="L302" s="1696"/>
      <c r="M302" s="1696"/>
      <c r="N302" s="1697"/>
      <c r="O302" s="1697"/>
      <c r="P302" s="1697"/>
      <c r="Q302" s="1697"/>
      <c r="R302" s="1697"/>
      <c r="S302" s="3"/>
      <c r="T302" s="3" t="s">
        <v>76</v>
      </c>
      <c r="V302" s="3"/>
      <c r="W302" s="3"/>
      <c r="X302" s="3"/>
      <c r="Y302" s="3"/>
      <c r="AA302" s="1643" t="s">
        <v>2670</v>
      </c>
      <c r="AB302" s="1696"/>
      <c r="AC302" s="1696"/>
      <c r="AD302" s="1696"/>
      <c r="AE302" s="1696"/>
      <c r="AF302" s="1696"/>
      <c r="AG302" s="1697"/>
      <c r="AH302" s="1697"/>
      <c r="AI302" s="1697"/>
      <c r="AJ302" s="1697"/>
      <c r="AK302" s="169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2033" t="s">
        <v>2671</v>
      </c>
      <c r="I304" s="2033"/>
      <c r="J304" s="2033"/>
      <c r="K304" s="2033"/>
      <c r="L304" s="2033"/>
      <c r="M304" s="2033"/>
      <c r="N304" s="2033"/>
      <c r="O304" s="2033"/>
      <c r="P304" s="2033"/>
      <c r="Q304" s="2033"/>
      <c r="R304" s="2033"/>
      <c r="T304" s="3" t="s">
        <v>363</v>
      </c>
      <c r="V304" s="3"/>
      <c r="W304" s="3"/>
      <c r="X304" s="3"/>
      <c r="Y304" s="3"/>
      <c r="AA304" s="1703" t="s">
        <v>2677</v>
      </c>
      <c r="AB304" s="1697"/>
      <c r="AC304" s="1697"/>
      <c r="AD304" s="1697"/>
      <c r="AE304" s="1697"/>
      <c r="AF304" s="1697"/>
      <c r="AG304" s="1697"/>
      <c r="AH304" s="1697"/>
      <c r="AI304" s="1697"/>
      <c r="AJ304" s="1697"/>
      <c r="AK304" s="1697"/>
    </row>
    <row r="305" spans="2:72" ht="12.95" customHeight="1">
      <c r="B305" s="3" t="s">
        <v>470</v>
      </c>
      <c r="C305" s="3"/>
      <c r="D305" s="3"/>
      <c r="E305" s="3"/>
      <c r="F305" s="3"/>
      <c r="H305" s="2034" t="s">
        <v>2672</v>
      </c>
      <c r="I305" s="2034"/>
      <c r="J305" s="2034"/>
      <c r="K305" s="2034"/>
      <c r="L305" s="2034"/>
      <c r="M305" s="2034"/>
      <c r="N305" s="2034"/>
      <c r="O305" s="2034"/>
      <c r="P305" s="2034"/>
      <c r="Q305" s="2034"/>
      <c r="R305" s="2034"/>
      <c r="T305" s="3" t="s">
        <v>470</v>
      </c>
      <c r="V305" s="3"/>
      <c r="W305" s="3"/>
      <c r="X305" s="3"/>
      <c r="Y305" s="3"/>
      <c r="AA305" s="1643" t="s">
        <v>2678</v>
      </c>
      <c r="AB305" s="1696"/>
      <c r="AC305" s="1696"/>
      <c r="AD305" s="1696"/>
      <c r="AE305" s="1696"/>
      <c r="AF305" s="1696"/>
      <c r="AG305" s="1696"/>
      <c r="AH305" s="1696"/>
      <c r="AI305" s="1696"/>
      <c r="AJ305" s="1696"/>
      <c r="AK305" s="1696"/>
      <c r="AX305" s="1188"/>
      <c r="AY305" s="1188"/>
      <c r="AZ305" s="1188"/>
      <c r="BA305" s="1188"/>
      <c r="BB305" s="1188"/>
      <c r="BC305" s="1188"/>
      <c r="BD305" s="1188"/>
      <c r="BE305" s="1188"/>
      <c r="BF305" s="1188"/>
      <c r="BG305" s="1188"/>
      <c r="BH305" s="1188"/>
      <c r="BI305" s="1188"/>
      <c r="BJ305" s="1188"/>
      <c r="BK305" s="1188"/>
      <c r="BL305" s="1188"/>
      <c r="BM305" s="1188"/>
      <c r="BN305" s="1188"/>
      <c r="BO305" s="1188"/>
      <c r="BP305" s="1188"/>
      <c r="BQ305" s="1188"/>
      <c r="BR305" s="1188"/>
      <c r="BS305" s="1188"/>
      <c r="BT305" s="1188"/>
    </row>
    <row r="306" spans="2:72" ht="12.95" customHeight="1">
      <c r="B306" s="3" t="s">
        <v>471</v>
      </c>
      <c r="C306" s="3"/>
      <c r="D306" s="3"/>
      <c r="E306" s="3"/>
      <c r="F306" s="3"/>
      <c r="H306" s="2034" t="s">
        <v>2673</v>
      </c>
      <c r="I306" s="2034"/>
      <c r="J306" s="2034"/>
      <c r="K306" s="2034"/>
      <c r="L306" s="2034"/>
      <c r="M306" s="2034"/>
      <c r="N306" s="2034"/>
      <c r="O306" s="2034"/>
      <c r="P306" s="2034"/>
      <c r="Q306" s="2034"/>
      <c r="R306" s="2034"/>
      <c r="T306" s="3" t="s">
        <v>75</v>
      </c>
      <c r="V306" s="3"/>
      <c r="W306" s="3"/>
      <c r="X306" s="3"/>
      <c r="Y306" s="3"/>
      <c r="AA306" s="1643" t="s">
        <v>2679</v>
      </c>
      <c r="AB306" s="1696"/>
      <c r="AC306" s="1696"/>
      <c r="AD306" s="1696"/>
      <c r="AE306" s="1696"/>
      <c r="AF306" s="1696"/>
      <c r="AG306" s="1696"/>
      <c r="AH306" s="1696"/>
      <c r="AI306" s="1696"/>
      <c r="AJ306" s="1696"/>
      <c r="AK306" s="1696"/>
      <c r="AX306" s="1188"/>
      <c r="AY306" s="1188"/>
      <c r="AZ306" s="1188"/>
      <c r="BA306" s="1188"/>
      <c r="BB306" s="1188"/>
      <c r="BC306" s="1188"/>
      <c r="BD306" s="1188"/>
      <c r="BE306" s="1188"/>
      <c r="BF306" s="1188"/>
      <c r="BG306" s="1188"/>
      <c r="BH306" s="1188"/>
      <c r="BI306" s="1188"/>
      <c r="BJ306" s="1188"/>
      <c r="BK306" s="1188"/>
      <c r="BL306" s="1188"/>
      <c r="BM306" s="1188"/>
      <c r="BN306" s="1188"/>
      <c r="BO306" s="1188"/>
      <c r="BP306" s="1188"/>
      <c r="BQ306" s="1188"/>
      <c r="BR306" s="1188"/>
      <c r="BS306" s="1188"/>
      <c r="BT306" s="1188"/>
    </row>
    <row r="307" spans="2:72" ht="12.95" customHeight="1">
      <c r="B307" s="3" t="s">
        <v>87</v>
      </c>
      <c r="C307" s="3"/>
      <c r="D307" s="3"/>
      <c r="E307" s="3"/>
      <c r="F307" s="3"/>
      <c r="H307" s="2034" t="s">
        <v>2674</v>
      </c>
      <c r="I307" s="2034"/>
      <c r="J307" s="2034"/>
      <c r="K307" s="2034"/>
      <c r="L307" s="2034"/>
      <c r="M307" s="2034"/>
      <c r="N307" s="2034"/>
      <c r="O307" s="2034"/>
      <c r="P307" s="2034"/>
      <c r="Q307" s="2034"/>
      <c r="R307" s="2034"/>
      <c r="T307" s="3" t="s">
        <v>87</v>
      </c>
      <c r="V307" s="3"/>
      <c r="W307" s="3"/>
      <c r="X307" s="3"/>
      <c r="Y307" s="3"/>
      <c r="AA307" s="1643" t="s">
        <v>2680</v>
      </c>
      <c r="AB307" s="1696"/>
      <c r="AC307" s="1696"/>
      <c r="AD307" s="1696"/>
      <c r="AE307" s="1696"/>
      <c r="AF307" s="1696"/>
      <c r="AG307" s="1696"/>
      <c r="AH307" s="1696"/>
      <c r="AI307" s="1696"/>
      <c r="AJ307" s="1696"/>
      <c r="AK307" s="1696"/>
    </row>
    <row r="308" spans="2:72" ht="12.95" customHeight="1">
      <c r="B308" s="3" t="s">
        <v>88</v>
      </c>
      <c r="C308" s="3"/>
      <c r="D308" s="3"/>
      <c r="E308" s="3"/>
      <c r="F308" s="3"/>
      <c r="G308" s="3"/>
      <c r="H308" s="1745" t="s">
        <v>2675</v>
      </c>
      <c r="I308" s="1746"/>
      <c r="J308" s="1746"/>
      <c r="K308" s="1746"/>
      <c r="L308" s="1746"/>
      <c r="M308" s="1746"/>
      <c r="N308" s="4" t="s">
        <v>205</v>
      </c>
      <c r="O308" s="4"/>
      <c r="P308" s="1740"/>
      <c r="Q308" s="1740"/>
      <c r="R308" s="1740"/>
      <c r="S308" s="3"/>
      <c r="T308" s="3" t="s">
        <v>88</v>
      </c>
      <c r="V308" s="3"/>
      <c r="W308" s="3"/>
      <c r="X308" s="3"/>
      <c r="Y308" s="3"/>
      <c r="AA308" s="1745" t="s">
        <v>2681</v>
      </c>
      <c r="AB308" s="1746"/>
      <c r="AC308" s="1746"/>
      <c r="AD308" s="1746"/>
      <c r="AE308" s="1746"/>
      <c r="AF308" s="1746"/>
      <c r="AG308" s="4" t="s">
        <v>205</v>
      </c>
      <c r="AH308" s="4"/>
      <c r="AI308" s="1740"/>
      <c r="AJ308" s="1740"/>
      <c r="AK308" s="1740"/>
    </row>
    <row r="309" spans="2:72" ht="12.95" customHeight="1">
      <c r="B309" s="3" t="s">
        <v>89</v>
      </c>
      <c r="C309" s="3"/>
      <c r="D309" s="3"/>
      <c r="E309" s="3"/>
      <c r="F309" s="3"/>
      <c r="G309" s="3"/>
      <c r="H309" s="1699"/>
      <c r="I309" s="1699"/>
      <c r="J309" s="1699"/>
      <c r="K309" s="1699"/>
      <c r="L309" s="1699"/>
      <c r="M309" s="1699"/>
      <c r="N309" s="4"/>
      <c r="O309" s="4"/>
      <c r="P309" s="35"/>
      <c r="Q309" s="35"/>
      <c r="R309" s="35"/>
      <c r="S309" s="3"/>
      <c r="T309" s="3" t="s">
        <v>89</v>
      </c>
      <c r="V309" s="3"/>
      <c r="W309" s="3"/>
      <c r="X309" s="3"/>
      <c r="Y309" s="3"/>
      <c r="AA309" s="1699"/>
      <c r="AB309" s="1699"/>
      <c r="AC309" s="1699"/>
      <c r="AD309" s="1699"/>
      <c r="AE309" s="1699"/>
      <c r="AF309" s="1699"/>
      <c r="AG309" s="4"/>
      <c r="AH309" s="4"/>
      <c r="AI309" s="35"/>
      <c r="AJ309" s="35"/>
      <c r="AK309" s="35"/>
    </row>
    <row r="310" spans="2:72" ht="12.95" customHeight="1">
      <c r="B310" s="3" t="s">
        <v>76</v>
      </c>
      <c r="C310" s="3"/>
      <c r="D310" s="3"/>
      <c r="E310" s="3"/>
      <c r="F310" s="3"/>
      <c r="G310" s="3"/>
      <c r="H310" s="1643" t="s">
        <v>2676</v>
      </c>
      <c r="I310" s="1696"/>
      <c r="J310" s="1696"/>
      <c r="K310" s="1696"/>
      <c r="L310" s="1696"/>
      <c r="M310" s="1696"/>
      <c r="N310" s="1697"/>
      <c r="O310" s="1697"/>
      <c r="P310" s="1697"/>
      <c r="Q310" s="1697"/>
      <c r="R310" s="1697"/>
      <c r="S310" s="3"/>
      <c r="T310" s="3" t="s">
        <v>76</v>
      </c>
      <c r="V310" s="3"/>
      <c r="W310" s="3"/>
      <c r="X310" s="3"/>
      <c r="Y310" s="3"/>
      <c r="AA310" s="1643" t="s">
        <v>2682</v>
      </c>
      <c r="AB310" s="1696"/>
      <c r="AC310" s="1696"/>
      <c r="AD310" s="1696"/>
      <c r="AE310" s="1696"/>
      <c r="AF310" s="1696"/>
      <c r="AG310" s="1697"/>
      <c r="AH310" s="1697"/>
      <c r="AI310" s="1697"/>
      <c r="AJ310" s="1697"/>
      <c r="AK310" s="1697"/>
    </row>
    <row r="311" spans="2:72" ht="12.95" customHeight="1"/>
    <row r="312" spans="2:72" ht="12.95" customHeight="1">
      <c r="B312" s="3" t="s">
        <v>77</v>
      </c>
      <c r="C312" s="3"/>
      <c r="D312" s="3"/>
      <c r="E312" s="3"/>
      <c r="F312" s="3"/>
      <c r="H312" s="2033" t="s">
        <v>2683</v>
      </c>
      <c r="I312" s="2033"/>
      <c r="J312" s="2033"/>
      <c r="K312" s="2033"/>
      <c r="L312" s="2033"/>
      <c r="M312" s="2033"/>
      <c r="N312" s="2033"/>
      <c r="O312" s="2033"/>
      <c r="P312" s="2033"/>
      <c r="Q312" s="2033"/>
      <c r="R312" s="2033"/>
      <c r="T312" s="4" t="s">
        <v>875</v>
      </c>
      <c r="V312" s="3"/>
      <c r="W312" s="3"/>
      <c r="X312" s="3"/>
      <c r="Y312" s="3"/>
      <c r="AA312" s="2033" t="s">
        <v>2688</v>
      </c>
      <c r="AB312" s="2033"/>
      <c r="AC312" s="2033"/>
      <c r="AD312" s="2033"/>
      <c r="AE312" s="2033"/>
      <c r="AF312" s="2033"/>
      <c r="AG312" s="2033"/>
      <c r="AH312" s="2033"/>
      <c r="AI312" s="2033"/>
      <c r="AJ312" s="2033"/>
      <c r="AK312" s="2033"/>
    </row>
    <row r="313" spans="2:72" ht="12.95" customHeight="1">
      <c r="B313" s="3" t="s">
        <v>470</v>
      </c>
      <c r="C313" s="3"/>
      <c r="D313" s="3"/>
      <c r="E313" s="3"/>
      <c r="F313" s="3"/>
      <c r="H313" s="2034" t="s">
        <v>2684</v>
      </c>
      <c r="I313" s="2034"/>
      <c r="J313" s="2034"/>
      <c r="K313" s="2034"/>
      <c r="L313" s="2034"/>
      <c r="M313" s="2034"/>
      <c r="N313" s="2034"/>
      <c r="O313" s="2034"/>
      <c r="P313" s="2034"/>
      <c r="Q313" s="2034"/>
      <c r="R313" s="2034"/>
      <c r="T313" s="3" t="s">
        <v>470</v>
      </c>
      <c r="V313" s="3"/>
      <c r="W313" s="3"/>
      <c r="X313" s="3"/>
      <c r="Y313" s="3"/>
      <c r="AA313" s="2034" t="s">
        <v>2689</v>
      </c>
      <c r="AB313" s="2034"/>
      <c r="AC313" s="2034"/>
      <c r="AD313" s="2034"/>
      <c r="AE313" s="2034"/>
      <c r="AF313" s="2034"/>
      <c r="AG313" s="2034"/>
      <c r="AH313" s="2034"/>
      <c r="AI313" s="2034"/>
      <c r="AJ313" s="2034"/>
      <c r="AK313" s="2034"/>
    </row>
    <row r="314" spans="2:72" ht="12.95" customHeight="1">
      <c r="B314" s="3" t="s">
        <v>471</v>
      </c>
      <c r="C314" s="3"/>
      <c r="D314" s="3"/>
      <c r="E314" s="3"/>
      <c r="F314" s="3"/>
      <c r="H314" s="2034" t="s">
        <v>2673</v>
      </c>
      <c r="I314" s="2034"/>
      <c r="J314" s="2034"/>
      <c r="K314" s="2034"/>
      <c r="L314" s="2034"/>
      <c r="M314" s="2034"/>
      <c r="N314" s="2034"/>
      <c r="O314" s="2034"/>
      <c r="P314" s="2034"/>
      <c r="Q314" s="2034"/>
      <c r="R314" s="2034"/>
      <c r="T314" s="3" t="s">
        <v>75</v>
      </c>
      <c r="V314" s="3"/>
      <c r="W314" s="3"/>
      <c r="X314" s="3"/>
      <c r="Y314" s="3"/>
      <c r="AA314" s="2034" t="s">
        <v>2690</v>
      </c>
      <c r="AB314" s="2034"/>
      <c r="AC314" s="2034"/>
      <c r="AD314" s="2034"/>
      <c r="AE314" s="2034"/>
      <c r="AF314" s="2034"/>
      <c r="AG314" s="2034"/>
      <c r="AH314" s="2034"/>
      <c r="AI314" s="2034"/>
      <c r="AJ314" s="2034"/>
      <c r="AK314" s="2034"/>
    </row>
    <row r="315" spans="2:72" ht="12.95" customHeight="1">
      <c r="B315" s="3" t="s">
        <v>87</v>
      </c>
      <c r="C315" s="3"/>
      <c r="D315" s="3"/>
      <c r="E315" s="3"/>
      <c r="F315" s="3"/>
      <c r="H315" s="2034" t="s">
        <v>2685</v>
      </c>
      <c r="I315" s="2034"/>
      <c r="J315" s="2034"/>
      <c r="K315" s="2034"/>
      <c r="L315" s="2034"/>
      <c r="M315" s="2034"/>
      <c r="N315" s="2034"/>
      <c r="O315" s="2034"/>
      <c r="P315" s="2034"/>
      <c r="Q315" s="2034"/>
      <c r="R315" s="2034"/>
      <c r="T315" s="3" t="s">
        <v>87</v>
      </c>
      <c r="V315" s="3"/>
      <c r="W315" s="3"/>
      <c r="X315" s="3"/>
      <c r="Y315" s="3"/>
      <c r="AA315" s="2034" t="s">
        <v>2691</v>
      </c>
      <c r="AB315" s="2034"/>
      <c r="AC315" s="2034"/>
      <c r="AD315" s="2034"/>
      <c r="AE315" s="2034"/>
      <c r="AF315" s="2034"/>
      <c r="AG315" s="2034"/>
      <c r="AH315" s="2034"/>
      <c r="AI315" s="2034"/>
      <c r="AJ315" s="2034"/>
      <c r="AK315" s="2034"/>
    </row>
    <row r="316" spans="2:72" ht="12.95" customHeight="1">
      <c r="B316" s="3" t="s">
        <v>88</v>
      </c>
      <c r="C316" s="3"/>
      <c r="D316" s="3"/>
      <c r="E316" s="3"/>
      <c r="F316" s="3"/>
      <c r="G316" s="3"/>
      <c r="H316" s="1745" t="s">
        <v>2686</v>
      </c>
      <c r="I316" s="1746"/>
      <c r="J316" s="1746"/>
      <c r="K316" s="1746"/>
      <c r="L316" s="1746"/>
      <c r="M316" s="1746"/>
      <c r="N316" s="4" t="s">
        <v>205</v>
      </c>
      <c r="O316" s="4"/>
      <c r="P316" s="1740"/>
      <c r="Q316" s="1740"/>
      <c r="R316" s="1740"/>
      <c r="S316" s="3"/>
      <c r="T316" s="3" t="s">
        <v>88</v>
      </c>
      <c r="V316" s="3"/>
      <c r="W316" s="3"/>
      <c r="X316" s="3"/>
      <c r="Y316" s="3"/>
      <c r="AA316" s="1745" t="s">
        <v>2692</v>
      </c>
      <c r="AB316" s="1746"/>
      <c r="AC316" s="1746"/>
      <c r="AD316" s="1746"/>
      <c r="AE316" s="1746"/>
      <c r="AF316" s="1746"/>
      <c r="AG316" s="4" t="s">
        <v>205</v>
      </c>
      <c r="AH316" s="4"/>
      <c r="AI316" s="1740"/>
      <c r="AJ316" s="1740"/>
      <c r="AK316" s="1740"/>
    </row>
    <row r="317" spans="2:72" ht="12.95" customHeight="1">
      <c r="B317" s="3" t="s">
        <v>89</v>
      </c>
      <c r="C317" s="3"/>
      <c r="D317" s="3"/>
      <c r="E317" s="3"/>
      <c r="F317" s="3"/>
      <c r="G317" s="3"/>
      <c r="H317" s="1699"/>
      <c r="I317" s="1699"/>
      <c r="J317" s="1699"/>
      <c r="K317" s="1699"/>
      <c r="L317" s="1699"/>
      <c r="M317" s="1699"/>
      <c r="N317" s="4"/>
      <c r="O317" s="4"/>
      <c r="P317" s="35"/>
      <c r="Q317" s="35"/>
      <c r="R317" s="35"/>
      <c r="S317" s="3"/>
      <c r="T317" s="3" t="s">
        <v>89</v>
      </c>
      <c r="V317" s="3"/>
      <c r="W317" s="3"/>
      <c r="X317" s="3"/>
      <c r="Y317" s="3"/>
      <c r="AA317" s="1699"/>
      <c r="AB317" s="1699"/>
      <c r="AC317" s="1699"/>
      <c r="AD317" s="1699"/>
      <c r="AE317" s="1699"/>
      <c r="AF317" s="1699"/>
      <c r="AG317" s="4"/>
      <c r="AH317" s="4"/>
      <c r="AI317" s="35"/>
      <c r="AJ317" s="35"/>
      <c r="AK317" s="35"/>
    </row>
    <row r="318" spans="2:72" ht="12.95" customHeight="1">
      <c r="B318" s="3" t="s">
        <v>76</v>
      </c>
      <c r="C318" s="3"/>
      <c r="D318" s="3"/>
      <c r="E318" s="3"/>
      <c r="F318" s="3"/>
      <c r="G318" s="3"/>
      <c r="H318" s="1696" t="s">
        <v>2687</v>
      </c>
      <c r="I318" s="1696"/>
      <c r="J318" s="1696"/>
      <c r="K318" s="1696"/>
      <c r="L318" s="1696"/>
      <c r="M318" s="1696"/>
      <c r="N318" s="1697"/>
      <c r="O318" s="1697"/>
      <c r="P318" s="1697"/>
      <c r="Q318" s="1697"/>
      <c r="R318" s="1697"/>
      <c r="S318" s="3"/>
      <c r="T318" s="3" t="s">
        <v>76</v>
      </c>
      <c r="V318" s="3"/>
      <c r="W318" s="3"/>
      <c r="X318" s="3"/>
      <c r="Y318" s="3"/>
      <c r="AA318" s="1643" t="s">
        <v>2693</v>
      </c>
      <c r="AB318" s="1696"/>
      <c r="AC318" s="1696"/>
      <c r="AD318" s="1696"/>
      <c r="AE318" s="1696"/>
      <c r="AF318" s="1696"/>
      <c r="AG318" s="1697"/>
      <c r="AH318" s="1697"/>
      <c r="AI318" s="1697"/>
      <c r="AJ318" s="1697"/>
      <c r="AK318" s="1697"/>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904</v>
      </c>
      <c r="C320" s="3"/>
      <c r="D320" s="3"/>
      <c r="E320" s="3"/>
      <c r="F320" s="3"/>
      <c r="H320" s="2033" t="s">
        <v>2683</v>
      </c>
      <c r="I320" s="2033"/>
      <c r="J320" s="2033"/>
      <c r="K320" s="2033"/>
      <c r="L320" s="2033"/>
      <c r="M320" s="2033"/>
      <c r="N320" s="2033"/>
      <c r="O320" s="2033"/>
      <c r="P320" s="2033"/>
      <c r="Q320" s="2033"/>
      <c r="R320" s="2033"/>
      <c r="S320" s="3"/>
      <c r="T320" s="3" t="s">
        <v>364</v>
      </c>
      <c r="V320" s="3"/>
      <c r="W320" s="3"/>
      <c r="X320" s="3"/>
      <c r="Y320" s="3"/>
      <c r="AA320" s="2033" t="s">
        <v>2694</v>
      </c>
      <c r="AB320" s="2033"/>
      <c r="AC320" s="2033"/>
      <c r="AD320" s="2033"/>
      <c r="AE320" s="2033"/>
      <c r="AF320" s="2033"/>
      <c r="AG320" s="2033"/>
      <c r="AH320" s="2033"/>
      <c r="AI320" s="2033"/>
      <c r="AJ320" s="2033"/>
      <c r="AK320" s="2033"/>
    </row>
    <row r="321" spans="2:37" ht="12.95" customHeight="1">
      <c r="B321" s="3" t="s">
        <v>470</v>
      </c>
      <c r="C321" s="3"/>
      <c r="D321" s="3"/>
      <c r="E321" s="3"/>
      <c r="F321" s="3"/>
      <c r="H321" s="2034" t="s">
        <v>2684</v>
      </c>
      <c r="I321" s="2034"/>
      <c r="J321" s="2034"/>
      <c r="K321" s="2034"/>
      <c r="L321" s="2034"/>
      <c r="M321" s="2034"/>
      <c r="N321" s="2034"/>
      <c r="O321" s="2034"/>
      <c r="P321" s="2034"/>
      <c r="Q321" s="2034"/>
      <c r="R321" s="2034"/>
      <c r="S321" s="3"/>
      <c r="T321" s="3" t="s">
        <v>470</v>
      </c>
      <c r="V321" s="3"/>
      <c r="W321" s="3"/>
      <c r="X321" s="3"/>
      <c r="Y321" s="3"/>
      <c r="AA321" s="2034" t="s">
        <v>2695</v>
      </c>
      <c r="AB321" s="2034"/>
      <c r="AC321" s="2034"/>
      <c r="AD321" s="2034"/>
      <c r="AE321" s="2034"/>
      <c r="AF321" s="2034"/>
      <c r="AG321" s="2034"/>
      <c r="AH321" s="2034"/>
      <c r="AI321" s="2034"/>
      <c r="AJ321" s="2034"/>
      <c r="AK321" s="2034"/>
    </row>
    <row r="322" spans="2:37" ht="12.95" customHeight="1">
      <c r="B322" s="3" t="s">
        <v>471</v>
      </c>
      <c r="C322" s="3"/>
      <c r="D322" s="3"/>
      <c r="E322" s="3"/>
      <c r="F322" s="3"/>
      <c r="H322" s="2034" t="s">
        <v>2673</v>
      </c>
      <c r="I322" s="2034"/>
      <c r="J322" s="2034"/>
      <c r="K322" s="2034"/>
      <c r="L322" s="2034"/>
      <c r="M322" s="2034"/>
      <c r="N322" s="2034"/>
      <c r="O322" s="2034"/>
      <c r="P322" s="2034"/>
      <c r="Q322" s="2034"/>
      <c r="R322" s="2034"/>
      <c r="S322" s="3"/>
      <c r="T322" s="3" t="s">
        <v>75</v>
      </c>
      <c r="V322" s="3"/>
      <c r="W322" s="3"/>
      <c r="X322" s="3"/>
      <c r="Y322" s="3"/>
      <c r="AA322" s="2034" t="s">
        <v>2696</v>
      </c>
      <c r="AB322" s="2034"/>
      <c r="AC322" s="2034"/>
      <c r="AD322" s="2034"/>
      <c r="AE322" s="2034"/>
      <c r="AF322" s="2034"/>
      <c r="AG322" s="2034"/>
      <c r="AH322" s="2034"/>
      <c r="AI322" s="2034"/>
      <c r="AJ322" s="2034"/>
      <c r="AK322" s="2034"/>
    </row>
    <row r="323" spans="2:37" ht="12.95" customHeight="1">
      <c r="B323" s="3" t="s">
        <v>87</v>
      </c>
      <c r="C323" s="3"/>
      <c r="D323" s="3"/>
      <c r="E323" s="3"/>
      <c r="F323" s="3"/>
      <c r="H323" s="2034" t="s">
        <v>2685</v>
      </c>
      <c r="I323" s="2034"/>
      <c r="J323" s="2034"/>
      <c r="K323" s="2034"/>
      <c r="L323" s="2034"/>
      <c r="M323" s="2034"/>
      <c r="N323" s="2034"/>
      <c r="O323" s="2034"/>
      <c r="P323" s="2034"/>
      <c r="Q323" s="2034"/>
      <c r="R323" s="2034"/>
      <c r="S323" s="3"/>
      <c r="T323" s="3" t="s">
        <v>87</v>
      </c>
      <c r="V323" s="3"/>
      <c r="W323" s="3"/>
      <c r="X323" s="3"/>
      <c r="Y323" s="3"/>
      <c r="AA323" s="2034" t="s">
        <v>2697</v>
      </c>
      <c r="AB323" s="2034"/>
      <c r="AC323" s="2034"/>
      <c r="AD323" s="2034"/>
      <c r="AE323" s="2034"/>
      <c r="AF323" s="2034"/>
      <c r="AG323" s="2034"/>
      <c r="AH323" s="2034"/>
      <c r="AI323" s="2034"/>
      <c r="AJ323" s="2034"/>
      <c r="AK323" s="2034"/>
    </row>
    <row r="324" spans="2:37" ht="12.95" customHeight="1">
      <c r="B324" s="3" t="s">
        <v>88</v>
      </c>
      <c r="C324" s="3"/>
      <c r="D324" s="3"/>
      <c r="E324" s="3"/>
      <c r="F324" s="3"/>
      <c r="G324" s="3"/>
      <c r="H324" s="1745" t="s">
        <v>2686</v>
      </c>
      <c r="I324" s="1746"/>
      <c r="J324" s="1746"/>
      <c r="K324" s="1746"/>
      <c r="L324" s="1746"/>
      <c r="M324" s="1746"/>
      <c r="N324" s="4" t="s">
        <v>205</v>
      </c>
      <c r="O324" s="4"/>
      <c r="P324" s="1740"/>
      <c r="Q324" s="1740"/>
      <c r="R324" s="1740"/>
      <c r="S324" s="3"/>
      <c r="T324" s="3" t="s">
        <v>88</v>
      </c>
      <c r="V324" s="3"/>
      <c r="W324" s="3"/>
      <c r="X324" s="3"/>
      <c r="Y324" s="3"/>
      <c r="AA324" s="1745" t="s">
        <v>2698</v>
      </c>
      <c r="AB324" s="1746"/>
      <c r="AC324" s="1746"/>
      <c r="AD324" s="1746"/>
      <c r="AE324" s="1746"/>
      <c r="AF324" s="1746"/>
      <c r="AG324" s="4" t="s">
        <v>205</v>
      </c>
      <c r="AH324" s="4"/>
      <c r="AI324" s="1740"/>
      <c r="AJ324" s="1740"/>
      <c r="AK324" s="1740"/>
    </row>
    <row r="325" spans="2:37" ht="12.95" customHeight="1">
      <c r="B325" s="3" t="s">
        <v>89</v>
      </c>
      <c r="C325" s="3"/>
      <c r="D325" s="3"/>
      <c r="E325" s="3"/>
      <c r="F325" s="3"/>
      <c r="G325" s="3"/>
      <c r="H325" s="1699"/>
      <c r="I325" s="1699"/>
      <c r="J325" s="1699"/>
      <c r="K325" s="1699"/>
      <c r="L325" s="1699"/>
      <c r="M325" s="1699"/>
      <c r="N325" s="4"/>
      <c r="O325" s="4"/>
      <c r="P325" s="35"/>
      <c r="Q325" s="35"/>
      <c r="R325" s="35"/>
      <c r="S325" s="3"/>
      <c r="T325" s="3" t="s">
        <v>89</v>
      </c>
      <c r="V325" s="3"/>
      <c r="W325" s="3"/>
      <c r="X325" s="3"/>
      <c r="Y325" s="3"/>
      <c r="AA325" s="1699"/>
      <c r="AB325" s="1699"/>
      <c r="AC325" s="1699"/>
      <c r="AD325" s="1699"/>
      <c r="AE325" s="1699"/>
      <c r="AF325" s="1699"/>
      <c r="AG325" s="4"/>
      <c r="AH325" s="4"/>
      <c r="AI325" s="35"/>
      <c r="AJ325" s="35"/>
      <c r="AK325" s="35"/>
    </row>
    <row r="326" spans="2:37" ht="12.95" customHeight="1">
      <c r="B326" s="3" t="s">
        <v>76</v>
      </c>
      <c r="C326" s="3"/>
      <c r="D326" s="3"/>
      <c r="E326" s="3"/>
      <c r="F326" s="3"/>
      <c r="G326" s="3"/>
      <c r="H326" s="1643" t="s">
        <v>2687</v>
      </c>
      <c r="I326" s="1696"/>
      <c r="J326" s="1696"/>
      <c r="K326" s="1696"/>
      <c r="L326" s="1696"/>
      <c r="M326" s="1696"/>
      <c r="N326" s="1697"/>
      <c r="O326" s="1697"/>
      <c r="P326" s="1697"/>
      <c r="Q326" s="1697"/>
      <c r="R326" s="1697"/>
      <c r="S326" s="3"/>
      <c r="T326" s="3" t="s">
        <v>76</v>
      </c>
      <c r="V326" s="3"/>
      <c r="W326" s="3"/>
      <c r="X326" s="3"/>
      <c r="Y326" s="3"/>
      <c r="AA326" s="2034" t="s">
        <v>2699</v>
      </c>
      <c r="AB326" s="2034"/>
      <c r="AC326" s="2034"/>
      <c r="AD326" s="2034"/>
      <c r="AE326" s="2034"/>
      <c r="AF326" s="2034"/>
      <c r="AG326" s="2033"/>
      <c r="AH326" s="2033"/>
      <c r="AI326" s="2033"/>
      <c r="AJ326" s="2033"/>
      <c r="AK326" s="2033"/>
    </row>
    <row r="327" spans="2:37" ht="12.95" customHeight="1"/>
    <row r="328" spans="2:37" ht="12.95" customHeight="1">
      <c r="B328" s="4" t="s">
        <v>905</v>
      </c>
      <c r="C328" s="3"/>
      <c r="D328" s="3"/>
      <c r="E328" s="3"/>
      <c r="F328" s="3"/>
      <c r="H328" s="2033" t="s">
        <v>2700</v>
      </c>
      <c r="I328" s="2033"/>
      <c r="J328" s="2033"/>
      <c r="K328" s="2033"/>
      <c r="L328" s="2033"/>
      <c r="M328" s="2033"/>
      <c r="N328" s="2033"/>
      <c r="O328" s="2033"/>
      <c r="P328" s="2033"/>
      <c r="Q328" s="2033"/>
      <c r="R328" s="2033"/>
      <c r="T328" s="3" t="s">
        <v>365</v>
      </c>
      <c r="V328" s="3"/>
      <c r="W328" s="3"/>
      <c r="X328" s="3"/>
      <c r="Y328" s="3"/>
      <c r="AA328" s="2033" t="s">
        <v>2706</v>
      </c>
      <c r="AB328" s="2033"/>
      <c r="AC328" s="2033"/>
      <c r="AD328" s="2033"/>
      <c r="AE328" s="2033"/>
      <c r="AF328" s="2033"/>
      <c r="AG328" s="2033"/>
      <c r="AH328" s="2033"/>
      <c r="AI328" s="2033"/>
      <c r="AJ328" s="2033"/>
      <c r="AK328" s="2033"/>
    </row>
    <row r="329" spans="2:37" ht="12.95" customHeight="1">
      <c r="B329" s="3" t="s">
        <v>470</v>
      </c>
      <c r="C329" s="3"/>
      <c r="D329" s="3"/>
      <c r="E329" s="3"/>
      <c r="F329" s="3"/>
      <c r="H329" s="2034" t="s">
        <v>2701</v>
      </c>
      <c r="I329" s="2034"/>
      <c r="J329" s="2034"/>
      <c r="K329" s="2034"/>
      <c r="L329" s="2034"/>
      <c r="M329" s="2034"/>
      <c r="N329" s="2034"/>
      <c r="O329" s="2034"/>
      <c r="P329" s="2034"/>
      <c r="Q329" s="2034"/>
      <c r="R329" s="2034"/>
      <c r="T329" s="3" t="s">
        <v>470</v>
      </c>
      <c r="V329" s="3"/>
      <c r="W329" s="3"/>
      <c r="X329" s="3"/>
      <c r="Y329" s="3"/>
      <c r="AA329" s="2034" t="s">
        <v>2707</v>
      </c>
      <c r="AB329" s="2034"/>
      <c r="AC329" s="2034"/>
      <c r="AD329" s="2034"/>
      <c r="AE329" s="2034"/>
      <c r="AF329" s="2034"/>
      <c r="AG329" s="2034"/>
      <c r="AH329" s="2034"/>
      <c r="AI329" s="2034"/>
      <c r="AJ329" s="2034"/>
      <c r="AK329" s="2034"/>
    </row>
    <row r="330" spans="2:37" ht="12.95" customHeight="1">
      <c r="B330" s="3" t="s">
        <v>471</v>
      </c>
      <c r="C330" s="3"/>
      <c r="D330" s="3"/>
      <c r="E330" s="3"/>
      <c r="F330" s="3"/>
      <c r="H330" s="2034" t="s">
        <v>2702</v>
      </c>
      <c r="I330" s="2034"/>
      <c r="J330" s="2034"/>
      <c r="K330" s="2034"/>
      <c r="L330" s="2034"/>
      <c r="M330" s="2034"/>
      <c r="N330" s="2034"/>
      <c r="O330" s="2034"/>
      <c r="P330" s="2034"/>
      <c r="Q330" s="2034"/>
      <c r="R330" s="2034"/>
      <c r="T330" s="3" t="s">
        <v>75</v>
      </c>
      <c r="V330" s="3"/>
      <c r="W330" s="3"/>
      <c r="X330" s="3"/>
      <c r="Y330" s="3"/>
      <c r="AA330" s="2034" t="s">
        <v>2708</v>
      </c>
      <c r="AB330" s="2034"/>
      <c r="AC330" s="2034"/>
      <c r="AD330" s="2034"/>
      <c r="AE330" s="2034"/>
      <c r="AF330" s="2034"/>
      <c r="AG330" s="2034"/>
      <c r="AH330" s="2034"/>
      <c r="AI330" s="2034"/>
      <c r="AJ330" s="2034"/>
      <c r="AK330" s="2034"/>
    </row>
    <row r="331" spans="2:37" ht="12.95" customHeight="1">
      <c r="B331" s="3" t="s">
        <v>87</v>
      </c>
      <c r="C331" s="3"/>
      <c r="D331" s="3"/>
      <c r="E331" s="3"/>
      <c r="F331" s="3"/>
      <c r="H331" s="2034" t="s">
        <v>2703</v>
      </c>
      <c r="I331" s="2034"/>
      <c r="J331" s="2034"/>
      <c r="K331" s="2034"/>
      <c r="L331" s="2034"/>
      <c r="M331" s="2034"/>
      <c r="N331" s="2034"/>
      <c r="O331" s="2034"/>
      <c r="P331" s="2034"/>
      <c r="Q331" s="2034"/>
      <c r="R331" s="2034"/>
      <c r="T331" s="3" t="s">
        <v>87</v>
      </c>
      <c r="V331" s="3"/>
      <c r="W331" s="3"/>
      <c r="X331" s="3"/>
      <c r="Y331" s="3"/>
      <c r="AA331" s="2034" t="s">
        <v>2709</v>
      </c>
      <c r="AB331" s="2034"/>
      <c r="AC331" s="2034"/>
      <c r="AD331" s="2034"/>
      <c r="AE331" s="2034"/>
      <c r="AF331" s="2034"/>
      <c r="AG331" s="2034"/>
      <c r="AH331" s="2034"/>
      <c r="AI331" s="2034"/>
      <c r="AJ331" s="2034"/>
      <c r="AK331" s="2034"/>
    </row>
    <row r="332" spans="2:37" ht="12.95" customHeight="1">
      <c r="B332" s="3" t="s">
        <v>88</v>
      </c>
      <c r="C332" s="3"/>
      <c r="D332" s="3"/>
      <c r="E332" s="3"/>
      <c r="F332" s="3"/>
      <c r="G332" s="3"/>
      <c r="H332" s="1745" t="s">
        <v>2704</v>
      </c>
      <c r="I332" s="1746"/>
      <c r="J332" s="1746"/>
      <c r="K332" s="1746"/>
      <c r="L332" s="1746"/>
      <c r="M332" s="1746"/>
      <c r="N332" s="4" t="s">
        <v>205</v>
      </c>
      <c r="O332" s="4"/>
      <c r="P332" s="1740"/>
      <c r="Q332" s="1740"/>
      <c r="R332" s="1740"/>
      <c r="S332" s="3"/>
      <c r="T332" s="3" t="s">
        <v>88</v>
      </c>
      <c r="V332" s="3"/>
      <c r="W332" s="3"/>
      <c r="X332" s="3"/>
      <c r="Y332" s="3"/>
      <c r="AA332" s="1745" t="s">
        <v>2710</v>
      </c>
      <c r="AB332" s="1746"/>
      <c r="AC332" s="1746"/>
      <c r="AD332" s="1746"/>
      <c r="AE332" s="1746"/>
      <c r="AF332" s="1746"/>
      <c r="AG332" s="4" t="s">
        <v>205</v>
      </c>
      <c r="AH332" s="4"/>
      <c r="AI332" s="1740"/>
      <c r="AJ332" s="1740"/>
      <c r="AK332" s="1740"/>
    </row>
    <row r="333" spans="2:37" ht="12.95" customHeight="1">
      <c r="B333" s="3" t="s">
        <v>89</v>
      </c>
      <c r="C333" s="3"/>
      <c r="D333" s="3"/>
      <c r="E333" s="3"/>
      <c r="F333" s="3"/>
      <c r="G333" s="3"/>
      <c r="H333" s="1699"/>
      <c r="I333" s="1699"/>
      <c r="J333" s="1699"/>
      <c r="K333" s="1699"/>
      <c r="L333" s="1699"/>
      <c r="M333" s="1699"/>
      <c r="N333" s="4"/>
      <c r="O333" s="4"/>
      <c r="P333" s="35"/>
      <c r="Q333" s="35"/>
      <c r="R333" s="35"/>
      <c r="S333" s="3"/>
      <c r="T333" s="3" t="s">
        <v>89</v>
      </c>
      <c r="V333" s="3"/>
      <c r="W333" s="3"/>
      <c r="X333" s="3"/>
      <c r="Y333" s="3"/>
      <c r="AA333" s="1699"/>
      <c r="AB333" s="1699"/>
      <c r="AC333" s="1699"/>
      <c r="AD333" s="1699"/>
      <c r="AE333" s="1699"/>
      <c r="AF333" s="1699"/>
      <c r="AG333" s="4"/>
      <c r="AH333" s="4"/>
      <c r="AI333" s="35"/>
      <c r="AJ333" s="35"/>
      <c r="AK333" s="35"/>
    </row>
    <row r="334" spans="2:37" ht="12.95" customHeight="1">
      <c r="B334" s="3" t="s">
        <v>76</v>
      </c>
      <c r="C334" s="3"/>
      <c r="D334" s="3"/>
      <c r="E334" s="3"/>
      <c r="F334" s="3"/>
      <c r="G334" s="3"/>
      <c r="H334" s="1643" t="s">
        <v>2705</v>
      </c>
      <c r="I334" s="1696"/>
      <c r="J334" s="1696"/>
      <c r="K334" s="1696"/>
      <c r="L334" s="1696"/>
      <c r="M334" s="1696"/>
      <c r="N334" s="1697"/>
      <c r="O334" s="1697"/>
      <c r="P334" s="1697"/>
      <c r="Q334" s="1697"/>
      <c r="R334" s="1697"/>
      <c r="S334" s="3"/>
      <c r="T334" s="3" t="s">
        <v>76</v>
      </c>
      <c r="V334" s="3"/>
      <c r="W334" s="3"/>
      <c r="X334" s="3"/>
      <c r="Y334" s="3"/>
      <c r="AA334" s="1643" t="s">
        <v>2711</v>
      </c>
      <c r="AB334" s="1696"/>
      <c r="AC334" s="1696"/>
      <c r="AD334" s="1696"/>
      <c r="AE334" s="1696"/>
      <c r="AF334" s="1696"/>
      <c r="AG334" s="1697"/>
      <c r="AH334" s="1697"/>
      <c r="AI334" s="1697"/>
      <c r="AJ334" s="1697"/>
      <c r="AK334" s="1697"/>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697"/>
      <c r="I336" s="1697"/>
      <c r="J336" s="1697"/>
      <c r="K336" s="1697"/>
      <c r="L336" s="1697"/>
      <c r="M336" s="1697"/>
      <c r="N336" s="1697"/>
      <c r="O336" s="1697"/>
      <c r="P336" s="1697"/>
      <c r="Q336" s="1697"/>
      <c r="R336" s="1697"/>
      <c r="T336" s="3" t="s">
        <v>367</v>
      </c>
      <c r="V336" s="3"/>
      <c r="W336" s="3"/>
      <c r="X336" s="3"/>
      <c r="Y336" s="3"/>
      <c r="AA336" s="1697"/>
      <c r="AB336" s="1697"/>
      <c r="AC336" s="1697"/>
      <c r="AD336" s="1697"/>
      <c r="AE336" s="1697"/>
      <c r="AF336" s="1697"/>
      <c r="AG336" s="1697"/>
      <c r="AH336" s="1697"/>
      <c r="AI336" s="1697"/>
      <c r="AJ336" s="1697"/>
      <c r="AK336" s="1697"/>
    </row>
    <row r="337" spans="2:66" ht="12.95" customHeight="1">
      <c r="B337" s="3" t="s">
        <v>470</v>
      </c>
      <c r="C337" s="3"/>
      <c r="D337" s="3"/>
      <c r="E337" s="3"/>
      <c r="F337" s="3"/>
      <c r="H337" s="1696"/>
      <c r="I337" s="1696"/>
      <c r="J337" s="1696"/>
      <c r="K337" s="1696"/>
      <c r="L337" s="1696"/>
      <c r="M337" s="1696"/>
      <c r="N337" s="1696"/>
      <c r="O337" s="1696"/>
      <c r="P337" s="1696"/>
      <c r="Q337" s="1696"/>
      <c r="R337" s="1696"/>
      <c r="T337" s="3" t="s">
        <v>470</v>
      </c>
      <c r="V337" s="3"/>
      <c r="W337" s="3"/>
      <c r="X337" s="3"/>
      <c r="Y337" s="3"/>
      <c r="AA337" s="1696"/>
      <c r="AB337" s="1696"/>
      <c r="AC337" s="1696"/>
      <c r="AD337" s="1696"/>
      <c r="AE337" s="1696"/>
      <c r="AF337" s="1696"/>
      <c r="AG337" s="1696"/>
      <c r="AH337" s="1696"/>
      <c r="AI337" s="1696"/>
      <c r="AJ337" s="1696"/>
      <c r="AK337" s="1696"/>
    </row>
    <row r="338" spans="2:66" ht="12.95" customHeight="1">
      <c r="B338" s="3" t="s">
        <v>471</v>
      </c>
      <c r="C338" s="3"/>
      <c r="D338" s="3"/>
      <c r="E338" s="3"/>
      <c r="F338" s="3"/>
      <c r="H338" s="1696"/>
      <c r="I338" s="1696"/>
      <c r="J338" s="1696"/>
      <c r="K338" s="1696"/>
      <c r="L338" s="1696"/>
      <c r="M338" s="1696"/>
      <c r="N338" s="1696"/>
      <c r="O338" s="1696"/>
      <c r="P338" s="1696"/>
      <c r="Q338" s="1696"/>
      <c r="R338" s="1696"/>
      <c r="T338" s="3" t="s">
        <v>75</v>
      </c>
      <c r="V338" s="3"/>
      <c r="W338" s="3"/>
      <c r="X338" s="3"/>
      <c r="Y338" s="3"/>
      <c r="AA338" s="1696"/>
      <c r="AB338" s="1696"/>
      <c r="AC338" s="1696"/>
      <c r="AD338" s="1696"/>
      <c r="AE338" s="1696"/>
      <c r="AF338" s="1696"/>
      <c r="AG338" s="1696"/>
      <c r="AH338" s="1696"/>
      <c r="AI338" s="1696"/>
      <c r="AJ338" s="1696"/>
      <c r="AK338" s="1696"/>
    </row>
    <row r="339" spans="2:66" ht="12.95" customHeight="1">
      <c r="B339" s="3" t="s">
        <v>87</v>
      </c>
      <c r="C339" s="3"/>
      <c r="D339" s="3"/>
      <c r="E339" s="3"/>
      <c r="F339" s="3"/>
      <c r="H339" s="1696"/>
      <c r="I339" s="1696"/>
      <c r="J339" s="1696"/>
      <c r="K339" s="1696"/>
      <c r="L339" s="1696"/>
      <c r="M339" s="1696"/>
      <c r="N339" s="1696"/>
      <c r="O339" s="1696"/>
      <c r="P339" s="1696"/>
      <c r="Q339" s="1696"/>
      <c r="R339" s="1696"/>
      <c r="T339" s="3" t="s">
        <v>87</v>
      </c>
      <c r="V339" s="3"/>
      <c r="W339" s="3"/>
      <c r="X339" s="3"/>
      <c r="Y339" s="3"/>
      <c r="AA339" s="1696"/>
      <c r="AB339" s="1696"/>
      <c r="AC339" s="1696"/>
      <c r="AD339" s="1696"/>
      <c r="AE339" s="1696"/>
      <c r="AF339" s="1696"/>
      <c r="AG339" s="1696"/>
      <c r="AH339" s="1696"/>
      <c r="AI339" s="1696"/>
      <c r="AJ339" s="1696"/>
      <c r="AK339" s="1696"/>
    </row>
    <row r="340" spans="2:66" ht="12.95" customHeight="1">
      <c r="B340" s="3" t="s">
        <v>88</v>
      </c>
      <c r="C340" s="3"/>
      <c r="D340" s="3"/>
      <c r="E340" s="3"/>
      <c r="F340" s="3"/>
      <c r="G340" s="3"/>
      <c r="H340" s="1746"/>
      <c r="I340" s="1746"/>
      <c r="J340" s="1746"/>
      <c r="K340" s="1746"/>
      <c r="L340" s="1746"/>
      <c r="M340" s="1746"/>
      <c r="N340" s="4" t="s">
        <v>205</v>
      </c>
      <c r="O340" s="4"/>
      <c r="P340" s="1740"/>
      <c r="Q340" s="1740"/>
      <c r="R340" s="1740"/>
      <c r="S340" s="3"/>
      <c r="T340" s="3" t="s">
        <v>88</v>
      </c>
      <c r="V340" s="3"/>
      <c r="W340" s="3"/>
      <c r="X340" s="3"/>
      <c r="Y340" s="3"/>
      <c r="AA340" s="1746"/>
      <c r="AB340" s="1746"/>
      <c r="AC340" s="1746"/>
      <c r="AD340" s="1746"/>
      <c r="AE340" s="1746"/>
      <c r="AF340" s="1746"/>
      <c r="AG340" s="4" t="s">
        <v>205</v>
      </c>
      <c r="AH340" s="4"/>
      <c r="AI340" s="1740"/>
      <c r="AJ340" s="1740"/>
      <c r="AK340" s="1740"/>
    </row>
    <row r="341" spans="2:66" ht="12.95" customHeight="1">
      <c r="B341" s="3" t="s">
        <v>89</v>
      </c>
      <c r="C341" s="3"/>
      <c r="D341" s="3"/>
      <c r="E341" s="3"/>
      <c r="F341" s="3"/>
      <c r="G341" s="3"/>
      <c r="H341" s="1699"/>
      <c r="I341" s="1699"/>
      <c r="J341" s="1699"/>
      <c r="K341" s="1699"/>
      <c r="L341" s="1699"/>
      <c r="M341" s="1699"/>
      <c r="N341" s="4"/>
      <c r="O341" s="4"/>
      <c r="P341" s="35"/>
      <c r="Q341" s="35"/>
      <c r="R341" s="35"/>
      <c r="S341" s="3"/>
      <c r="T341" s="3" t="s">
        <v>89</v>
      </c>
      <c r="V341" s="3"/>
      <c r="W341" s="3"/>
      <c r="X341" s="3"/>
      <c r="Y341" s="3"/>
      <c r="AA341" s="1699"/>
      <c r="AB341" s="1699"/>
      <c r="AC341" s="1699"/>
      <c r="AD341" s="1699"/>
      <c r="AE341" s="1699"/>
      <c r="AF341" s="1699"/>
      <c r="AG341" s="4"/>
      <c r="AH341" s="4"/>
      <c r="AI341" s="35"/>
      <c r="AJ341" s="35"/>
      <c r="AK341" s="35"/>
    </row>
    <row r="342" spans="2:66" ht="12.95" customHeight="1">
      <c r="B342" s="3" t="s">
        <v>76</v>
      </c>
      <c r="C342" s="3"/>
      <c r="D342" s="3"/>
      <c r="E342" s="3"/>
      <c r="F342" s="3"/>
      <c r="G342" s="3"/>
      <c r="H342" s="1696"/>
      <c r="I342" s="1696"/>
      <c r="J342" s="1696"/>
      <c r="K342" s="1696"/>
      <c r="L342" s="1696"/>
      <c r="M342" s="1696"/>
      <c r="N342" s="1697"/>
      <c r="O342" s="1697"/>
      <c r="P342" s="1697"/>
      <c r="Q342" s="1697"/>
      <c r="R342" s="1697"/>
      <c r="S342" s="3"/>
      <c r="T342" s="3" t="s">
        <v>76</v>
      </c>
      <c r="V342" s="3"/>
      <c r="W342" s="3"/>
      <c r="X342" s="3"/>
      <c r="Y342" s="3"/>
      <c r="AA342" s="1696"/>
      <c r="AB342" s="1696"/>
      <c r="AC342" s="1696"/>
      <c r="AD342" s="1696"/>
      <c r="AE342" s="1696"/>
      <c r="AF342" s="1696"/>
      <c r="AG342" s="1697"/>
      <c r="AH342" s="1697"/>
      <c r="AI342" s="1697"/>
      <c r="AJ342" s="1697"/>
      <c r="AK342" s="1697"/>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703" t="s">
        <v>2712</v>
      </c>
      <c r="I344" s="1697"/>
      <c r="J344" s="1697"/>
      <c r="K344" s="1697"/>
      <c r="L344" s="1697"/>
      <c r="M344" s="1697"/>
      <c r="N344" s="1697"/>
      <c r="O344" s="1697"/>
      <c r="P344" s="1697"/>
      <c r="Q344" s="1697"/>
      <c r="R344" s="1697"/>
      <c r="T344" s="204" t="s">
        <v>883</v>
      </c>
      <c r="V344" s="3"/>
      <c r="W344" s="3"/>
      <c r="X344" s="3"/>
      <c r="Y344" s="3"/>
      <c r="AA344" s="1697" t="s">
        <v>2792</v>
      </c>
      <c r="AB344" s="1697"/>
      <c r="AC344" s="1697"/>
      <c r="AD344" s="1697"/>
      <c r="AE344" s="1697"/>
      <c r="AF344" s="1697"/>
      <c r="AG344" s="1697"/>
      <c r="AH344" s="1697"/>
      <c r="AI344" s="1697"/>
      <c r="AJ344" s="1697"/>
      <c r="AK344" s="1697"/>
    </row>
    <row r="345" spans="2:66" ht="12.95" customHeight="1">
      <c r="B345" s="3" t="s">
        <v>470</v>
      </c>
      <c r="C345" s="3"/>
      <c r="D345" s="3"/>
      <c r="E345" s="3"/>
      <c r="F345" s="3"/>
      <c r="H345" s="1643" t="s">
        <v>2713</v>
      </c>
      <c r="I345" s="1696"/>
      <c r="J345" s="1696"/>
      <c r="K345" s="1696"/>
      <c r="L345" s="1696"/>
      <c r="M345" s="1696"/>
      <c r="N345" s="1696"/>
      <c r="O345" s="1696"/>
      <c r="P345" s="1696"/>
      <c r="Q345" s="1696"/>
      <c r="R345" s="1696"/>
      <c r="T345" s="3" t="s">
        <v>470</v>
      </c>
      <c r="V345" s="3"/>
      <c r="W345" s="3"/>
      <c r="X345" s="3"/>
      <c r="Y345" s="3"/>
      <c r="AA345" s="1696" t="s">
        <v>2793</v>
      </c>
      <c r="AB345" s="1696"/>
      <c r="AC345" s="1696"/>
      <c r="AD345" s="1696"/>
      <c r="AE345" s="1696"/>
      <c r="AF345" s="1696"/>
      <c r="AG345" s="1696"/>
      <c r="AH345" s="1696"/>
      <c r="AI345" s="1696"/>
      <c r="AJ345" s="1696"/>
      <c r="AK345" s="1696"/>
    </row>
    <row r="346" spans="2:66" ht="12.95" customHeight="1">
      <c r="B346" s="3" t="s">
        <v>75</v>
      </c>
      <c r="C346" s="3"/>
      <c r="D346" s="3"/>
      <c r="E346" s="3"/>
      <c r="F346" s="3"/>
      <c r="H346" s="1643" t="s">
        <v>2714</v>
      </c>
      <c r="I346" s="1696"/>
      <c r="J346" s="1696"/>
      <c r="K346" s="1696"/>
      <c r="L346" s="1696"/>
      <c r="M346" s="1696"/>
      <c r="N346" s="1696"/>
      <c r="O346" s="1696"/>
      <c r="P346" s="1696"/>
      <c r="Q346" s="1696"/>
      <c r="R346" s="1696"/>
      <c r="T346" s="3" t="s">
        <v>75</v>
      </c>
      <c r="V346" s="3"/>
      <c r="W346" s="3"/>
      <c r="X346" s="3"/>
      <c r="Y346" s="3"/>
      <c r="AA346" s="1696" t="s">
        <v>2794</v>
      </c>
      <c r="AB346" s="1696"/>
      <c r="AC346" s="1696"/>
      <c r="AD346" s="1696"/>
      <c r="AE346" s="1696"/>
      <c r="AF346" s="1696"/>
      <c r="AG346" s="1696"/>
      <c r="AH346" s="1696"/>
      <c r="AI346" s="1696"/>
      <c r="AJ346" s="1696"/>
      <c r="AK346" s="1696"/>
    </row>
    <row r="347" spans="2:66" ht="12.95" customHeight="1">
      <c r="B347" s="3" t="s">
        <v>87</v>
      </c>
      <c r="C347" s="3"/>
      <c r="D347" s="3"/>
      <c r="E347" s="3"/>
      <c r="F347" s="3"/>
      <c r="G347" s="3"/>
      <c r="H347" s="1643" t="s">
        <v>2715</v>
      </c>
      <c r="I347" s="1696"/>
      <c r="J347" s="1696"/>
      <c r="K347" s="1696"/>
      <c r="L347" s="1696"/>
      <c r="M347" s="1696"/>
      <c r="N347" s="1696"/>
      <c r="O347" s="1696"/>
      <c r="P347" s="1696"/>
      <c r="Q347" s="1696"/>
      <c r="R347" s="1696"/>
      <c r="T347" s="3" t="s">
        <v>87</v>
      </c>
      <c r="V347" s="3"/>
      <c r="W347" s="3"/>
      <c r="X347" s="3"/>
      <c r="Y347" s="3"/>
      <c r="AA347" s="1696" t="s">
        <v>2795</v>
      </c>
      <c r="AB347" s="1696"/>
      <c r="AC347" s="1696"/>
      <c r="AD347" s="1696"/>
      <c r="AE347" s="1696"/>
      <c r="AF347" s="1696"/>
      <c r="AG347" s="1696"/>
      <c r="AH347" s="1696"/>
      <c r="AI347" s="1696"/>
      <c r="AJ347" s="1696"/>
      <c r="AK347" s="1696"/>
    </row>
    <row r="348" spans="2:66" ht="12.95" customHeight="1">
      <c r="B348" s="3" t="s">
        <v>88</v>
      </c>
      <c r="C348" s="3"/>
      <c r="D348" s="3"/>
      <c r="E348" s="3"/>
      <c r="F348" s="3"/>
      <c r="G348" s="3"/>
      <c r="H348" s="1745" t="s">
        <v>2783</v>
      </c>
      <c r="I348" s="1746"/>
      <c r="J348" s="1746"/>
      <c r="K348" s="1746"/>
      <c r="L348" s="1746"/>
      <c r="M348" s="1746"/>
      <c r="N348" s="4" t="s">
        <v>205</v>
      </c>
      <c r="O348" s="4"/>
      <c r="P348" s="1740"/>
      <c r="Q348" s="1740"/>
      <c r="R348" s="1740"/>
      <c r="S348" s="3"/>
      <c r="T348" s="3" t="s">
        <v>88</v>
      </c>
      <c r="V348" s="3"/>
      <c r="W348" s="3"/>
      <c r="X348" s="3"/>
      <c r="Y348" s="3"/>
      <c r="AA348" s="1745">
        <v>4154893879</v>
      </c>
      <c r="AB348" s="1745"/>
      <c r="AC348" s="1745"/>
      <c r="AD348" s="1745"/>
      <c r="AE348" s="1745"/>
      <c r="AF348" s="1745"/>
      <c r="AG348" s="4" t="s">
        <v>205</v>
      </c>
      <c r="AH348" s="4"/>
      <c r="AI348" s="1740"/>
      <c r="AJ348" s="1740"/>
      <c r="AK348" s="1740"/>
    </row>
    <row r="349" spans="2:66" ht="12.95" customHeight="1">
      <c r="B349" s="3" t="s">
        <v>89</v>
      </c>
      <c r="C349" s="3"/>
      <c r="D349" s="3"/>
      <c r="E349" s="3"/>
      <c r="F349" s="3"/>
      <c r="G349" s="3"/>
      <c r="H349" s="1699"/>
      <c r="I349" s="1699"/>
      <c r="J349" s="1699"/>
      <c r="K349" s="1699"/>
      <c r="L349" s="1699"/>
      <c r="M349" s="1699"/>
      <c r="N349" s="4"/>
      <c r="O349" s="4"/>
      <c r="P349" s="35"/>
      <c r="Q349" s="35"/>
      <c r="R349" s="35"/>
      <c r="S349" s="3"/>
      <c r="T349" s="3" t="s">
        <v>89</v>
      </c>
      <c r="V349" s="3"/>
      <c r="W349" s="3"/>
      <c r="X349" s="3"/>
      <c r="Y349" s="3"/>
      <c r="AA349" s="1699"/>
      <c r="AB349" s="1699"/>
      <c r="AC349" s="1699"/>
      <c r="AD349" s="1699"/>
      <c r="AE349" s="1699"/>
      <c r="AF349" s="1699"/>
      <c r="AG349" s="4"/>
      <c r="AH349" s="4"/>
      <c r="AI349" s="35"/>
      <c r="AJ349" s="35"/>
      <c r="AK349" s="35"/>
    </row>
    <row r="350" spans="2:66" ht="12.95" customHeight="1">
      <c r="B350" s="3" t="s">
        <v>76</v>
      </c>
      <c r="C350" s="3"/>
      <c r="D350" s="3"/>
      <c r="E350" s="3"/>
      <c r="F350" s="3"/>
      <c r="G350" s="3"/>
      <c r="H350" s="1643" t="s">
        <v>2784</v>
      </c>
      <c r="I350" s="1696"/>
      <c r="J350" s="1696"/>
      <c r="K350" s="1696"/>
      <c r="L350" s="1696"/>
      <c r="M350" s="1696"/>
      <c r="N350" s="1697"/>
      <c r="O350" s="1697"/>
      <c r="P350" s="1697"/>
      <c r="Q350" s="1697"/>
      <c r="R350" s="1697"/>
      <c r="S350" s="3"/>
      <c r="T350" s="3" t="s">
        <v>76</v>
      </c>
      <c r="V350" s="3"/>
      <c r="W350" s="3"/>
      <c r="X350" s="3"/>
      <c r="Y350" s="3"/>
      <c r="AA350" s="1263" t="s">
        <v>2796</v>
      </c>
      <c r="AB350" s="249"/>
      <c r="AC350" s="249"/>
      <c r="AD350" s="249"/>
      <c r="AE350" s="249"/>
      <c r="AF350" s="249"/>
      <c r="AG350" s="1261"/>
      <c r="AH350" s="1261"/>
      <c r="AI350" s="1261"/>
      <c r="AJ350" s="1261"/>
      <c r="AK350" s="126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884</v>
      </c>
      <c r="P352" s="1697" t="s">
        <v>2664</v>
      </c>
      <c r="Q352" s="1697"/>
      <c r="R352" s="1697"/>
      <c r="S352" s="1697"/>
      <c r="T352" s="1697"/>
      <c r="U352" s="1697"/>
      <c r="V352" s="1697"/>
      <c r="W352" s="1697"/>
      <c r="X352" s="1697"/>
      <c r="Y352" s="1697"/>
      <c r="Z352" s="1697"/>
      <c r="AA352" s="1697"/>
      <c r="AB352" s="1697"/>
      <c r="AC352" s="1697"/>
      <c r="AD352" s="1697"/>
      <c r="AE352" s="1697"/>
      <c r="BN352" t="s">
        <v>668</v>
      </c>
    </row>
    <row r="353" spans="1:66" ht="12.95" customHeight="1">
      <c r="B353" s="4"/>
      <c r="C353" s="4"/>
      <c r="D353" s="4"/>
      <c r="E353" s="4"/>
      <c r="F353" s="4"/>
      <c r="I353" s="4" t="s">
        <v>470</v>
      </c>
      <c r="P353" s="1696" t="s">
        <v>2662</v>
      </c>
      <c r="Q353" s="1696"/>
      <c r="R353" s="1696"/>
      <c r="S353" s="1696"/>
      <c r="T353" s="1696"/>
      <c r="U353" s="1696"/>
      <c r="V353" s="1696"/>
      <c r="W353" s="1696"/>
      <c r="X353" s="1696"/>
      <c r="Y353" s="1696"/>
      <c r="Z353" s="1696"/>
      <c r="AA353" s="1696"/>
      <c r="AB353" s="1696"/>
      <c r="AC353" s="1696"/>
      <c r="AD353" s="1696"/>
      <c r="AE353" s="1696"/>
      <c r="BN353" t="s">
        <v>544</v>
      </c>
    </row>
    <row r="354" spans="1:66" ht="12.95" customHeight="1">
      <c r="B354" s="4"/>
      <c r="C354" s="4"/>
      <c r="D354" s="4"/>
      <c r="E354" s="4"/>
      <c r="F354" s="4"/>
      <c r="I354" s="4" t="s">
        <v>75</v>
      </c>
      <c r="P354" s="1643" t="s">
        <v>2663</v>
      </c>
      <c r="Q354" s="1696"/>
      <c r="R354" s="1696"/>
      <c r="S354" s="1696"/>
      <c r="T354" s="1696"/>
      <c r="U354" s="1696"/>
      <c r="V354" s="1696"/>
      <c r="W354" s="1696"/>
      <c r="X354" s="1696"/>
      <c r="Y354" s="1696"/>
      <c r="Z354" s="1696"/>
      <c r="AA354" s="1696"/>
      <c r="AB354" s="1696"/>
      <c r="AC354" s="1696"/>
      <c r="AD354" s="1696"/>
      <c r="AE354" s="1696"/>
    </row>
    <row r="355" spans="1:66" ht="12.95" customHeight="1">
      <c r="B355" s="4"/>
      <c r="C355" s="4"/>
      <c r="D355" s="4"/>
      <c r="E355" s="4"/>
      <c r="F355" s="4"/>
      <c r="G355" s="4"/>
      <c r="I355" s="4" t="s">
        <v>87</v>
      </c>
      <c r="P355" s="1643" t="s">
        <v>2641</v>
      </c>
      <c r="Q355" s="1696"/>
      <c r="R355" s="1696"/>
      <c r="S355" s="1696"/>
      <c r="T355" s="1696"/>
      <c r="U355" s="1696"/>
      <c r="V355" s="1696"/>
      <c r="W355" s="1696"/>
      <c r="X355" s="1696"/>
      <c r="Y355" s="1696"/>
      <c r="Z355" s="1696"/>
      <c r="AA355" s="1696"/>
      <c r="AB355" s="1696"/>
      <c r="AC355" s="1696"/>
      <c r="AD355" s="1696"/>
      <c r="AE355" s="1696"/>
    </row>
    <row r="356" spans="1:66" ht="12.95" customHeight="1">
      <c r="B356" s="4"/>
      <c r="C356" s="4"/>
      <c r="D356" s="4"/>
      <c r="E356" s="4"/>
      <c r="F356" s="4"/>
      <c r="G356" s="4"/>
      <c r="H356" s="300"/>
      <c r="I356" s="4" t="s">
        <v>88</v>
      </c>
      <c r="P356" s="1698" t="s">
        <v>2647</v>
      </c>
      <c r="Q356" s="1698"/>
      <c r="R356" s="1698"/>
      <c r="S356" s="1698"/>
      <c r="T356" s="1698"/>
      <c r="U356" s="1698"/>
      <c r="V356" s="1698"/>
      <c r="W356" s="1698"/>
      <c r="X356" s="1698"/>
      <c r="Y356" s="1698"/>
      <c r="Z356" s="1698"/>
      <c r="AA356" s="4" t="s">
        <v>205</v>
      </c>
      <c r="AB356" s="4"/>
      <c r="AC356" s="1753"/>
      <c r="AD356" s="1753"/>
      <c r="AE356" s="1753"/>
      <c r="AF356" s="300"/>
      <c r="AG356" s="4"/>
      <c r="AH356" s="4"/>
      <c r="AI356" s="4"/>
      <c r="AJ356" s="4"/>
      <c r="AK356" s="4"/>
    </row>
    <row r="357" spans="1:66" ht="12.95" customHeight="1">
      <c r="B357" s="4"/>
      <c r="C357" s="4"/>
      <c r="D357" s="4"/>
      <c r="E357" s="4"/>
      <c r="F357" s="4"/>
      <c r="G357" s="4"/>
      <c r="H357" s="300"/>
      <c r="I357" s="4" t="s">
        <v>89</v>
      </c>
      <c r="P357" s="1699"/>
      <c r="Q357" s="1699"/>
      <c r="R357" s="1699"/>
      <c r="S357" s="1699"/>
      <c r="T357" s="1699"/>
      <c r="U357" s="1699"/>
      <c r="V357" s="1699"/>
      <c r="W357" s="1699"/>
      <c r="X357" s="1699"/>
      <c r="Y357" s="1699"/>
      <c r="Z357" s="1699"/>
      <c r="AF357" s="300"/>
      <c r="AG357" s="4"/>
      <c r="AH357" s="4"/>
      <c r="AI357" s="35"/>
      <c r="AJ357" s="35"/>
      <c r="AK357" s="35"/>
    </row>
    <row r="358" spans="1:66" ht="12.95" customHeight="1">
      <c r="B358" s="4"/>
      <c r="C358" s="4"/>
      <c r="D358" s="4"/>
      <c r="E358" s="4"/>
      <c r="F358" s="4"/>
      <c r="G358" s="4"/>
      <c r="I358" s="4" t="s">
        <v>76</v>
      </c>
      <c r="P358" s="1703" t="s">
        <v>2648</v>
      </c>
      <c r="Q358" s="1697"/>
      <c r="R358" s="1697"/>
      <c r="S358" s="1697"/>
      <c r="T358" s="1697"/>
      <c r="U358" s="1697"/>
      <c r="V358" s="1697"/>
      <c r="W358" s="1697"/>
      <c r="X358" s="1697"/>
      <c r="Y358" s="1697"/>
      <c r="Z358" s="1697"/>
      <c r="AA358" s="1697"/>
      <c r="AB358" s="1697"/>
      <c r="AC358" s="1697"/>
      <c r="AD358" s="1697"/>
      <c r="AE358" s="1697"/>
    </row>
    <row r="359" spans="1:66" ht="12.95" customHeight="1">
      <c r="T359" s="8"/>
      <c r="U359" s="8"/>
      <c r="V359" s="8"/>
      <c r="W359" s="8"/>
      <c r="X359" s="8"/>
      <c r="Y359" s="8"/>
      <c r="Z359" s="8"/>
      <c r="AU359" s="95"/>
      <c r="AV359" s="95"/>
      <c r="AW359" s="95"/>
      <c r="AX359" s="95"/>
      <c r="AY359" s="95"/>
    </row>
    <row r="360" spans="1:66" ht="12.95" customHeight="1">
      <c r="A360" s="1744" t="s">
        <v>541</v>
      </c>
      <c r="B360" s="1744"/>
      <c r="C360" s="1744"/>
      <c r="D360" s="1744"/>
      <c r="E360" s="1744"/>
      <c r="F360" s="1744"/>
      <c r="G360" s="1744"/>
      <c r="H360" s="1744"/>
      <c r="I360" s="1744"/>
      <c r="J360" s="1744"/>
      <c r="K360" s="1744"/>
      <c r="L360" s="1744"/>
      <c r="M360" s="1744"/>
      <c r="N360" s="1744"/>
      <c r="O360" s="1744"/>
      <c r="P360" s="1744"/>
      <c r="Q360" s="1744"/>
      <c r="R360" s="1744"/>
      <c r="S360" s="1744"/>
      <c r="T360" s="1744"/>
      <c r="U360" s="1744"/>
      <c r="V360" s="1744"/>
      <c r="W360" s="1744"/>
      <c r="X360" s="1744"/>
      <c r="Y360" s="1744"/>
      <c r="Z360" s="1744"/>
      <c r="AA360" s="1744"/>
      <c r="AB360" s="1744"/>
      <c r="AC360" s="1744"/>
      <c r="AD360" s="1744"/>
      <c r="AE360" s="1744"/>
      <c r="AF360" s="1744"/>
      <c r="AG360" s="1744"/>
      <c r="AH360" s="1744"/>
      <c r="AI360" s="1744"/>
      <c r="AJ360" s="1744"/>
      <c r="AK360" s="1744"/>
      <c r="AL360" s="1744"/>
      <c r="AM360" s="1744"/>
      <c r="AN360" s="1744"/>
      <c r="AO360" s="1744"/>
      <c r="AP360" s="1744"/>
      <c r="AQ360" s="1744"/>
      <c r="AR360" s="1744"/>
      <c r="AS360" s="1744"/>
      <c r="AT360" s="1744"/>
      <c r="AU360" s="95"/>
      <c r="AV360" s="95"/>
      <c r="AW360" s="95"/>
      <c r="AX360" s="95"/>
      <c r="AY360" s="95"/>
    </row>
    <row r="361" spans="1:66" ht="12.95" customHeight="1">
      <c r="A361" s="1744"/>
      <c r="B361" s="1744"/>
      <c r="C361" s="1744"/>
      <c r="D361" s="1744"/>
      <c r="E361" s="1744"/>
      <c r="F361" s="1744"/>
      <c r="G361" s="1744"/>
      <c r="H361" s="1744"/>
      <c r="I361" s="1744"/>
      <c r="J361" s="1744"/>
      <c r="K361" s="1744"/>
      <c r="L361" s="1744"/>
      <c r="M361" s="1744"/>
      <c r="N361" s="1744"/>
      <c r="O361" s="1744"/>
      <c r="P361" s="1744"/>
      <c r="Q361" s="1744"/>
      <c r="R361" s="1744"/>
      <c r="S361" s="1744"/>
      <c r="T361" s="1744"/>
      <c r="U361" s="1744"/>
      <c r="V361" s="1744"/>
      <c r="W361" s="1744"/>
      <c r="X361" s="1744"/>
      <c r="Y361" s="1744"/>
      <c r="Z361" s="1744"/>
      <c r="AA361" s="1744"/>
      <c r="AB361" s="1744"/>
      <c r="AC361" s="1744"/>
      <c r="AD361" s="1744"/>
      <c r="AE361" s="1744"/>
      <c r="AF361" s="1744"/>
      <c r="AG361" s="1744"/>
      <c r="AH361" s="1744"/>
      <c r="AI361" s="1744"/>
      <c r="AJ361" s="1744"/>
      <c r="AK361" s="1744"/>
      <c r="AL361" s="1744"/>
      <c r="AM361" s="1744"/>
      <c r="AN361" s="1744"/>
      <c r="AO361" s="1744"/>
      <c r="AP361" s="1744"/>
      <c r="AQ361" s="1744"/>
      <c r="AR361" s="1744"/>
      <c r="AS361" s="1744"/>
      <c r="AT361" s="1744"/>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2050</v>
      </c>
      <c r="M364" s="1599" t="s">
        <v>544</v>
      </c>
      <c r="N364" s="1599"/>
      <c r="P364" t="s">
        <v>1636</v>
      </c>
      <c r="AJ364" s="1599" t="s">
        <v>668</v>
      </c>
      <c r="AK364" s="1599"/>
    </row>
    <row r="365" spans="1:66" ht="12.95" customHeight="1">
      <c r="D365" s="3" t="s">
        <v>1625</v>
      </c>
      <c r="M365" s="1599" t="s">
        <v>590</v>
      </c>
      <c r="N365" s="1599"/>
      <c r="P365" s="3" t="s">
        <v>1705</v>
      </c>
      <c r="AJ365" s="1722"/>
      <c r="AK365" s="1722"/>
    </row>
    <row r="366" spans="1:66" ht="12.95" customHeight="1">
      <c r="D366" s="3" t="s">
        <v>703</v>
      </c>
      <c r="M366" s="1599" t="s">
        <v>590</v>
      </c>
      <c r="N366" s="1599"/>
      <c r="P366" t="s">
        <v>1635</v>
      </c>
      <c r="AJ366" s="1599" t="s">
        <v>668</v>
      </c>
      <c r="AK366" s="1599"/>
    </row>
    <row r="367" spans="1:66" ht="12.95" customHeight="1">
      <c r="D367" s="3" t="s">
        <v>704</v>
      </c>
      <c r="M367" s="1599" t="s">
        <v>590</v>
      </c>
      <c r="N367" s="159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599" t="s">
        <v>590</v>
      </c>
      <c r="O372" s="1599"/>
      <c r="P372" s="40"/>
      <c r="Q372" s="40"/>
      <c r="R372" s="40"/>
      <c r="S372" s="40"/>
      <c r="T372" s="40"/>
      <c r="U372" s="40"/>
      <c r="V372" s="40"/>
      <c r="W372" s="40"/>
      <c r="X372" s="40"/>
      <c r="Y372" s="40"/>
      <c r="Z372" s="40"/>
      <c r="AC372" s="40"/>
      <c r="AD372" s="40"/>
      <c r="AE372" s="40"/>
    </row>
    <row r="373" spans="1:34" ht="12.95" customHeight="1">
      <c r="E373" t="s">
        <v>369</v>
      </c>
      <c r="Y373" s="1599" t="s">
        <v>590</v>
      </c>
      <c r="Z373" s="1599"/>
    </row>
    <row r="374" spans="1:34" ht="12.95" customHeight="1">
      <c r="D374" s="4" t="s">
        <v>975</v>
      </c>
      <c r="Q374" s="1697"/>
      <c r="R374" s="1697"/>
      <c r="S374" s="1697"/>
      <c r="T374" s="1697"/>
      <c r="U374" s="1697"/>
      <c r="V374" s="1697"/>
      <c r="W374" s="1697"/>
      <c r="X374" s="1697"/>
      <c r="Y374" s="1697"/>
      <c r="Z374" s="1697"/>
      <c r="AA374" s="1697"/>
      <c r="AB374" s="1697"/>
      <c r="AC374" s="1697"/>
      <c r="AD374" s="1697"/>
      <c r="AE374" s="1697"/>
      <c r="AF374" s="1697"/>
      <c r="AG374" s="1697"/>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599" t="s">
        <v>590</v>
      </c>
      <c r="K376" s="1599"/>
      <c r="L376" s="40"/>
      <c r="M376" s="40"/>
      <c r="N376" s="40"/>
      <c r="O376" s="40"/>
      <c r="P376" s="40"/>
      <c r="Q376" s="40"/>
      <c r="R376" s="40"/>
      <c r="S376" s="40"/>
      <c r="T376" s="40"/>
      <c r="U376" s="40"/>
      <c r="V376" s="40"/>
      <c r="W376" s="40"/>
      <c r="X376" s="40"/>
      <c r="Y376" s="40"/>
      <c r="Z376" s="40"/>
      <c r="AC376" s="40"/>
      <c r="AD376" s="40"/>
      <c r="AE376" s="40"/>
    </row>
    <row r="377" spans="1:34" ht="12.95" customHeight="1">
      <c r="E377" s="1739" t="s">
        <v>705</v>
      </c>
      <c r="F377" s="1739"/>
      <c r="G377" s="1739"/>
      <c r="H377" s="1739"/>
      <c r="I377" s="1739"/>
      <c r="J377" s="1739"/>
      <c r="K377" s="1739"/>
      <c r="L377" s="1739"/>
      <c r="M377" s="1739"/>
      <c r="N377" s="1739"/>
      <c r="O377" s="1739"/>
      <c r="P377" s="1739"/>
      <c r="Q377" s="1739"/>
      <c r="R377" s="1739"/>
      <c r="S377" s="1739"/>
      <c r="T377" s="1739"/>
      <c r="U377" s="1739"/>
      <c r="V377" s="1739"/>
      <c r="W377" s="1739"/>
      <c r="X377" s="1739"/>
      <c r="Y377" s="1739"/>
      <c r="Z377" s="1739"/>
      <c r="AA377" s="1739"/>
      <c r="AB377" s="1739"/>
      <c r="AC377" s="1739"/>
      <c r="AD377" s="1739"/>
      <c r="AE377" s="1739"/>
      <c r="AF377" s="1739"/>
      <c r="AG377" s="1739"/>
      <c r="AH377" s="1739"/>
    </row>
    <row r="378" spans="1:34" ht="12.95" customHeight="1">
      <c r="E378" s="1739"/>
      <c r="F378" s="1739"/>
      <c r="G378" s="1739"/>
      <c r="H378" s="1739"/>
      <c r="I378" s="1739"/>
      <c r="J378" s="1739"/>
      <c r="K378" s="1739"/>
      <c r="L378" s="1739"/>
      <c r="M378" s="1739"/>
      <c r="N378" s="1739"/>
      <c r="O378" s="1739"/>
      <c r="P378" s="1739"/>
      <c r="Q378" s="1739"/>
      <c r="R378" s="1739"/>
      <c r="S378" s="1739"/>
      <c r="T378" s="1739"/>
      <c r="U378" s="1739"/>
      <c r="V378" s="1739"/>
      <c r="W378" s="1739"/>
      <c r="X378" s="1739"/>
      <c r="Y378" s="1739"/>
      <c r="Z378" s="1739"/>
      <c r="AA378" s="1739"/>
      <c r="AB378" s="1739"/>
      <c r="AC378" s="1739"/>
      <c r="AD378" s="1739"/>
      <c r="AE378" s="1739"/>
      <c r="AF378" s="1739"/>
      <c r="AG378" s="1739"/>
      <c r="AH378" s="1739"/>
    </row>
    <row r="379" spans="1:34" ht="12.95" customHeight="1">
      <c r="E379" s="4" t="s">
        <v>447</v>
      </c>
      <c r="F379" s="4"/>
      <c r="G379" s="4"/>
      <c r="H379" s="4"/>
      <c r="I379" s="4"/>
      <c r="J379" s="4"/>
      <c r="K379" s="4"/>
      <c r="L379" s="4"/>
      <c r="N379" s="1728"/>
      <c r="O379" s="1728"/>
      <c r="P379" s="1728"/>
      <c r="Q379" s="1728"/>
      <c r="R379" s="4"/>
      <c r="U379" s="4" t="s">
        <v>448</v>
      </c>
      <c r="V379" s="4"/>
      <c r="W379" s="4"/>
      <c r="X379" s="4"/>
      <c r="Y379" s="4"/>
      <c r="Z379" s="4"/>
      <c r="AA379" s="4"/>
      <c r="AB379" s="4"/>
      <c r="AC379" s="1728"/>
      <c r="AD379" s="1728"/>
      <c r="AE379" s="1728"/>
      <c r="AF379" s="1728"/>
    </row>
    <row r="380" spans="1:34" ht="12.95" customHeight="1">
      <c r="E380" s="4" t="s">
        <v>449</v>
      </c>
      <c r="F380" s="4"/>
      <c r="G380" s="4"/>
      <c r="H380" s="4"/>
      <c r="I380" s="4"/>
      <c r="J380" s="4"/>
      <c r="K380" s="4"/>
      <c r="L380" s="4"/>
      <c r="N380" s="1728"/>
      <c r="O380" s="1728"/>
      <c r="P380" s="1728"/>
      <c r="Q380" s="1728"/>
      <c r="R380" s="4"/>
      <c r="U380" s="4" t="s">
        <v>0</v>
      </c>
      <c r="V380" s="4"/>
      <c r="W380" s="4"/>
      <c r="X380" s="4"/>
      <c r="Y380" s="4"/>
      <c r="Z380" s="4"/>
      <c r="AA380" s="4"/>
      <c r="AB380" s="4"/>
      <c r="AC380" s="1728"/>
      <c r="AD380" s="1728"/>
      <c r="AE380" s="1728"/>
      <c r="AF380" s="1728"/>
    </row>
    <row r="381" spans="1:34" ht="12.95" customHeight="1">
      <c r="E381" s="4" t="s">
        <v>1</v>
      </c>
      <c r="F381" s="4"/>
      <c r="G381" s="4"/>
      <c r="H381" s="4"/>
      <c r="I381" s="4"/>
      <c r="J381" s="4"/>
      <c r="K381" s="4"/>
      <c r="L381" s="4"/>
      <c r="N381" s="1728"/>
      <c r="O381" s="1728"/>
      <c r="P381" s="1728"/>
      <c r="Q381" s="1728"/>
      <c r="R381" s="4"/>
      <c r="V381" s="4"/>
      <c r="W381" s="4"/>
      <c r="X381" s="4"/>
      <c r="Y381" s="4"/>
      <c r="Z381" s="4"/>
      <c r="AA381" s="4"/>
      <c r="AB381" s="4"/>
    </row>
    <row r="382" spans="1:34" ht="12.95" customHeight="1">
      <c r="E382" s="4" t="s">
        <v>2</v>
      </c>
      <c r="F382" s="4"/>
      <c r="G382" s="4"/>
      <c r="H382" s="4"/>
      <c r="I382" s="4"/>
      <c r="J382" s="4"/>
      <c r="K382" s="4"/>
      <c r="L382" s="4"/>
      <c r="N382" s="2074"/>
      <c r="O382" s="2074"/>
      <c r="P382" s="2074"/>
      <c r="Q382" s="2074"/>
      <c r="R382" s="2074"/>
      <c r="S382" s="2074"/>
      <c r="T382" s="2074"/>
      <c r="U382" s="2074"/>
      <c r="V382" s="2074"/>
      <c r="W382" s="2074"/>
      <c r="X382" s="2074"/>
      <c r="Y382" s="2074"/>
      <c r="Z382" s="2074"/>
      <c r="AA382" s="2074"/>
      <c r="AB382" s="2074"/>
      <c r="AC382" s="2074"/>
      <c r="AD382" s="2074"/>
      <c r="AE382" s="2074"/>
      <c r="AF382" s="2074"/>
    </row>
    <row r="383" spans="1:34" ht="12.95" customHeight="1">
      <c r="E383" s="4"/>
      <c r="F383" s="4"/>
      <c r="G383" s="4"/>
      <c r="H383" s="4"/>
      <c r="I383" s="4"/>
      <c r="J383" s="4"/>
      <c r="K383" s="4"/>
      <c r="L383" s="4"/>
      <c r="N383" s="2075"/>
      <c r="O383" s="2075"/>
      <c r="P383" s="2075"/>
      <c r="Q383" s="2075"/>
      <c r="R383" s="2075"/>
      <c r="S383" s="2075"/>
      <c r="T383" s="2075"/>
      <c r="U383" s="2075"/>
      <c r="V383" s="2075"/>
      <c r="W383" s="2075"/>
      <c r="X383" s="2075"/>
      <c r="Y383" s="2075"/>
      <c r="Z383" s="2075"/>
      <c r="AA383" s="2075"/>
      <c r="AB383" s="2075"/>
      <c r="AC383" s="2075"/>
      <c r="AD383" s="2075"/>
      <c r="AE383" s="2075"/>
      <c r="AF383" s="2075"/>
    </row>
    <row r="384" spans="1:34" ht="12.95" customHeight="1">
      <c r="C384" s="510"/>
      <c r="E384" s="4"/>
      <c r="F384" s="4"/>
      <c r="G384" s="4"/>
      <c r="H384" s="4"/>
      <c r="I384" s="4"/>
      <c r="J384" s="4"/>
      <c r="K384" s="4"/>
      <c r="L384" s="4"/>
    </row>
    <row r="385" spans="1:36" ht="12.95" customHeight="1">
      <c r="D385" s="2" t="s">
        <v>972</v>
      </c>
      <c r="E385" s="2"/>
      <c r="F385" s="4"/>
      <c r="G385" s="4"/>
      <c r="H385" s="4"/>
      <c r="I385" s="4"/>
      <c r="J385" s="4"/>
      <c r="K385" s="4"/>
      <c r="L385" s="4"/>
    </row>
    <row r="386" spans="1:36" ht="12.95" customHeight="1">
      <c r="E386" s="4" t="s">
        <v>2036</v>
      </c>
      <c r="F386" s="4"/>
      <c r="G386" s="4"/>
      <c r="H386" s="4"/>
      <c r="I386" s="4"/>
      <c r="J386" s="4"/>
      <c r="K386" s="4"/>
      <c r="L386" s="4"/>
      <c r="N386" t="s">
        <v>2032</v>
      </c>
      <c r="R386" s="27" t="s">
        <v>304</v>
      </c>
      <c r="S386" s="2076"/>
      <c r="T386" s="2076"/>
      <c r="U386" s="1" t="s">
        <v>305</v>
      </c>
      <c r="V386" s="2076"/>
      <c r="W386" s="2076"/>
      <c r="Y386" t="s">
        <v>2032</v>
      </c>
      <c r="AC386" s="27" t="s">
        <v>304</v>
      </c>
      <c r="AD386" s="2076"/>
      <c r="AE386" s="2076"/>
      <c r="AF386" s="1" t="s">
        <v>305</v>
      </c>
      <c r="AG386" s="2076"/>
      <c r="AH386" s="2076"/>
    </row>
    <row r="387" spans="1:36" ht="12.95" customHeight="1">
      <c r="E387" s="4" t="s">
        <v>984</v>
      </c>
      <c r="F387" s="4"/>
      <c r="G387" s="4"/>
      <c r="H387" s="4"/>
      <c r="I387" s="4"/>
      <c r="J387" s="4"/>
      <c r="K387" s="4"/>
      <c r="L387" s="4"/>
      <c r="N387" s="2076"/>
      <c r="O387" s="2076"/>
      <c r="P387" s="2076"/>
    </row>
    <row r="388" spans="1:36" ht="12.95" customHeight="1">
      <c r="E388" s="204" t="s">
        <v>2037</v>
      </c>
      <c r="F388" s="4"/>
      <c r="G388" s="4"/>
      <c r="H388" s="4"/>
      <c r="I388" s="4"/>
      <c r="J388" s="4"/>
      <c r="K388" s="4"/>
      <c r="L388" s="4"/>
      <c r="AG388" s="2039" t="s">
        <v>590</v>
      </c>
      <c r="AH388" s="2039"/>
    </row>
    <row r="389" spans="1:36" ht="12.95" customHeight="1">
      <c r="E389" s="4"/>
      <c r="F389" s="4"/>
      <c r="G389" s="4" t="s">
        <v>2038</v>
      </c>
      <c r="H389" s="4"/>
      <c r="I389" s="4"/>
      <c r="J389" s="4"/>
      <c r="K389" s="4"/>
      <c r="L389" s="4"/>
      <c r="AG389" s="2039" t="s">
        <v>590</v>
      </c>
      <c r="AH389" s="2039"/>
    </row>
    <row r="390" spans="1:36" ht="12.95" customHeight="1">
      <c r="E390" s="4"/>
      <c r="F390" s="4"/>
      <c r="G390" s="318" t="s">
        <v>985</v>
      </c>
      <c r="H390" s="4"/>
      <c r="I390" s="4"/>
      <c r="J390" s="4"/>
      <c r="K390" s="4"/>
      <c r="L390" s="4"/>
      <c r="V390" s="1599" t="s">
        <v>590</v>
      </c>
      <c r="W390" s="1599"/>
      <c r="Y390" s="22" t="s">
        <v>977</v>
      </c>
    </row>
    <row r="391" spans="1:36" ht="12.95" customHeight="1">
      <c r="E391" s="4" t="s">
        <v>978</v>
      </c>
      <c r="F391" s="4"/>
      <c r="G391" s="4"/>
      <c r="H391" s="4"/>
      <c r="I391" s="4"/>
      <c r="J391" s="4"/>
      <c r="K391" s="4"/>
      <c r="L391" s="4"/>
      <c r="V391" s="1599" t="s">
        <v>590</v>
      </c>
      <c r="W391" s="1599"/>
      <c r="Y391" s="4" t="s">
        <v>979</v>
      </c>
    </row>
    <row r="392" spans="1:36" ht="12.95" customHeight="1"/>
    <row r="393" spans="1:36" ht="12.95" customHeight="1">
      <c r="A393" s="2" t="s">
        <v>78</v>
      </c>
      <c r="B393" s="2"/>
    </row>
    <row r="394" spans="1:36" ht="12.95" customHeight="1">
      <c r="D394" t="s">
        <v>427</v>
      </c>
      <c r="J394" s="1703" t="s">
        <v>2637</v>
      </c>
      <c r="K394" s="1697"/>
      <c r="L394" s="1697"/>
      <c r="M394" s="1697"/>
      <c r="N394" s="1697"/>
      <c r="O394" s="1697"/>
      <c r="P394" s="1697"/>
      <c r="Q394" s="1697"/>
      <c r="R394" s="1697"/>
      <c r="S394" s="1697"/>
      <c r="T394" s="1697"/>
      <c r="U394" s="1697"/>
      <c r="V394" s="8" t="s">
        <v>83</v>
      </c>
      <c r="W394" s="8"/>
      <c r="X394" s="8"/>
      <c r="Y394" s="8"/>
      <c r="Z394" s="8"/>
      <c r="AA394" s="8"/>
      <c r="AB394" s="8"/>
      <c r="AC394" s="1703" t="s">
        <v>2716</v>
      </c>
      <c r="AD394" s="1697"/>
      <c r="AE394" s="1697"/>
      <c r="AF394" s="1697"/>
      <c r="AG394" s="1697"/>
      <c r="AH394" s="1697"/>
      <c r="AI394" s="1697"/>
      <c r="AJ394" s="1697"/>
    </row>
    <row r="395" spans="1:36" ht="12.95" customHeight="1">
      <c r="D395" s="3" t="s">
        <v>1179</v>
      </c>
      <c r="J395" s="1643" t="s">
        <v>2716</v>
      </c>
      <c r="K395" s="1696"/>
      <c r="L395" s="1696"/>
      <c r="M395" s="1696"/>
      <c r="N395" s="1696"/>
      <c r="O395" s="1696"/>
      <c r="P395" s="1696"/>
      <c r="Q395" s="1696"/>
      <c r="R395" s="1696"/>
      <c r="S395" s="1696"/>
      <c r="T395" s="1696"/>
      <c r="U395" s="1696"/>
      <c r="V395" s="3" t="s">
        <v>1179</v>
      </c>
      <c r="W395" s="8"/>
      <c r="X395" s="8"/>
      <c r="Y395" s="8"/>
      <c r="Z395" s="8"/>
      <c r="AA395" s="8"/>
      <c r="AB395" s="8"/>
      <c r="AC395" s="1697"/>
      <c r="AD395" s="1697"/>
      <c r="AE395" s="1697"/>
      <c r="AF395" s="1697"/>
      <c r="AG395" s="1697"/>
      <c r="AH395" s="1697"/>
      <c r="AI395" s="1697"/>
      <c r="AJ395" s="1697"/>
    </row>
    <row r="396" spans="1:36" ht="12.95" customHeight="1">
      <c r="D396" s="3" t="s">
        <v>440</v>
      </c>
      <c r="J396" s="1643" t="s">
        <v>2717</v>
      </c>
      <c r="K396" s="1696"/>
      <c r="L396" s="1696"/>
      <c r="M396" s="1696"/>
      <c r="N396" s="1696"/>
      <c r="O396" s="1696"/>
      <c r="P396" s="1696"/>
      <c r="Q396" s="1696"/>
      <c r="R396" s="1696"/>
      <c r="S396" s="1696"/>
      <c r="T396" s="1696"/>
      <c r="U396" s="1696"/>
      <c r="V396" s="3" t="s">
        <v>440</v>
      </c>
      <c r="W396" s="8"/>
      <c r="X396" s="8"/>
      <c r="Y396" s="8"/>
      <c r="Z396" s="8"/>
      <c r="AA396" s="8"/>
      <c r="AB396" s="8"/>
      <c r="AC396" s="1697"/>
      <c r="AD396" s="1697"/>
      <c r="AE396" s="1697"/>
      <c r="AF396" s="1697"/>
      <c r="AG396" s="1697"/>
      <c r="AH396" s="1697"/>
      <c r="AI396" s="1697"/>
      <c r="AJ396" s="1697"/>
    </row>
    <row r="397" spans="1:36" ht="12.95" customHeight="1">
      <c r="D397" t="s">
        <v>1175</v>
      </c>
      <c r="J397" s="2087" t="s">
        <v>2718</v>
      </c>
      <c r="K397" s="1640"/>
      <c r="L397" s="1640"/>
      <c r="M397" s="1640"/>
      <c r="N397" s="1640"/>
      <c r="O397" s="1640"/>
      <c r="P397" s="1640"/>
      <c r="Q397" s="1640"/>
      <c r="R397" s="1640"/>
      <c r="S397" s="1640"/>
      <c r="T397" s="1640"/>
      <c r="U397" s="1640"/>
      <c r="V397" s="1697"/>
      <c r="W397" s="1697"/>
      <c r="X397" s="1697"/>
      <c r="Y397" s="1697"/>
      <c r="Z397" s="1697"/>
      <c r="AA397" s="1697"/>
      <c r="AB397" s="1697"/>
      <c r="AC397" s="1697"/>
      <c r="AD397" s="1697"/>
      <c r="AE397" s="1697"/>
      <c r="AF397" s="1697"/>
      <c r="AG397" s="1697"/>
      <c r="AH397" s="1697"/>
      <c r="AI397" s="1697"/>
      <c r="AJ397" s="1697"/>
    </row>
    <row r="398" spans="1:36" ht="12.95" customHeight="1">
      <c r="D398" t="s">
        <v>4</v>
      </c>
      <c r="Q398" s="2080">
        <v>44579</v>
      </c>
      <c r="R398" s="2080"/>
      <c r="S398" s="2080"/>
      <c r="T398" s="2080"/>
      <c r="U398" s="2080"/>
      <c r="V398" t="s">
        <v>308</v>
      </c>
      <c r="AI398" s="1599" t="s">
        <v>668</v>
      </c>
      <c r="AJ398" s="1599"/>
    </row>
    <row r="399" spans="1:36" ht="12.95" customHeight="1">
      <c r="D399" t="s">
        <v>5</v>
      </c>
      <c r="Q399" s="1872">
        <v>46429</v>
      </c>
      <c r="R399" s="2083"/>
      <c r="S399" s="2083"/>
      <c r="T399" s="2083"/>
      <c r="U399" s="2083"/>
      <c r="W399" s="21" t="s">
        <v>74</v>
      </c>
      <c r="AG399" s="2081"/>
      <c r="AH399" s="2081"/>
      <c r="AI399" s="2081"/>
      <c r="AJ399" s="2081"/>
    </row>
    <row r="400" spans="1:36" ht="12.95" customHeight="1">
      <c r="D400" t="s">
        <v>426</v>
      </c>
      <c r="Q400" s="2099">
        <v>4000000</v>
      </c>
      <c r="R400" s="2099"/>
      <c r="S400" s="2099"/>
      <c r="T400" s="2099"/>
      <c r="U400" s="2099"/>
      <c r="V400" s="3" t="s">
        <v>1178</v>
      </c>
      <c r="AG400" s="2082">
        <v>46388</v>
      </c>
      <c r="AH400" s="2082"/>
      <c r="AI400" s="2082"/>
      <c r="AJ400" s="2082"/>
    </row>
    <row r="401" spans="4:36" ht="12.95" customHeight="1">
      <c r="D401" t="s">
        <v>88</v>
      </c>
      <c r="I401" s="1745" t="s">
        <v>2719</v>
      </c>
      <c r="J401" s="1746"/>
      <c r="K401" s="1746"/>
      <c r="L401" s="1746"/>
      <c r="M401" s="1746"/>
      <c r="N401" s="1746"/>
      <c r="Q401" s="4" t="s">
        <v>205</v>
      </c>
      <c r="S401" s="2098"/>
      <c r="T401" s="2098"/>
      <c r="U401" s="2098"/>
      <c r="V401" t="s">
        <v>73</v>
      </c>
      <c r="AI401" s="1599" t="s">
        <v>668</v>
      </c>
      <c r="AJ401" s="1599"/>
    </row>
    <row r="402" spans="4:36" ht="12.95" customHeight="1">
      <c r="D402" t="s">
        <v>309</v>
      </c>
      <c r="Q402" s="2038" t="s">
        <v>2720</v>
      </c>
      <c r="R402" s="1674"/>
      <c r="S402" s="1674"/>
      <c r="T402" s="1674"/>
      <c r="U402" s="1674"/>
      <c r="V402" t="s">
        <v>310</v>
      </c>
      <c r="AG402" s="2038" t="s">
        <v>2720</v>
      </c>
      <c r="AH402" s="2081"/>
      <c r="AI402" s="2081"/>
      <c r="AJ402" s="2081"/>
    </row>
    <row r="403" spans="4:36" ht="12.95" customHeight="1">
      <c r="D403" t="s">
        <v>311</v>
      </c>
      <c r="Q403" s="2032">
        <v>1.2095E-2</v>
      </c>
      <c r="R403" s="2032"/>
      <c r="S403" s="2032"/>
      <c r="T403" s="2032"/>
      <c r="U403" s="2032"/>
      <c r="V403" t="s">
        <v>1160</v>
      </c>
      <c r="AG403" s="2081"/>
      <c r="AH403" s="2081"/>
      <c r="AI403" s="2081"/>
      <c r="AJ403" s="2081"/>
    </row>
    <row r="404" spans="4:36" ht="12.95" customHeight="1">
      <c r="D404" t="s">
        <v>1159</v>
      </c>
      <c r="AG404" s="2081"/>
      <c r="AH404" s="2081"/>
      <c r="AI404" s="2081"/>
      <c r="AJ404" s="2081"/>
    </row>
    <row r="405" spans="4:36" ht="12.95" customHeight="1">
      <c r="AG405" s="454"/>
      <c r="AH405" s="454"/>
      <c r="AI405" s="454"/>
      <c r="AJ405" s="454"/>
    </row>
    <row r="406" spans="4:36" ht="12.95" customHeight="1">
      <c r="D406" s="3" t="s">
        <v>2094</v>
      </c>
      <c r="AG406" s="454"/>
      <c r="AH406" s="454"/>
      <c r="AI406" s="1599" t="s">
        <v>668</v>
      </c>
      <c r="AJ406" s="1599"/>
    </row>
    <row r="407" spans="4:36" ht="12.95" customHeight="1">
      <c r="D407" s="3" t="s">
        <v>1653</v>
      </c>
      <c r="T407" s="2006"/>
      <c r="U407" s="2006"/>
      <c r="V407" s="2006"/>
      <c r="W407" s="2006"/>
      <c r="X407" s="2006"/>
      <c r="Y407" s="2006"/>
      <c r="Z407" s="2006"/>
      <c r="AA407" s="2006"/>
      <c r="AB407" s="2006"/>
      <c r="AC407" s="2006"/>
      <c r="AD407" s="2006"/>
      <c r="AE407" s="2006"/>
      <c r="AF407" s="2006"/>
      <c r="AG407" s="2006"/>
      <c r="AH407" s="2006"/>
      <c r="AI407" s="2006"/>
      <c r="AJ407" s="2006"/>
    </row>
    <row r="408" spans="4:36" ht="12.95" customHeight="1">
      <c r="D408" s="3" t="s">
        <v>1652</v>
      </c>
      <c r="T408" s="2006"/>
      <c r="U408" s="2006"/>
      <c r="V408" s="2006"/>
      <c r="W408" s="2006"/>
      <c r="X408" s="2006"/>
      <c r="Y408" s="2006"/>
      <c r="Z408" s="2006"/>
      <c r="AA408" s="2006"/>
      <c r="AB408" s="2006"/>
      <c r="AC408" s="2006"/>
      <c r="AD408" s="2006"/>
      <c r="AE408" s="2006"/>
      <c r="AF408" s="2006"/>
      <c r="AG408" s="2006"/>
      <c r="AH408" s="2006"/>
      <c r="AI408" s="2006"/>
      <c r="AJ408" s="2006"/>
    </row>
    <row r="409" spans="4:36" ht="12.95" customHeight="1">
      <c r="AG409" s="454"/>
      <c r="AH409" s="454"/>
      <c r="AI409" s="454"/>
      <c r="AJ409" s="454"/>
    </row>
    <row r="410" spans="4:36" ht="12.95" customHeight="1">
      <c r="D410" s="3" t="s">
        <v>1646</v>
      </c>
      <c r="S410" s="2006" t="s">
        <v>668</v>
      </c>
      <c r="T410" s="2006"/>
      <c r="U410" s="2006"/>
      <c r="V410" t="s">
        <v>1647</v>
      </c>
      <c r="AG410" s="2084"/>
      <c r="AH410" s="2084"/>
      <c r="AI410" s="2084"/>
      <c r="AJ410" s="2084"/>
    </row>
    <row r="411" spans="4:36" ht="12.95" customHeight="1">
      <c r="D411" s="3" t="s">
        <v>1644</v>
      </c>
      <c r="S411" s="2006" t="s">
        <v>590</v>
      </c>
      <c r="T411" s="2006"/>
      <c r="U411" s="2006"/>
      <c r="V411" t="s">
        <v>1649</v>
      </c>
      <c r="AE411" s="2085"/>
      <c r="AF411" s="2085"/>
      <c r="AG411" s="2085"/>
      <c r="AH411" s="2085"/>
      <c r="AI411" s="2085"/>
      <c r="AJ411" s="2085"/>
    </row>
    <row r="412" spans="4:36" ht="12.95" customHeight="1">
      <c r="D412" s="3" t="s">
        <v>1645</v>
      </c>
      <c r="K412" s="2057"/>
      <c r="L412" s="2057"/>
      <c r="M412" s="2057"/>
      <c r="N412" s="2057"/>
      <c r="O412" s="2057"/>
      <c r="P412" s="2057"/>
      <c r="Q412" s="2057"/>
      <c r="R412" s="2057"/>
      <c r="S412" s="2057"/>
      <c r="T412" s="2057"/>
      <c r="U412" s="2057"/>
      <c r="V412" s="2057"/>
      <c r="W412" s="2057"/>
      <c r="X412" s="2057"/>
      <c r="Y412" s="2057"/>
      <c r="Z412" s="2057"/>
      <c r="AA412" s="2057"/>
      <c r="AB412" s="2057"/>
      <c r="AC412" s="2057"/>
      <c r="AD412" s="2057"/>
      <c r="AE412" s="2057"/>
      <c r="AF412" s="2057"/>
      <c r="AG412" s="2057"/>
      <c r="AH412" s="2057"/>
      <c r="AI412" s="2057"/>
      <c r="AJ412" s="2057"/>
    </row>
    <row r="413" spans="4:36" ht="12.95" customHeight="1">
      <c r="D413" s="3" t="s">
        <v>1648</v>
      </c>
      <c r="K413" s="2057"/>
      <c r="L413" s="2057"/>
      <c r="M413" s="2057"/>
      <c r="N413" s="2057"/>
      <c r="O413" s="2057"/>
      <c r="P413" s="2057"/>
      <c r="Q413" s="2057"/>
      <c r="R413" s="2057"/>
      <c r="S413" s="2057"/>
      <c r="T413" s="2057"/>
      <c r="U413" s="2057"/>
      <c r="V413" s="2057"/>
      <c r="W413" s="2057"/>
      <c r="X413" s="2057"/>
      <c r="Y413" s="2057"/>
      <c r="Z413" s="2057"/>
      <c r="AA413" s="2057"/>
      <c r="AB413" s="2057"/>
      <c r="AC413" s="2057"/>
      <c r="AD413" s="2057"/>
      <c r="AE413" s="2057"/>
      <c r="AF413" s="2057"/>
      <c r="AG413" s="2057"/>
      <c r="AH413" s="2057"/>
      <c r="AI413" s="2057"/>
      <c r="AJ413" s="2057"/>
    </row>
    <row r="414" spans="4:36" ht="12.95" customHeight="1">
      <c r="D414" s="3" t="s">
        <v>1651</v>
      </c>
      <c r="E414" s="475"/>
      <c r="F414" s="475"/>
      <c r="G414" s="475"/>
      <c r="H414" s="475"/>
      <c r="I414" s="475"/>
      <c r="J414" s="475"/>
      <c r="K414" s="475"/>
      <c r="L414" s="475"/>
      <c r="M414" s="475"/>
      <c r="N414" s="475"/>
      <c r="O414" s="475"/>
      <c r="P414" s="475"/>
      <c r="Q414" s="475"/>
      <c r="R414" s="475"/>
      <c r="S414" s="2097" t="s">
        <v>1181</v>
      </c>
      <c r="T414" s="2097"/>
      <c r="U414" s="2097"/>
      <c r="V414" s="2097"/>
      <c r="W414" s="2097"/>
      <c r="X414" s="2097"/>
      <c r="Y414" s="2097"/>
      <c r="Z414" s="2097"/>
      <c r="AA414" s="2097"/>
      <c r="AB414" s="2097"/>
      <c r="AC414" s="2097"/>
      <c r="AD414" s="2097"/>
      <c r="AE414" s="2097"/>
      <c r="AF414" s="2097"/>
      <c r="AG414" s="2097"/>
      <c r="AH414" s="2097"/>
      <c r="AI414" s="2097"/>
      <c r="AJ414" s="2097"/>
    </row>
    <row r="415" spans="4:36" ht="12.95" customHeight="1">
      <c r="D415" s="1533" t="s">
        <v>1650</v>
      </c>
      <c r="E415" s="1533"/>
      <c r="F415" s="1533"/>
      <c r="G415" s="1533"/>
      <c r="H415" s="1533"/>
      <c r="I415" s="1533"/>
      <c r="J415" s="1533"/>
      <c r="K415" s="1533"/>
      <c r="L415" s="1533"/>
      <c r="M415" s="1533"/>
      <c r="N415" s="1533"/>
      <c r="O415" s="1533"/>
      <c r="P415" s="1533"/>
      <c r="Q415" s="1533"/>
      <c r="R415" s="1533"/>
      <c r="S415" s="1533"/>
      <c r="T415" s="1533"/>
      <c r="U415" s="1533"/>
      <c r="V415" s="1533"/>
      <c r="W415" s="1533"/>
      <c r="X415" s="1533"/>
      <c r="Y415" s="1533"/>
      <c r="Z415" s="1533"/>
      <c r="AA415" s="1533"/>
      <c r="AB415" s="1533"/>
      <c r="AC415" s="1533"/>
      <c r="AD415" s="1533"/>
      <c r="AE415" s="1533"/>
      <c r="AF415" s="1533"/>
      <c r="AG415" s="1533"/>
      <c r="AH415" s="1533"/>
      <c r="AI415" s="1533"/>
      <c r="AJ415" s="1533"/>
    </row>
    <row r="416" spans="4:36" ht="12.95" customHeight="1">
      <c r="D416" s="1533"/>
      <c r="E416" s="1533"/>
      <c r="F416" s="1533"/>
      <c r="G416" s="1533"/>
      <c r="H416" s="1533"/>
      <c r="I416" s="1533"/>
      <c r="J416" s="1533"/>
      <c r="K416" s="1533"/>
      <c r="L416" s="1533"/>
      <c r="M416" s="1533"/>
      <c r="N416" s="1533"/>
      <c r="O416" s="1533"/>
      <c r="P416" s="1533"/>
      <c r="Q416" s="1533"/>
      <c r="R416" s="1533"/>
      <c r="S416" s="1533"/>
      <c r="T416" s="1533"/>
      <c r="U416" s="1533"/>
      <c r="V416" s="1533"/>
      <c r="W416" s="1533"/>
      <c r="X416" s="1533"/>
      <c r="Y416" s="1533"/>
      <c r="Z416" s="1533"/>
      <c r="AA416" s="1533"/>
      <c r="AB416" s="1533"/>
      <c r="AC416" s="1533"/>
      <c r="AD416" s="1533"/>
      <c r="AE416" s="1533"/>
      <c r="AF416" s="1533"/>
      <c r="AG416" s="1533"/>
      <c r="AH416" s="1533"/>
      <c r="AI416" s="1533"/>
      <c r="AJ416" s="1533"/>
    </row>
    <row r="417" spans="1:39" ht="12.95" customHeight="1">
      <c r="AG417" s="454"/>
      <c r="AH417" s="454"/>
      <c r="AI417" s="454"/>
      <c r="AJ417" s="454"/>
    </row>
    <row r="418" spans="1:39" ht="12.95" customHeight="1">
      <c r="A418" s="2" t="s">
        <v>588</v>
      </c>
      <c r="B418" s="2"/>
      <c r="C418" s="2" t="s">
        <v>111</v>
      </c>
    </row>
    <row r="419" spans="1:39" ht="12.95" customHeight="1">
      <c r="B419" s="2"/>
      <c r="C419" s="2"/>
      <c r="D419" s="2" t="s">
        <v>1201</v>
      </c>
      <c r="I419" s="1703" t="s">
        <v>2721</v>
      </c>
      <c r="J419" s="1703"/>
      <c r="K419" s="1703"/>
      <c r="L419" s="1703"/>
      <c r="M419" s="1703"/>
      <c r="N419" s="1703"/>
      <c r="O419" s="1703"/>
      <c r="P419" s="1703"/>
      <c r="Q419" s="1703"/>
      <c r="R419" s="1703"/>
      <c r="S419" s="1703"/>
      <c r="T419" s="1703"/>
      <c r="U419" s="1703"/>
      <c r="V419" s="1703"/>
      <c r="W419" s="1703"/>
      <c r="X419" s="1703"/>
      <c r="Y419" s="1703"/>
      <c r="Z419" s="1703"/>
      <c r="AA419" s="1703"/>
      <c r="AB419" s="1703"/>
      <c r="AC419" s="1703"/>
      <c r="AD419" s="1703"/>
      <c r="AE419" s="1703"/>
    </row>
    <row r="420" spans="1:39" ht="12.95" customHeight="1">
      <c r="E420" t="s">
        <v>106</v>
      </c>
      <c r="R420" s="1599" t="s">
        <v>544</v>
      </c>
      <c r="S420" s="1599"/>
      <c r="AC420" s="27" t="s">
        <v>569</v>
      </c>
      <c r="AD420" s="2077">
        <v>4</v>
      </c>
      <c r="AE420" s="1728"/>
    </row>
    <row r="421" spans="1:39" ht="12.95" customHeight="1">
      <c r="E421" t="s">
        <v>107</v>
      </c>
      <c r="R421" s="1599" t="s">
        <v>544</v>
      </c>
      <c r="S421" s="1599"/>
      <c r="AC421" s="27" t="s">
        <v>569</v>
      </c>
      <c r="AD421" s="1728">
        <v>2</v>
      </c>
      <c r="AE421" s="1728"/>
    </row>
    <row r="422" spans="1:39" ht="12.95" customHeight="1">
      <c r="E422" t="s">
        <v>108</v>
      </c>
      <c r="S422" s="1599" t="s">
        <v>590</v>
      </c>
      <c r="T422" s="1599"/>
    </row>
    <row r="423" spans="1:39" ht="12.95" customHeight="1">
      <c r="E423" t="s">
        <v>169</v>
      </c>
      <c r="H423" s="2130" t="s">
        <v>2722</v>
      </c>
      <c r="I423" s="2130"/>
      <c r="J423" s="2130"/>
      <c r="K423" s="2130"/>
      <c r="L423" s="2130"/>
      <c r="M423" s="2130"/>
      <c r="N423" s="2130"/>
      <c r="O423" s="2130"/>
      <c r="P423" s="2130"/>
      <c r="Q423" s="2130"/>
      <c r="R423" s="2130"/>
      <c r="S423" s="2130"/>
      <c r="T423" s="2130"/>
      <c r="U423" s="2130"/>
      <c r="V423" s="2130"/>
      <c r="W423" s="2130"/>
      <c r="X423" s="2130"/>
      <c r="Y423" s="2130"/>
      <c r="Z423" s="2130"/>
      <c r="AA423" s="2130"/>
      <c r="AB423" s="2130"/>
      <c r="AC423" s="2130"/>
      <c r="AD423" s="2130"/>
      <c r="AE423" s="2130"/>
    </row>
    <row r="424" spans="1:39" ht="12.95" customHeight="1">
      <c r="H424" s="2131"/>
      <c r="I424" s="2131"/>
      <c r="J424" s="2131"/>
      <c r="K424" s="2131"/>
      <c r="L424" s="2131"/>
      <c r="M424" s="2131"/>
      <c r="N424" s="2131"/>
      <c r="O424" s="2131"/>
      <c r="P424" s="2131"/>
      <c r="Q424" s="2131"/>
      <c r="R424" s="2131"/>
      <c r="S424" s="2131"/>
      <c r="T424" s="2131"/>
      <c r="U424" s="2131"/>
      <c r="V424" s="2131"/>
      <c r="W424" s="2131"/>
      <c r="X424" s="2131"/>
      <c r="Y424" s="2131"/>
      <c r="Z424" s="2131"/>
      <c r="AA424" s="2131"/>
      <c r="AB424" s="2131"/>
      <c r="AC424" s="2131"/>
      <c r="AD424" s="2131"/>
      <c r="AE424" s="2131"/>
    </row>
    <row r="425" spans="1:39" ht="12.95" customHeight="1"/>
    <row r="426" spans="1:39" ht="12.95" customHeight="1">
      <c r="A426" s="2" t="s">
        <v>589</v>
      </c>
      <c r="B426" s="2"/>
      <c r="C426" s="2"/>
      <c r="D426" s="2" t="s">
        <v>114</v>
      </c>
      <c r="AF426" s="2" t="s">
        <v>954</v>
      </c>
    </row>
    <row r="427" spans="1:39" ht="12.95" customHeight="1">
      <c r="E427" s="2076"/>
      <c r="F427" s="2076"/>
      <c r="G427" s="2076"/>
      <c r="H427" s="13" t="s">
        <v>115</v>
      </c>
      <c r="I427" s="2076"/>
      <c r="J427" s="2076"/>
      <c r="K427" s="2076"/>
      <c r="L427" t="s">
        <v>116</v>
      </c>
      <c r="N427" s="27" t="s">
        <v>574</v>
      </c>
      <c r="P427" s="2089">
        <v>3.58</v>
      </c>
      <c r="Q427" s="2089"/>
      <c r="R427" s="2089"/>
      <c r="S427" t="s">
        <v>117</v>
      </c>
      <c r="W427" s="2079">
        <f>IF(E427&gt;0,(E427*I427),(P427*43560))</f>
        <v>155944.80000000002</v>
      </c>
      <c r="X427" s="2079"/>
      <c r="Y427" s="2079"/>
      <c r="Z427" t="s">
        <v>118</v>
      </c>
      <c r="AF427" s="2007">
        <f>IFERROR(IF(P427&gt;0,(AG446/P427),(AG446/(W427/43560))),0)</f>
        <v>33.240223463687151</v>
      </c>
      <c r="AG427" s="2007"/>
      <c r="AH427" s="2007"/>
      <c r="AM427" s="3"/>
    </row>
    <row r="428" spans="1:39" ht="12.95" customHeight="1">
      <c r="E428" t="s">
        <v>51</v>
      </c>
    </row>
    <row r="429" spans="1:39" ht="12.95" customHeight="1">
      <c r="E429" s="2114" t="s">
        <v>2723</v>
      </c>
      <c r="F429" s="2115"/>
      <c r="G429" s="2115"/>
      <c r="H429" s="2115"/>
      <c r="I429" s="2115"/>
      <c r="J429" s="2115"/>
      <c r="K429" s="2115"/>
      <c r="L429" s="2115"/>
      <c r="M429" s="2115"/>
      <c r="N429" s="2115"/>
      <c r="O429" s="2115"/>
      <c r="P429" s="2115"/>
      <c r="Q429" s="2115"/>
      <c r="R429" s="2115"/>
      <c r="S429" s="2115"/>
      <c r="T429" s="2115"/>
      <c r="U429" s="2115"/>
      <c r="V429" s="2115"/>
      <c r="W429" s="2115"/>
      <c r="X429" s="2115"/>
      <c r="Y429" s="2115"/>
      <c r="Z429" s="2115"/>
      <c r="AA429" s="2115"/>
      <c r="AB429" s="2115"/>
      <c r="AC429" s="2115"/>
      <c r="AD429" s="2115"/>
      <c r="AE429" s="2115"/>
      <c r="AF429" s="2115"/>
      <c r="AG429" s="2115"/>
      <c r="AH429" s="2115"/>
      <c r="AI429" s="2115"/>
      <c r="AJ429" s="2115"/>
    </row>
    <row r="430" spans="1:39" ht="12.95" customHeight="1">
      <c r="E430" s="118" t="s">
        <v>1721</v>
      </c>
      <c r="F430" s="1005"/>
      <c r="G430" s="1005"/>
      <c r="H430" s="1005"/>
      <c r="I430" s="2088">
        <v>3.58</v>
      </c>
      <c r="J430" s="2088"/>
      <c r="K430" s="2088"/>
      <c r="L430" s="1005"/>
      <c r="M430" s="118"/>
      <c r="N430" s="1005"/>
      <c r="O430" s="1005"/>
      <c r="P430" s="2031">
        <f>(DU763+DU786+DU808)/I430</f>
        <v>60.055865921787706</v>
      </c>
      <c r="Q430" s="2031"/>
      <c r="R430" s="2031"/>
      <c r="S430" s="118" t="s">
        <v>1722</v>
      </c>
      <c r="T430" s="1005"/>
      <c r="U430" s="1005"/>
      <c r="V430" s="1005"/>
      <c r="W430" s="1005"/>
      <c r="X430" s="1005"/>
      <c r="Y430" s="1005"/>
      <c r="Z430" s="1005"/>
      <c r="AA430" s="1005"/>
      <c r="AB430" s="1005"/>
      <c r="AC430" s="1005"/>
      <c r="AD430" s="1005"/>
      <c r="AE430" s="1005"/>
      <c r="AF430" s="1005"/>
      <c r="AG430" s="1005"/>
      <c r="AH430" s="1005"/>
      <c r="AI430" s="1005"/>
      <c r="AJ430" s="1005"/>
    </row>
    <row r="431" spans="1:39" ht="12.95" customHeight="1"/>
    <row r="432" spans="1:39" ht="12.95" customHeight="1">
      <c r="A432" s="2" t="s">
        <v>591</v>
      </c>
      <c r="B432" s="2"/>
      <c r="C432" s="2"/>
      <c r="D432" s="2" t="s">
        <v>120</v>
      </c>
    </row>
    <row r="433" spans="1:36" ht="12.95" customHeight="1">
      <c r="E433" t="s">
        <v>121</v>
      </c>
      <c r="P433" s="1599">
        <v>3</v>
      </c>
      <c r="Q433" s="1599"/>
      <c r="S433" t="s">
        <v>188</v>
      </c>
      <c r="AE433" s="1599">
        <v>2</v>
      </c>
      <c r="AF433" s="1599"/>
    </row>
    <row r="434" spans="1:36" ht="12.95" customHeight="1">
      <c r="E434" t="s">
        <v>189</v>
      </c>
      <c r="P434" s="1599">
        <v>1</v>
      </c>
      <c r="Q434" s="1599"/>
      <c r="S434" t="s">
        <v>131</v>
      </c>
      <c r="AE434" s="1599" t="s">
        <v>590</v>
      </c>
      <c r="AF434" s="1599"/>
    </row>
    <row r="435" spans="1:36" ht="12.95" customHeight="1">
      <c r="F435" s="28" t="s">
        <v>132</v>
      </c>
    </row>
    <row r="436" spans="1:36" ht="12.95" customHeight="1">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8"/>
      <c r="AG436" s="2068"/>
      <c r="AH436" s="2068"/>
    </row>
    <row r="437" spans="1:36" ht="12.95" customHeight="1">
      <c r="F437" s="2069"/>
      <c r="G437" s="2069"/>
      <c r="H437" s="2069"/>
      <c r="I437" s="2069"/>
      <c r="J437" s="2069"/>
      <c r="K437" s="2069"/>
      <c r="L437" s="2069"/>
      <c r="M437" s="2069"/>
      <c r="N437" s="2069"/>
      <c r="O437" s="2069"/>
      <c r="P437" s="2069"/>
      <c r="Q437" s="2069"/>
      <c r="R437" s="2069"/>
      <c r="S437" s="2069"/>
      <c r="T437" s="2069"/>
      <c r="U437" s="2069"/>
      <c r="V437" s="2069"/>
      <c r="W437" s="2069"/>
      <c r="X437" s="2069"/>
      <c r="Y437" s="2069"/>
      <c r="Z437" s="2069"/>
      <c r="AA437" s="2069"/>
      <c r="AB437" s="2069"/>
      <c r="AC437" s="2069"/>
      <c r="AD437" s="2069"/>
      <c r="AE437" s="2069"/>
      <c r="AF437" s="2069"/>
      <c r="AG437" s="2069"/>
      <c r="AH437" s="2069"/>
    </row>
    <row r="438" spans="1:36" ht="12.95" customHeight="1">
      <c r="E438" t="s">
        <v>607</v>
      </c>
      <c r="P438" s="1"/>
      <c r="Q438" s="1599" t="s">
        <v>544</v>
      </c>
      <c r="R438" s="1599"/>
    </row>
    <row r="439" spans="1:36" ht="12.95" customHeight="1">
      <c r="F439" t="s">
        <v>608</v>
      </c>
      <c r="P439" s="1"/>
      <c r="Q439" s="1"/>
      <c r="AF439" s="1599" t="s">
        <v>590</v>
      </c>
      <c r="AG439" s="2086"/>
    </row>
    <row r="440" spans="1:36" ht="12.95" customHeight="1"/>
    <row r="441" spans="1:36" ht="12.95" customHeight="1">
      <c r="A441" s="2"/>
      <c r="B441" s="2"/>
      <c r="C441" s="2"/>
      <c r="E441" s="4" t="s">
        <v>307</v>
      </c>
      <c r="Z441" s="1599" t="s">
        <v>544</v>
      </c>
      <c r="AA441" s="159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599" t="s">
        <v>668</v>
      </c>
      <c r="AA443" s="1599"/>
    </row>
    <row r="444" spans="1:36" ht="12.95" customHeight="1"/>
    <row r="445" spans="1:36" ht="12.95" customHeight="1">
      <c r="A445" s="2" t="s">
        <v>466</v>
      </c>
      <c r="B445" s="2"/>
      <c r="C445" s="2"/>
      <c r="D445" s="2" t="s">
        <v>763</v>
      </c>
      <c r="AF445" s="48"/>
    </row>
    <row r="446" spans="1:36" ht="12.95" customHeight="1">
      <c r="D446" s="1938" t="s">
        <v>43</v>
      </c>
      <c r="E446" s="1937"/>
      <c r="F446" s="1937"/>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2009"/>
      <c r="AG446" s="2017">
        <v>119</v>
      </c>
      <c r="AH446" s="2017"/>
      <c r="AI446" s="2017"/>
      <c r="AJ446" s="2017"/>
    </row>
    <row r="447" spans="1:36" ht="12.95" customHeight="1">
      <c r="D447" s="2008" t="s">
        <v>1219</v>
      </c>
      <c r="E447" s="2012"/>
      <c r="F447" s="2012"/>
      <c r="G447" s="2012"/>
      <c r="H447" s="2012"/>
      <c r="I447" s="2012"/>
      <c r="J447" s="2012"/>
      <c r="K447" s="2012"/>
      <c r="L447" s="2012"/>
      <c r="M447" s="2012"/>
      <c r="N447" s="2012"/>
      <c r="O447" s="2012"/>
      <c r="P447" s="2012"/>
      <c r="Q447" s="2012"/>
      <c r="R447" s="2012"/>
      <c r="S447" s="2012"/>
      <c r="T447" s="2012"/>
      <c r="U447" s="2012"/>
      <c r="V447" s="2012"/>
      <c r="W447" s="2012"/>
      <c r="X447" s="2012"/>
      <c r="Y447" s="2012"/>
      <c r="Z447" s="2012"/>
      <c r="AA447" s="2012"/>
      <c r="AB447" s="2012"/>
      <c r="AC447" s="2012"/>
      <c r="AD447" s="2012"/>
      <c r="AE447" s="2012"/>
      <c r="AF447" s="2013"/>
      <c r="AG447" s="2078">
        <v>0</v>
      </c>
      <c r="AH447" s="1798"/>
      <c r="AI447" s="1798"/>
      <c r="AJ447" s="1798"/>
    </row>
    <row r="448" spans="1:36" ht="12.95" customHeight="1">
      <c r="D448" s="2008" t="s">
        <v>1028</v>
      </c>
      <c r="E448" s="2012"/>
      <c r="F448" s="2012"/>
      <c r="G448" s="2012"/>
      <c r="H448" s="2012"/>
      <c r="I448" s="2012"/>
      <c r="J448" s="2012"/>
      <c r="K448" s="2012"/>
      <c r="L448" s="2012"/>
      <c r="M448" s="2012"/>
      <c r="N448" s="2012"/>
      <c r="O448" s="2012"/>
      <c r="P448" s="2012"/>
      <c r="Q448" s="2012"/>
      <c r="R448" s="2012"/>
      <c r="S448" s="2012"/>
      <c r="T448" s="2012"/>
      <c r="U448" s="2012"/>
      <c r="V448" s="2012"/>
      <c r="W448" s="2012"/>
      <c r="X448" s="2012"/>
      <c r="Y448" s="2012"/>
      <c r="Z448" s="2012"/>
      <c r="AA448" s="2012"/>
      <c r="AB448" s="2012"/>
      <c r="AC448" s="2012"/>
      <c r="AD448" s="2012"/>
      <c r="AE448" s="2012"/>
      <c r="AF448" s="2013"/>
      <c r="AG448" s="2017">
        <v>118</v>
      </c>
      <c r="AH448" s="2017"/>
      <c r="AI448" s="2017"/>
      <c r="AJ448" s="2017"/>
    </row>
    <row r="449" spans="4:55" ht="12.95" customHeight="1">
      <c r="D449" s="2008" t="s">
        <v>1029</v>
      </c>
      <c r="E449" s="2012"/>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2013"/>
      <c r="AG449" s="2017">
        <v>118</v>
      </c>
      <c r="AH449" s="2017"/>
      <c r="AI449" s="2017"/>
      <c r="AJ449" s="2017"/>
    </row>
    <row r="450" spans="4:55" ht="12.95" customHeight="1">
      <c r="D450" s="2008" t="s">
        <v>1031</v>
      </c>
      <c r="E450" s="2012"/>
      <c r="F450" s="2012"/>
      <c r="G450" s="2012"/>
      <c r="H450" s="2012"/>
      <c r="I450" s="2012"/>
      <c r="J450" s="2012"/>
      <c r="K450" s="2012"/>
      <c r="L450" s="2012"/>
      <c r="M450" s="2012"/>
      <c r="N450" s="2012"/>
      <c r="O450" s="2012"/>
      <c r="P450" s="2012"/>
      <c r="Q450" s="2012"/>
      <c r="R450" s="2012"/>
      <c r="S450" s="2012"/>
      <c r="T450" s="2012"/>
      <c r="U450" s="2012"/>
      <c r="V450" s="2012"/>
      <c r="W450" s="2012"/>
      <c r="X450" s="2012"/>
      <c r="Y450" s="2012"/>
      <c r="Z450" s="2012"/>
      <c r="AA450" s="2012"/>
      <c r="AB450" s="2012"/>
      <c r="AC450" s="2012"/>
      <c r="AD450" s="2012"/>
      <c r="AE450" s="2012"/>
      <c r="AF450" s="2013"/>
      <c r="AG450" s="2024">
        <f>IF(ISERROR(AG449/AG448),0,AG449/AG448)</f>
        <v>1</v>
      </c>
      <c r="AH450" s="2024"/>
      <c r="AI450" s="2024"/>
      <c r="AJ450" s="2024"/>
    </row>
    <row r="451" spans="4:55" ht="12.95" customHeight="1">
      <c r="D451" s="2008" t="s">
        <v>1030</v>
      </c>
      <c r="E451" s="2012"/>
      <c r="F451" s="2012"/>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3"/>
      <c r="AG451" s="2010">
        <f>103259-1203</f>
        <v>102056</v>
      </c>
      <c r="AH451" s="2010"/>
      <c r="AI451" s="2010"/>
      <c r="AJ451" s="2010"/>
    </row>
    <row r="452" spans="4:55" ht="12.95" customHeight="1">
      <c r="D452" s="2008" t="s">
        <v>1032</v>
      </c>
      <c r="E452" s="2012"/>
      <c r="F452" s="2012"/>
      <c r="G452" s="2012"/>
      <c r="H452" s="2012"/>
      <c r="I452" s="2012"/>
      <c r="J452" s="2012"/>
      <c r="K452" s="2012"/>
      <c r="L452" s="2012"/>
      <c r="M452" s="2012"/>
      <c r="N452" s="2012"/>
      <c r="O452" s="2012"/>
      <c r="P452" s="2012"/>
      <c r="Q452" s="2012"/>
      <c r="R452" s="2012"/>
      <c r="S452" s="2012"/>
      <c r="T452" s="2012"/>
      <c r="U452" s="2012"/>
      <c r="V452" s="2012"/>
      <c r="W452" s="2012"/>
      <c r="X452" s="2012"/>
      <c r="Y452" s="2012"/>
      <c r="Z452" s="2012"/>
      <c r="AA452" s="2012"/>
      <c r="AB452" s="2012"/>
      <c r="AC452" s="2012"/>
      <c r="AD452" s="2012"/>
      <c r="AE452" s="2012"/>
      <c r="AF452" s="2013"/>
      <c r="AG452" s="2010">
        <v>102056</v>
      </c>
      <c r="AH452" s="2010"/>
      <c r="AI452" s="2010"/>
      <c r="AJ452" s="2010"/>
    </row>
    <row r="453" spans="4:55" ht="12.95" customHeight="1">
      <c r="D453" s="2008" t="s">
        <v>1033</v>
      </c>
      <c r="E453" s="2012"/>
      <c r="F453" s="2012"/>
      <c r="G453" s="2012"/>
      <c r="H453" s="2012"/>
      <c r="I453" s="2012"/>
      <c r="J453" s="2012"/>
      <c r="K453" s="2012"/>
      <c r="L453" s="2012"/>
      <c r="M453" s="2012"/>
      <c r="N453" s="2012"/>
      <c r="O453" s="2012"/>
      <c r="P453" s="2012"/>
      <c r="Q453" s="2012"/>
      <c r="R453" s="2012"/>
      <c r="S453" s="2012"/>
      <c r="T453" s="2012"/>
      <c r="U453" s="2012"/>
      <c r="V453" s="2012"/>
      <c r="W453" s="2012"/>
      <c r="X453" s="2012"/>
      <c r="Y453" s="2012"/>
      <c r="Z453" s="2012"/>
      <c r="AA453" s="2012"/>
      <c r="AB453" s="2012"/>
      <c r="AC453" s="2012"/>
      <c r="AD453" s="2012"/>
      <c r="AE453" s="2012"/>
      <c r="AF453" s="2013"/>
      <c r="AG453" s="2024">
        <f>IF(ISERROR(AG452/AG451),0,AG452/AG451)</f>
        <v>1</v>
      </c>
      <c r="AH453" s="2024"/>
      <c r="AI453" s="2024"/>
      <c r="AJ453" s="2024"/>
    </row>
    <row r="454" spans="4:55" ht="12.95" customHeight="1">
      <c r="D454" s="2008" t="s">
        <v>1034</v>
      </c>
      <c r="E454" s="2012"/>
      <c r="F454" s="2012"/>
      <c r="G454" s="2012"/>
      <c r="H454" s="2012"/>
      <c r="I454" s="2012"/>
      <c r="J454" s="2012"/>
      <c r="K454" s="2012"/>
      <c r="L454" s="2012"/>
      <c r="M454" s="2012"/>
      <c r="N454" s="2012"/>
      <c r="O454" s="2012"/>
      <c r="P454" s="2012"/>
      <c r="Q454" s="2012"/>
      <c r="R454" s="2012"/>
      <c r="S454" s="2012"/>
      <c r="T454" s="2012"/>
      <c r="U454" s="2012"/>
      <c r="V454" s="2012"/>
      <c r="W454" s="2012"/>
      <c r="X454" s="2012"/>
      <c r="Y454" s="2012"/>
      <c r="Z454" s="2012"/>
      <c r="AA454" s="2012"/>
      <c r="AB454" s="2012"/>
      <c r="AC454" s="2012"/>
      <c r="AD454" s="2012"/>
      <c r="AE454" s="2012"/>
      <c r="AF454" s="2013"/>
      <c r="AG454" s="2024">
        <f>MIN(IF(AG450&gt;AG453,AG453,AG450),1)</f>
        <v>1</v>
      </c>
      <c r="AH454" s="2024"/>
      <c r="AI454" s="2024"/>
      <c r="AJ454" s="2024"/>
    </row>
    <row r="455" spans="4:55" ht="12.95" customHeight="1">
      <c r="D455" s="2008" t="s">
        <v>2039</v>
      </c>
      <c r="E455" s="1937"/>
      <c r="F455" s="1937"/>
      <c r="G455" s="1937"/>
      <c r="H455" s="1937"/>
      <c r="I455" s="1937"/>
      <c r="J455" s="1937"/>
      <c r="K455" s="1937"/>
      <c r="L455" s="1937"/>
      <c r="M455" s="1937"/>
      <c r="N455" s="1937"/>
      <c r="O455" s="1937"/>
      <c r="P455" s="1937"/>
      <c r="Q455" s="1937"/>
      <c r="R455" s="1937"/>
      <c r="S455" s="1937"/>
      <c r="T455" s="1937"/>
      <c r="U455" s="1937"/>
      <c r="V455" s="1937"/>
      <c r="W455" s="1937"/>
      <c r="X455" s="1937"/>
      <c r="Y455" s="1937"/>
      <c r="Z455" s="1937"/>
      <c r="AA455" s="1937"/>
      <c r="AB455" s="1937"/>
      <c r="AC455" s="1937"/>
      <c r="AD455" s="1937"/>
      <c r="AE455" s="1937"/>
      <c r="AF455" s="2009"/>
      <c r="AG455" s="2010">
        <v>5404</v>
      </c>
      <c r="AH455" s="2010"/>
      <c r="AI455" s="2010"/>
      <c r="AJ455" s="2010"/>
      <c r="AZ455" s="34"/>
      <c r="BA455" s="34"/>
      <c r="BB455" s="34"/>
      <c r="BC455" s="34"/>
    </row>
    <row r="456" spans="4:55" ht="12.95" customHeight="1">
      <c r="D456" s="1938" t="s">
        <v>568</v>
      </c>
      <c r="E456" s="1937"/>
      <c r="F456" s="1937"/>
      <c r="G456" s="1937"/>
      <c r="H456" s="1937"/>
      <c r="I456" s="1937"/>
      <c r="J456" s="1937"/>
      <c r="K456" s="1937"/>
      <c r="L456" s="1937"/>
      <c r="M456" s="1937"/>
      <c r="N456" s="1937"/>
      <c r="O456" s="1937"/>
      <c r="P456" s="1937"/>
      <c r="Q456" s="1937"/>
      <c r="R456" s="1937"/>
      <c r="S456" s="1937"/>
      <c r="T456" s="1937"/>
      <c r="U456" s="1937"/>
      <c r="V456" s="1937"/>
      <c r="W456" s="1937"/>
      <c r="X456" s="1937"/>
      <c r="Y456" s="1937"/>
      <c r="Z456" s="1937"/>
      <c r="AA456" s="1937"/>
      <c r="AB456" s="1937"/>
      <c r="AC456" s="1937"/>
      <c r="AD456" s="1937"/>
      <c r="AE456" s="1937"/>
      <c r="AF456" s="2009"/>
      <c r="AG456" s="2010">
        <v>0</v>
      </c>
      <c r="AH456" s="2010"/>
      <c r="AI456" s="2010"/>
      <c r="AJ456" s="2010"/>
      <c r="AZ456" s="3"/>
      <c r="BA456" s="3"/>
      <c r="BB456" s="3"/>
      <c r="BC456" s="3"/>
    </row>
    <row r="457" spans="4:55" ht="12.95" customHeight="1">
      <c r="D457" s="2008" t="s">
        <v>1202</v>
      </c>
      <c r="E457" s="1937"/>
      <c r="F457" s="1937"/>
      <c r="G457" s="1937"/>
      <c r="H457" s="1937"/>
      <c r="I457" s="1937"/>
      <c r="J457" s="1937"/>
      <c r="K457" s="1937"/>
      <c r="L457" s="1937"/>
      <c r="M457" s="1937"/>
      <c r="N457" s="1937"/>
      <c r="O457" s="1937"/>
      <c r="P457" s="1937"/>
      <c r="Q457" s="1937"/>
      <c r="R457" s="1937"/>
      <c r="S457" s="1937"/>
      <c r="T457" s="1937"/>
      <c r="U457" s="1937"/>
      <c r="V457" s="1937"/>
      <c r="W457" s="1937"/>
      <c r="X457" s="1937"/>
      <c r="Y457" s="1937"/>
      <c r="Z457" s="1937"/>
      <c r="AA457" s="1937"/>
      <c r="AB457" s="1937"/>
      <c r="AC457" s="1937"/>
      <c r="AD457" s="1937"/>
      <c r="AE457" s="1937"/>
      <c r="AF457" s="2009"/>
      <c r="AG457" s="2010">
        <f>1203+5404</f>
        <v>6607</v>
      </c>
      <c r="AH457" s="2010"/>
      <c r="AI457" s="2010"/>
      <c r="AJ457" s="2010"/>
      <c r="AZ457" s="3"/>
      <c r="BA457" s="3"/>
      <c r="BB457" s="3"/>
      <c r="BC457" s="3"/>
    </row>
    <row r="458" spans="4:55" ht="12.95" customHeight="1">
      <c r="D458" s="2008" t="s">
        <v>1035</v>
      </c>
      <c r="E458" s="1937"/>
      <c r="F458" s="1937"/>
      <c r="G458" s="1937"/>
      <c r="H458" s="1937"/>
      <c r="I458" s="1937"/>
      <c r="J458" s="1937"/>
      <c r="K458" s="1937"/>
      <c r="L458" s="1937"/>
      <c r="M458" s="1937"/>
      <c r="N458" s="1937"/>
      <c r="O458" s="1937"/>
      <c r="P458" s="1937"/>
      <c r="Q458" s="1937"/>
      <c r="R458" s="1937"/>
      <c r="S458" s="1937"/>
      <c r="T458" s="1937"/>
      <c r="U458" s="1937"/>
      <c r="V458" s="1937"/>
      <c r="W458" s="1937"/>
      <c r="X458" s="1937"/>
      <c r="Y458" s="1937"/>
      <c r="Z458" s="1937"/>
      <c r="AA458" s="1937"/>
      <c r="AB458" s="1937"/>
      <c r="AC458" s="1937"/>
      <c r="AD458" s="1937"/>
      <c r="AE458" s="1937"/>
      <c r="AF458" s="2009"/>
      <c r="AG458" s="2010">
        <v>0</v>
      </c>
      <c r="AH458" s="2010"/>
      <c r="AI458" s="2010"/>
      <c r="AJ458" s="2010"/>
      <c r="BB458" s="3"/>
      <c r="BC458" s="3"/>
    </row>
    <row r="459" spans="4:55" ht="12.95" customHeight="1">
      <c r="D459" s="2028" t="s">
        <v>1036</v>
      </c>
      <c r="E459" s="2029"/>
      <c r="F459" s="2029"/>
      <c r="G459" s="2029"/>
      <c r="H459" s="2029"/>
      <c r="I459" s="2029"/>
      <c r="J459" s="2029"/>
      <c r="K459" s="2029"/>
      <c r="L459" s="2029"/>
      <c r="M459" s="2029"/>
      <c r="N459" s="2029"/>
      <c r="O459" s="2029"/>
      <c r="P459" s="2029"/>
      <c r="Q459" s="2029"/>
      <c r="R459" s="2029"/>
      <c r="S459" s="2029"/>
      <c r="T459" s="2029"/>
      <c r="U459" s="2029"/>
      <c r="V459" s="2029"/>
      <c r="W459" s="2029"/>
      <c r="X459" s="2029"/>
      <c r="Y459" s="2029"/>
      <c r="Z459" s="2029"/>
      <c r="AA459" s="2029"/>
      <c r="AB459" s="2029"/>
      <c r="AC459" s="2029"/>
      <c r="AD459" s="2029"/>
      <c r="AE459" s="2029"/>
      <c r="AF459" s="2030"/>
      <c r="AG459" s="2020">
        <f>AG451+AG455+AG457+AG458</f>
        <v>114067</v>
      </c>
      <c r="AH459" s="2020"/>
      <c r="AI459" s="2020"/>
      <c r="AJ459" s="2020"/>
      <c r="AZ459" s="3"/>
      <c r="BA459" s="3"/>
      <c r="BB459" s="3"/>
      <c r="BC459" s="3"/>
    </row>
    <row r="460" spans="4:55" ht="12.95" customHeight="1">
      <c r="D460" s="2018" t="s">
        <v>1203</v>
      </c>
      <c r="E460" s="2018"/>
      <c r="F460" s="2018"/>
      <c r="G460" s="2018"/>
      <c r="H460" s="2018"/>
      <c r="I460" s="2018"/>
      <c r="J460" s="2018"/>
      <c r="K460" s="2018"/>
      <c r="L460" s="2018"/>
      <c r="M460" s="2018"/>
      <c r="N460" s="2018"/>
      <c r="O460" s="2018"/>
      <c r="P460" s="2018"/>
      <c r="Q460" s="2018"/>
      <c r="R460" s="2018"/>
      <c r="S460" s="2018"/>
      <c r="T460" s="2018"/>
      <c r="U460" s="2018"/>
      <c r="V460" s="2018"/>
      <c r="W460" s="2018"/>
      <c r="X460" s="2018"/>
      <c r="Y460" s="2018"/>
      <c r="Z460" s="2018"/>
      <c r="AA460" s="2018"/>
      <c r="AB460" s="2018"/>
      <c r="AC460" s="2018"/>
      <c r="AD460" s="2018"/>
      <c r="AE460" s="2018"/>
      <c r="AF460" s="2018"/>
      <c r="AG460" s="2018"/>
      <c r="AH460" s="2018"/>
      <c r="AI460" s="2018"/>
      <c r="AJ460" s="2018"/>
      <c r="AZ460" s="3"/>
      <c r="BA460" s="3"/>
      <c r="BB460" s="3"/>
      <c r="BC460" s="3"/>
    </row>
    <row r="461" spans="4:55" ht="12.95" customHeight="1">
      <c r="D461" s="2019"/>
      <c r="E461" s="2019"/>
      <c r="F461" s="2019"/>
      <c r="G461" s="2019"/>
      <c r="H461" s="2019"/>
      <c r="I461" s="2019"/>
      <c r="J461" s="2019"/>
      <c r="K461" s="2019"/>
      <c r="L461" s="2019"/>
      <c r="M461" s="2019"/>
      <c r="N461" s="2019"/>
      <c r="O461" s="2019"/>
      <c r="P461" s="2019"/>
      <c r="Q461" s="2019"/>
      <c r="R461" s="2019"/>
      <c r="S461" s="2019"/>
      <c r="T461" s="2019"/>
      <c r="U461" s="2019"/>
      <c r="V461" s="2019"/>
      <c r="W461" s="2019"/>
      <c r="X461" s="2019"/>
      <c r="Y461" s="2019"/>
      <c r="Z461" s="2019"/>
      <c r="AA461" s="2019"/>
      <c r="AB461" s="2019"/>
      <c r="AC461" s="2019"/>
      <c r="AD461" s="2019"/>
      <c r="AE461" s="2019"/>
      <c r="AF461" s="2019"/>
      <c r="AG461" s="2019"/>
      <c r="AH461" s="2019"/>
      <c r="AI461" s="2019"/>
      <c r="AJ461" s="2019"/>
      <c r="AZ461" s="3"/>
      <c r="BA461" s="3"/>
      <c r="BB461" s="3"/>
      <c r="BC461" s="3"/>
    </row>
    <row r="462" spans="4:55" ht="12.95" customHeight="1">
      <c r="D462" s="529"/>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2011">
        <f>IF(AG446=0,"",'Sources and Uses Budget'!B105/Application!AG446)</f>
        <v>488580.43697478989</v>
      </c>
      <c r="AD463" s="2011"/>
      <c r="AE463" s="2011"/>
      <c r="AF463" s="2011"/>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2011">
        <f>IF(AG446=0,"",'Sources and Uses Budget'!C105/Application!AG446)</f>
        <v>488580.43697478989</v>
      </c>
      <c r="AD464" s="2011"/>
      <c r="AE464" s="2011"/>
      <c r="AF464" s="2011"/>
      <c r="AG464" s="177"/>
      <c r="AH464" s="177"/>
      <c r="AI464" s="177"/>
      <c r="AJ464" s="183"/>
      <c r="AZ464" s="3"/>
      <c r="BA464" s="3"/>
      <c r="BB464" s="3"/>
      <c r="BC464" s="3"/>
    </row>
    <row r="465" spans="1:55" ht="12.95" customHeight="1">
      <c r="D465" s="205" t="s">
        <v>860</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2011">
        <f>IF(AG446=0,"",('Sources and Uses Budget'!$S$107+'Sources and Uses Budget'!$T$107)/Application!AG446)</f>
        <v>462033.95798319328</v>
      </c>
      <c r="AD465" s="2011"/>
      <c r="AE465" s="2011"/>
      <c r="AF465" s="2011"/>
      <c r="AG465" s="177"/>
      <c r="AH465" s="177"/>
      <c r="AI465" s="177"/>
      <c r="AJ465" s="183"/>
      <c r="AZ465" s="3"/>
      <c r="BA465" s="3"/>
      <c r="BB465" s="3"/>
      <c r="BC465" s="3"/>
    </row>
    <row r="466" spans="1:55" ht="12.95" customHeight="1">
      <c r="D466" s="177"/>
      <c r="E466" s="177"/>
      <c r="F466" s="1188"/>
      <c r="G466" s="1188"/>
      <c r="H466" s="1188"/>
      <c r="I466" s="1188"/>
      <c r="J466" s="1188"/>
      <c r="K466" s="1188"/>
      <c r="L466" s="1188"/>
      <c r="M466" s="1188"/>
      <c r="N466" s="1188"/>
      <c r="O466" s="1188"/>
      <c r="P466" s="1188"/>
      <c r="Q466" s="1188"/>
      <c r="R466" s="1188"/>
      <c r="S466" s="1188"/>
      <c r="T466" s="1188"/>
      <c r="U466" s="1188"/>
      <c r="V466" s="1188"/>
      <c r="W466" s="1188"/>
      <c r="X466" s="1188"/>
      <c r="Y466" s="1188"/>
      <c r="Z466" s="1188"/>
      <c r="AA466" s="1188"/>
      <c r="AB466" s="1188"/>
      <c r="AC466" s="513"/>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1846</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1847</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1848</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29"/>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2095" t="s">
        <v>2051</v>
      </c>
      <c r="E473" s="2022"/>
      <c r="F473" s="2022"/>
      <c r="G473" s="2022"/>
      <c r="H473" s="2022"/>
      <c r="I473" s="2022"/>
      <c r="J473" s="2022"/>
      <c r="K473" s="2022"/>
      <c r="L473" s="2022"/>
      <c r="M473" s="2022"/>
      <c r="N473" s="2022"/>
      <c r="O473" s="2022"/>
      <c r="P473" s="2022"/>
      <c r="Q473" s="2022"/>
      <c r="R473" s="2022"/>
      <c r="S473" s="2022"/>
      <c r="T473" s="2022"/>
      <c r="U473" s="2022"/>
      <c r="V473" s="2023"/>
      <c r="W473" s="1711">
        <v>0</v>
      </c>
      <c r="X473" s="1712"/>
      <c r="Y473" s="171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021" t="s">
        <v>692</v>
      </c>
      <c r="E474" s="2022"/>
      <c r="F474" s="2022"/>
      <c r="G474" s="2022"/>
      <c r="H474" s="2022"/>
      <c r="I474" s="2022"/>
      <c r="J474" s="2022"/>
      <c r="K474" s="2022"/>
      <c r="L474" s="2022"/>
      <c r="M474" s="2022"/>
      <c r="N474" s="2022"/>
      <c r="O474" s="2022"/>
      <c r="P474" s="2022"/>
      <c r="Q474" s="2022"/>
      <c r="R474" s="2022"/>
      <c r="S474" s="2022"/>
      <c r="T474" s="2022"/>
      <c r="U474" s="2022"/>
      <c r="V474" s="2023"/>
      <c r="W474" s="1711">
        <v>0</v>
      </c>
      <c r="X474" s="1712"/>
      <c r="Y474" s="171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021" t="s">
        <v>693</v>
      </c>
      <c r="E475" s="2022"/>
      <c r="F475" s="2022"/>
      <c r="G475" s="2022"/>
      <c r="H475" s="2022"/>
      <c r="I475" s="2022"/>
      <c r="J475" s="2022"/>
      <c r="K475" s="2022"/>
      <c r="L475" s="2022"/>
      <c r="M475" s="2022"/>
      <c r="N475" s="2022"/>
      <c r="O475" s="2022"/>
      <c r="P475" s="2022"/>
      <c r="Q475" s="2022"/>
      <c r="R475" s="2022"/>
      <c r="S475" s="2022"/>
      <c r="T475" s="2022"/>
      <c r="U475" s="2022"/>
      <c r="V475" s="2023"/>
      <c r="W475" s="1711">
        <v>0</v>
      </c>
      <c r="X475" s="1712"/>
      <c r="Y475" s="1713"/>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021" t="s">
        <v>694</v>
      </c>
      <c r="E476" s="2022"/>
      <c r="F476" s="2022"/>
      <c r="G476" s="2022"/>
      <c r="H476" s="2022"/>
      <c r="I476" s="2022"/>
      <c r="J476" s="2022"/>
      <c r="K476" s="2022"/>
      <c r="L476" s="2022"/>
      <c r="M476" s="2022"/>
      <c r="N476" s="2022"/>
      <c r="O476" s="2022"/>
      <c r="P476" s="2022"/>
      <c r="Q476" s="2022"/>
      <c r="R476" s="2022"/>
      <c r="S476" s="2022"/>
      <c r="T476" s="2022"/>
      <c r="U476" s="2022"/>
      <c r="V476" s="2023"/>
      <c r="W476" s="1711">
        <v>0</v>
      </c>
      <c r="X476" s="1712"/>
      <c r="Y476" s="171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021" t="s">
        <v>878</v>
      </c>
      <c r="E477" s="2022"/>
      <c r="F477" s="2022"/>
      <c r="G477" s="2022"/>
      <c r="H477" s="2022"/>
      <c r="I477" s="2022"/>
      <c r="J477" s="2022"/>
      <c r="K477" s="2022"/>
      <c r="L477" s="2022"/>
      <c r="M477" s="2022"/>
      <c r="N477" s="2022"/>
      <c r="O477" s="2022"/>
      <c r="P477" s="2022"/>
      <c r="Q477" s="2022"/>
      <c r="R477" s="2022"/>
      <c r="S477" s="2022"/>
      <c r="T477" s="2022"/>
      <c r="U477" s="2022"/>
      <c r="V477" s="2023"/>
      <c r="W477" s="1711">
        <v>0</v>
      </c>
      <c r="X477" s="1712"/>
      <c r="Y477" s="1713"/>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2021" t="s">
        <v>695</v>
      </c>
      <c r="E478" s="2022"/>
      <c r="F478" s="2022"/>
      <c r="G478" s="2022"/>
      <c r="H478" s="2022"/>
      <c r="I478" s="2022"/>
      <c r="J478" s="2022"/>
      <c r="K478" s="2022"/>
      <c r="L478" s="2022"/>
      <c r="M478" s="2022"/>
      <c r="N478" s="2022"/>
      <c r="O478" s="2022"/>
      <c r="P478" s="2022"/>
      <c r="Q478" s="2022"/>
      <c r="R478" s="2022"/>
      <c r="S478" s="2022"/>
      <c r="T478" s="2022"/>
      <c r="U478" s="2022"/>
      <c r="V478" s="2023"/>
      <c r="W478" s="1711">
        <v>0</v>
      </c>
      <c r="X478" s="1712"/>
      <c r="Y478" s="1713"/>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2021" t="s">
        <v>1009</v>
      </c>
      <c r="E479" s="2022"/>
      <c r="F479" s="2022"/>
      <c r="G479" s="2022"/>
      <c r="H479" s="2022"/>
      <c r="I479" s="2022"/>
      <c r="J479" s="2022"/>
      <c r="K479" s="2022"/>
      <c r="L479" s="2022"/>
      <c r="M479" s="2022"/>
      <c r="N479" s="2022"/>
      <c r="O479" s="2022"/>
      <c r="P479" s="2022"/>
      <c r="Q479" s="2022"/>
      <c r="R479" s="2022"/>
      <c r="S479" s="2022"/>
      <c r="T479" s="2022"/>
      <c r="U479" s="2022"/>
      <c r="V479" s="2023"/>
      <c r="W479" s="1711">
        <v>0</v>
      </c>
      <c r="X479" s="1712"/>
      <c r="Y479" s="1713"/>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2095" t="s">
        <v>2141</v>
      </c>
      <c r="E480" s="2119"/>
      <c r="F480" s="2119"/>
      <c r="G480" s="2119"/>
      <c r="H480" s="2119"/>
      <c r="I480" s="2119"/>
      <c r="J480" s="2119"/>
      <c r="K480" s="2119"/>
      <c r="L480" s="2119"/>
      <c r="M480" s="2119"/>
      <c r="N480" s="2119"/>
      <c r="O480" s="2119"/>
      <c r="P480" s="2119"/>
      <c r="Q480" s="2119"/>
      <c r="R480" s="2119"/>
      <c r="S480" s="2119"/>
      <c r="T480" s="2119"/>
      <c r="U480" s="2119"/>
      <c r="V480" s="2120"/>
      <c r="W480" s="1711">
        <v>0</v>
      </c>
      <c r="X480" s="1712"/>
      <c r="Y480" s="1713"/>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2095" t="s">
        <v>1640</v>
      </c>
      <c r="E481" s="2022"/>
      <c r="F481" s="2022"/>
      <c r="G481" s="2022"/>
      <c r="H481" s="2022"/>
      <c r="I481" s="2022"/>
      <c r="J481" s="2022"/>
      <c r="K481" s="2022"/>
      <c r="L481" s="2022"/>
      <c r="M481" s="2022"/>
      <c r="N481" s="2022"/>
      <c r="O481" s="2022"/>
      <c r="P481" s="2022"/>
      <c r="Q481" s="2022"/>
      <c r="R481" s="2022"/>
      <c r="S481" s="2022"/>
      <c r="T481" s="2022"/>
      <c r="U481" s="2022"/>
      <c r="V481" s="2023"/>
      <c r="W481" s="1711">
        <v>18</v>
      </c>
      <c r="X481" s="1712"/>
      <c r="Y481" s="1713"/>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1" t="s">
        <v>169</v>
      </c>
      <c r="E482" s="242"/>
      <c r="F482" s="243"/>
      <c r="G482" s="2014" t="s">
        <v>2724</v>
      </c>
      <c r="H482" s="2015"/>
      <c r="I482" s="2015"/>
      <c r="J482" s="2015"/>
      <c r="K482" s="2015"/>
      <c r="L482" s="2015"/>
      <c r="M482" s="2015"/>
      <c r="N482" s="2015"/>
      <c r="O482" s="2015"/>
      <c r="P482" s="2015"/>
      <c r="Q482" s="2015"/>
      <c r="R482" s="2015"/>
      <c r="S482" s="2015"/>
      <c r="T482" s="2015"/>
      <c r="U482" s="2015"/>
      <c r="V482" s="2016"/>
      <c r="W482" s="1711">
        <v>12</v>
      </c>
      <c r="X482" s="1712"/>
      <c r="Y482" s="1713"/>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4" t="s">
        <v>879</v>
      </c>
      <c r="E483" s="245"/>
      <c r="F483" s="245"/>
      <c r="G483" s="185"/>
      <c r="H483" s="185"/>
      <c r="I483" s="185"/>
      <c r="J483" s="185"/>
      <c r="K483" s="185"/>
      <c r="L483" s="185"/>
      <c r="M483" s="185"/>
      <c r="N483" s="185"/>
      <c r="O483" s="185"/>
      <c r="P483" s="185"/>
      <c r="Q483" s="185"/>
      <c r="R483" s="185"/>
      <c r="S483" s="185"/>
      <c r="T483" s="185"/>
      <c r="U483" s="185"/>
      <c r="V483" s="185"/>
      <c r="W483" s="246"/>
      <c r="X483" s="246"/>
      <c r="Y483" s="247"/>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48"/>
      <c r="E484" s="249"/>
      <c r="F484" s="249"/>
      <c r="G484" s="249"/>
      <c r="H484" s="249"/>
      <c r="I484" s="249"/>
      <c r="J484" s="249"/>
      <c r="K484" s="249"/>
      <c r="L484" s="249"/>
      <c r="M484" s="249"/>
      <c r="N484" s="249"/>
      <c r="O484" s="249"/>
      <c r="P484" s="249"/>
      <c r="Q484" s="249"/>
      <c r="R484" s="249"/>
      <c r="S484" s="249"/>
      <c r="T484" s="249"/>
      <c r="U484" s="249"/>
      <c r="V484" s="249"/>
      <c r="W484" s="250"/>
      <c r="X484" s="250"/>
      <c r="Y484" s="251"/>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48"/>
      <c r="E485" s="249"/>
      <c r="F485" s="249"/>
      <c r="G485" s="249"/>
      <c r="H485" s="249"/>
      <c r="I485" s="249"/>
      <c r="J485" s="249"/>
      <c r="K485" s="249"/>
      <c r="L485" s="249"/>
      <c r="M485" s="249"/>
      <c r="N485" s="249"/>
      <c r="O485" s="249"/>
      <c r="P485" s="249"/>
      <c r="Q485" s="249"/>
      <c r="R485" s="249"/>
      <c r="S485" s="249"/>
      <c r="T485" s="249"/>
      <c r="U485" s="249"/>
      <c r="V485" s="249"/>
      <c r="W485" s="250"/>
      <c r="X485" s="250"/>
      <c r="Y485" s="251"/>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48"/>
      <c r="E486" s="249"/>
      <c r="F486" s="249"/>
      <c r="G486" s="249"/>
      <c r="H486" s="249"/>
      <c r="I486" s="249"/>
      <c r="J486" s="249"/>
      <c r="K486" s="249"/>
      <c r="L486" s="249"/>
      <c r="M486" s="249"/>
      <c r="N486" s="249"/>
      <c r="O486" s="249"/>
      <c r="P486" s="249"/>
      <c r="Q486" s="249"/>
      <c r="R486" s="249"/>
      <c r="S486" s="249"/>
      <c r="T486" s="249"/>
      <c r="U486" s="249"/>
      <c r="V486" s="249"/>
      <c r="W486" s="250"/>
      <c r="X486" s="250"/>
      <c r="Y486" s="251"/>
      <c r="Z486" s="184"/>
      <c r="AA486" s="184"/>
      <c r="AB486" s="184"/>
      <c r="AC486" s="184"/>
      <c r="AD486" s="177"/>
      <c r="AE486" s="177"/>
      <c r="AF486" s="177"/>
      <c r="AG486" s="177"/>
      <c r="AH486" s="177"/>
      <c r="AI486" s="177"/>
      <c r="AJ486" s="183"/>
      <c r="AZ486" s="3"/>
      <c r="BA486" s="3">
        <f>N607</f>
        <v>0</v>
      </c>
      <c r="BB486" s="3"/>
      <c r="BC486" s="3"/>
    </row>
    <row r="487" spans="1:55" ht="12.95" customHeight="1">
      <c r="AU487" s="95"/>
      <c r="AV487" s="95"/>
      <c r="AW487" s="95"/>
      <c r="AX487" s="95"/>
      <c r="AY487" s="95"/>
      <c r="AZ487" s="3"/>
      <c r="BA487" s="3" t="str">
        <f>AG607</f>
        <v>No</v>
      </c>
      <c r="BB487" s="3"/>
      <c r="BC487" s="3"/>
    </row>
    <row r="488" spans="1:55" ht="12.95" customHeight="1">
      <c r="A488" s="1744" t="s">
        <v>809</v>
      </c>
      <c r="B488" s="1744"/>
      <c r="C488" s="1744"/>
      <c r="D488" s="1744"/>
      <c r="E488" s="1744"/>
      <c r="F488" s="1744"/>
      <c r="G488" s="1744"/>
      <c r="H488" s="1744"/>
      <c r="I488" s="1744"/>
      <c r="J488" s="1744"/>
      <c r="K488" s="1744"/>
      <c r="L488" s="1744"/>
      <c r="M488" s="1744"/>
      <c r="N488" s="1744"/>
      <c r="O488" s="1744"/>
      <c r="P488" s="1744"/>
      <c r="Q488" s="1744"/>
      <c r="R488" s="1744"/>
      <c r="S488" s="1744"/>
      <c r="T488" s="1744"/>
      <c r="U488" s="1744"/>
      <c r="V488" s="1744"/>
      <c r="W488" s="1744"/>
      <c r="X488" s="1744"/>
      <c r="Y488" s="1744"/>
      <c r="Z488" s="1744"/>
      <c r="AA488" s="1744"/>
      <c r="AB488" s="1744"/>
      <c r="AC488" s="1744"/>
      <c r="AD488" s="1744"/>
      <c r="AE488" s="1744"/>
      <c r="AF488" s="1744"/>
      <c r="AG488" s="1744"/>
      <c r="AH488" s="1744"/>
      <c r="AI488" s="1744"/>
      <c r="AJ488" s="1744"/>
      <c r="AK488" s="1744"/>
      <c r="AL488" s="1744"/>
      <c r="AM488" s="1744"/>
      <c r="AN488" s="1744"/>
      <c r="AO488" s="1744"/>
      <c r="AP488" s="1744"/>
      <c r="AQ488" s="1744"/>
      <c r="AR488" s="1744"/>
      <c r="AS488" s="1744"/>
      <c r="AT488" s="1744"/>
      <c r="AU488" s="95"/>
      <c r="AV488" s="95"/>
      <c r="AW488" s="95"/>
      <c r="AX488" s="95"/>
      <c r="AY488" s="95"/>
      <c r="AZ488" s="3"/>
      <c r="BB488" s="3"/>
      <c r="BC488" s="3"/>
    </row>
    <row r="489" spans="1:55" ht="12.95" customHeight="1">
      <c r="A489" s="1744"/>
      <c r="B489" s="1744"/>
      <c r="C489" s="1744"/>
      <c r="D489" s="1744"/>
      <c r="E489" s="1744"/>
      <c r="F489" s="1744"/>
      <c r="G489" s="1744"/>
      <c r="H489" s="1744"/>
      <c r="I489" s="1744"/>
      <c r="J489" s="1744"/>
      <c r="K489" s="1744"/>
      <c r="L489" s="1744"/>
      <c r="M489" s="1744"/>
      <c r="N489" s="1744"/>
      <c r="O489" s="1744"/>
      <c r="P489" s="1744"/>
      <c r="Q489" s="1744"/>
      <c r="R489" s="1744"/>
      <c r="S489" s="1744"/>
      <c r="T489" s="1744"/>
      <c r="U489" s="1744"/>
      <c r="V489" s="1744"/>
      <c r="W489" s="1744"/>
      <c r="X489" s="1744"/>
      <c r="Y489" s="1744"/>
      <c r="Z489" s="1744"/>
      <c r="AA489" s="1744"/>
      <c r="AB489" s="1744"/>
      <c r="AC489" s="1744"/>
      <c r="AD489" s="1744"/>
      <c r="AE489" s="1744"/>
      <c r="AF489" s="1744"/>
      <c r="AG489" s="1744"/>
      <c r="AH489" s="1744"/>
      <c r="AI489" s="1744"/>
      <c r="AJ489" s="1744"/>
      <c r="AK489" s="1744"/>
      <c r="AL489" s="1744"/>
      <c r="AM489" s="1744"/>
      <c r="AN489" s="1744"/>
      <c r="AO489" s="1744"/>
      <c r="AP489" s="1744"/>
      <c r="AQ489" s="1744"/>
      <c r="AR489" s="1744"/>
      <c r="AS489" s="1744"/>
      <c r="AT489" s="1744"/>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2025" t="s">
        <v>392</v>
      </c>
      <c r="R493" s="2026"/>
      <c r="S493" s="2026"/>
      <c r="T493" s="2026"/>
      <c r="U493" s="2026"/>
      <c r="V493" s="2026"/>
      <c r="W493" s="2026"/>
      <c r="X493" s="2026"/>
      <c r="Y493" s="2026"/>
      <c r="Z493" s="2026"/>
      <c r="AA493" s="2026"/>
      <c r="AB493" s="2026"/>
      <c r="AC493" s="2026"/>
      <c r="AD493" s="2026"/>
      <c r="AE493" s="2026"/>
      <c r="AF493" s="2026"/>
      <c r="AG493" s="2026"/>
      <c r="AH493" s="2026"/>
      <c r="AI493" s="2026"/>
      <c r="AJ493" s="2026"/>
      <c r="AK493" s="2027"/>
      <c r="AZ493" s="3"/>
      <c r="BB493" s="3"/>
      <c r="BC493" s="3"/>
    </row>
    <row r="494" spans="1:55" ht="12.95" customHeight="1">
      <c r="B494" s="45" t="s">
        <v>393</v>
      </c>
      <c r="C494" s="5"/>
      <c r="D494" s="5"/>
      <c r="E494" s="5"/>
      <c r="F494" s="5"/>
      <c r="G494" s="5"/>
      <c r="H494" s="5"/>
      <c r="I494" s="5"/>
      <c r="J494" s="5"/>
      <c r="K494" s="5"/>
      <c r="L494" s="5"/>
      <c r="M494" s="5"/>
      <c r="N494" s="5"/>
      <c r="O494" s="5"/>
      <c r="P494" s="5"/>
      <c r="Q494" s="1642" t="s">
        <v>2725</v>
      </c>
      <c r="R494" s="1696"/>
      <c r="S494" s="1696"/>
      <c r="T494" s="1696"/>
      <c r="U494" s="1696"/>
      <c r="V494" s="1696"/>
      <c r="W494" s="1696"/>
      <c r="X494" s="1696"/>
      <c r="Y494" s="1696"/>
      <c r="Z494" s="1696"/>
      <c r="AA494" s="1696"/>
      <c r="AB494" s="1696"/>
      <c r="AC494" s="1696"/>
      <c r="AD494" s="1696"/>
      <c r="AE494" s="1696"/>
      <c r="AF494" s="1696"/>
      <c r="AG494" s="1696"/>
      <c r="AH494" s="1696"/>
      <c r="AI494" s="1696"/>
      <c r="AJ494" s="1696"/>
      <c r="AK494" s="1906"/>
      <c r="AZ494" s="3"/>
      <c r="BB494" s="3"/>
      <c r="BC494" s="3"/>
    </row>
    <row r="495" spans="1:55" ht="12.95" customHeight="1">
      <c r="B495" s="45" t="s">
        <v>394</v>
      </c>
      <c r="C495" s="5"/>
      <c r="D495" s="5"/>
      <c r="E495" s="5"/>
      <c r="F495" s="5"/>
      <c r="G495" s="5"/>
      <c r="H495" s="5"/>
      <c r="I495" s="5"/>
      <c r="J495" s="5"/>
      <c r="K495" s="5"/>
      <c r="L495" s="5"/>
      <c r="M495" s="5"/>
      <c r="N495" s="5"/>
      <c r="O495" s="5"/>
      <c r="P495" s="5"/>
      <c r="Q495" s="1642" t="s">
        <v>2726</v>
      </c>
      <c r="R495" s="1696"/>
      <c r="S495" s="1696"/>
      <c r="T495" s="1696"/>
      <c r="U495" s="1696"/>
      <c r="V495" s="1696"/>
      <c r="W495" s="1696"/>
      <c r="X495" s="1696"/>
      <c r="Y495" s="1696"/>
      <c r="Z495" s="1696"/>
      <c r="AA495" s="1696"/>
      <c r="AB495" s="1696"/>
      <c r="AC495" s="1696"/>
      <c r="AD495" s="1696"/>
      <c r="AE495" s="1696"/>
      <c r="AF495" s="1696"/>
      <c r="AG495" s="1696"/>
      <c r="AH495" s="1696"/>
      <c r="AI495" s="1696"/>
      <c r="AJ495" s="1696"/>
      <c r="AK495" s="1906"/>
      <c r="AZ495" s="3"/>
      <c r="BB495" s="3"/>
      <c r="BC495" s="3"/>
    </row>
    <row r="496" spans="1:55" ht="12.95" customHeight="1">
      <c r="B496" s="45" t="s">
        <v>395</v>
      </c>
      <c r="C496" s="5"/>
      <c r="D496" s="5"/>
      <c r="E496" s="5"/>
      <c r="F496" s="5"/>
      <c r="G496" s="5"/>
      <c r="H496" s="5"/>
      <c r="I496" s="5"/>
      <c r="J496" s="5"/>
      <c r="K496" s="5"/>
      <c r="L496" s="5"/>
      <c r="M496" s="5"/>
      <c r="N496" s="5"/>
      <c r="O496" s="5"/>
      <c r="P496" s="5"/>
      <c r="Q496" s="1642" t="s">
        <v>2727</v>
      </c>
      <c r="R496" s="1696"/>
      <c r="S496" s="1696"/>
      <c r="T496" s="1696"/>
      <c r="U496" s="1696"/>
      <c r="V496" s="1696"/>
      <c r="W496" s="1696"/>
      <c r="X496" s="1696"/>
      <c r="Y496" s="1696"/>
      <c r="Z496" s="1696"/>
      <c r="AA496" s="1696"/>
      <c r="AB496" s="1696"/>
      <c r="AC496" s="1696"/>
      <c r="AD496" s="1696"/>
      <c r="AE496" s="1696"/>
      <c r="AF496" s="1696"/>
      <c r="AG496" s="1696"/>
      <c r="AH496" s="1696"/>
      <c r="AI496" s="1696"/>
      <c r="AJ496" s="1696"/>
      <c r="AK496" s="1906"/>
      <c r="AZ496" s="3"/>
      <c r="BA496" s="3"/>
      <c r="BB496" s="3"/>
      <c r="BC496" s="3"/>
    </row>
    <row r="497" spans="1:66" ht="12.95" customHeight="1">
      <c r="B497" s="2103" t="s">
        <v>396</v>
      </c>
      <c r="C497" s="2104"/>
      <c r="D497" s="2104"/>
      <c r="E497" s="2104"/>
      <c r="F497" s="2104"/>
      <c r="G497" s="2104"/>
      <c r="H497" s="2104"/>
      <c r="I497" s="2104"/>
      <c r="J497" s="2104"/>
      <c r="K497" s="2104"/>
      <c r="L497" s="2104"/>
      <c r="M497" s="2104"/>
      <c r="N497" s="2104"/>
      <c r="O497" s="2104"/>
      <c r="P497" s="2105"/>
      <c r="Q497" s="2109" t="s">
        <v>544</v>
      </c>
      <c r="R497" s="2110"/>
      <c r="S497" s="2090" t="s">
        <v>2728</v>
      </c>
      <c r="T497" s="2091"/>
      <c r="U497" s="2091"/>
      <c r="V497" s="2091"/>
      <c r="W497" s="2091"/>
      <c r="X497" s="2091"/>
      <c r="Y497" s="2091"/>
      <c r="Z497" s="2091"/>
      <c r="AA497" s="2091"/>
      <c r="AB497" s="2091"/>
      <c r="AC497" s="2091"/>
      <c r="AD497" s="2091"/>
      <c r="AE497" s="2091"/>
      <c r="AF497" s="2091"/>
      <c r="AG497" s="2091"/>
      <c r="AH497" s="2091"/>
      <c r="AI497" s="2091"/>
      <c r="AJ497" s="2091"/>
      <c r="AK497" s="2092"/>
      <c r="AZ497" s="3"/>
      <c r="BA497" s="3"/>
      <c r="BB497" s="3"/>
      <c r="BC497" s="3"/>
    </row>
    <row r="498" spans="1:66" ht="12.95" customHeight="1">
      <c r="B498" s="2106"/>
      <c r="C498" s="2107"/>
      <c r="D498" s="2107"/>
      <c r="E498" s="2107"/>
      <c r="F498" s="2107"/>
      <c r="G498" s="2107"/>
      <c r="H498" s="2107"/>
      <c r="I498" s="2107"/>
      <c r="J498" s="2107"/>
      <c r="K498" s="2107"/>
      <c r="L498" s="2107"/>
      <c r="M498" s="2107"/>
      <c r="N498" s="2107"/>
      <c r="O498" s="2107"/>
      <c r="P498" s="2108"/>
      <c r="Q498" s="2111"/>
      <c r="R498" s="2112"/>
      <c r="S498" s="2093"/>
      <c r="T498" s="2069"/>
      <c r="U498" s="2069"/>
      <c r="V498" s="2069"/>
      <c r="W498" s="2069"/>
      <c r="X498" s="2069"/>
      <c r="Y498" s="2069"/>
      <c r="Z498" s="2069"/>
      <c r="AA498" s="2069"/>
      <c r="AB498" s="2069"/>
      <c r="AC498" s="2069"/>
      <c r="AD498" s="2069"/>
      <c r="AE498" s="2069"/>
      <c r="AF498" s="2069"/>
      <c r="AG498" s="2069"/>
      <c r="AH498" s="2069"/>
      <c r="AI498" s="2069"/>
      <c r="AJ498" s="2069"/>
      <c r="AK498" s="2094"/>
      <c r="AZ498" s="3"/>
      <c r="BA498" s="3"/>
      <c r="BB498" s="3"/>
      <c r="BC498" s="3"/>
    </row>
    <row r="499" spans="1:66" ht="12.95" customHeight="1">
      <c r="B499" s="889" t="s">
        <v>1657</v>
      </c>
      <c r="C499" s="867"/>
      <c r="D499" s="867"/>
      <c r="E499" s="867"/>
      <c r="F499" s="867"/>
      <c r="G499" s="867"/>
      <c r="H499" s="867"/>
      <c r="I499" s="867"/>
      <c r="J499" s="867"/>
      <c r="K499" s="867"/>
      <c r="L499" s="867"/>
      <c r="M499" s="867"/>
      <c r="N499" s="867"/>
      <c r="O499" s="867"/>
      <c r="P499" s="867"/>
      <c r="Q499" s="2116" t="s">
        <v>2729</v>
      </c>
      <c r="R499" s="2117"/>
      <c r="S499" s="2117"/>
      <c r="T499" s="2117"/>
      <c r="U499" s="2117"/>
      <c r="V499" s="2117"/>
      <c r="W499" s="2117"/>
      <c r="X499" s="2117"/>
      <c r="Y499" s="2117"/>
      <c r="Z499" s="2117"/>
      <c r="AA499" s="2117"/>
      <c r="AB499" s="2117"/>
      <c r="AC499" s="2117"/>
      <c r="AD499" s="2117"/>
      <c r="AE499" s="2117"/>
      <c r="AF499" s="2117"/>
      <c r="AG499" s="2117"/>
      <c r="AH499" s="2117"/>
      <c r="AI499" s="2117"/>
      <c r="AJ499" s="2117"/>
      <c r="AK499" s="2118"/>
      <c r="AZ499" s="3"/>
      <c r="BA499" s="3"/>
      <c r="BB499" s="3"/>
      <c r="BC499" s="3"/>
    </row>
    <row r="500" spans="1:66" ht="12.95" customHeight="1">
      <c r="B500" s="45" t="s">
        <v>397</v>
      </c>
      <c r="C500" s="5"/>
      <c r="D500" s="5"/>
      <c r="E500" s="5"/>
      <c r="F500" s="5"/>
      <c r="G500" s="5"/>
      <c r="H500" s="5"/>
      <c r="I500" s="5"/>
      <c r="J500" s="5"/>
      <c r="K500" s="5"/>
      <c r="L500" s="5"/>
      <c r="M500" s="5"/>
      <c r="N500" s="5"/>
      <c r="O500" s="5"/>
      <c r="P500" s="5"/>
      <c r="Q500" s="1642" t="s">
        <v>2730</v>
      </c>
      <c r="R500" s="1696"/>
      <c r="S500" s="1696"/>
      <c r="T500" s="1696"/>
      <c r="U500" s="1696"/>
      <c r="V500" s="1696"/>
      <c r="W500" s="1696"/>
      <c r="X500" s="1696"/>
      <c r="Y500" s="1696"/>
      <c r="Z500" s="1696"/>
      <c r="AA500" s="1696"/>
      <c r="AB500" s="1696"/>
      <c r="AC500" s="1696"/>
      <c r="AD500" s="1696"/>
      <c r="AE500" s="1696"/>
      <c r="AF500" s="1696"/>
      <c r="AG500" s="1696"/>
      <c r="AH500" s="1696"/>
      <c r="AI500" s="1696"/>
      <c r="AJ500" s="1696"/>
      <c r="AK500" s="1906"/>
      <c r="AZ500" s="3"/>
      <c r="BA500" s="3"/>
      <c r="BB500" s="3"/>
      <c r="BC500" s="3"/>
    </row>
    <row r="501" spans="1:66" ht="12.95" customHeight="1">
      <c r="B501" s="45" t="s">
        <v>398</v>
      </c>
      <c r="C501" s="5"/>
      <c r="D501" s="5"/>
      <c r="E501" s="5"/>
      <c r="F501" s="5"/>
      <c r="G501" s="5"/>
      <c r="H501" s="5"/>
      <c r="I501" s="5"/>
      <c r="J501" s="5"/>
      <c r="K501" s="5"/>
      <c r="L501" s="5"/>
      <c r="M501" s="5"/>
      <c r="N501" s="5"/>
      <c r="O501" s="5"/>
      <c r="P501" s="5"/>
      <c r="Q501" s="1642" t="s">
        <v>2731</v>
      </c>
      <c r="R501" s="1696"/>
      <c r="S501" s="1696"/>
      <c r="T501" s="1696"/>
      <c r="U501" s="1696"/>
      <c r="V501" s="1696"/>
      <c r="W501" s="1696"/>
      <c r="X501" s="1696"/>
      <c r="Y501" s="1696"/>
      <c r="Z501" s="1696"/>
      <c r="AA501" s="1696"/>
      <c r="AB501" s="1696"/>
      <c r="AC501" s="1696"/>
      <c r="AD501" s="1696"/>
      <c r="AE501" s="1696"/>
      <c r="AF501" s="1696"/>
      <c r="AG501" s="1696"/>
      <c r="AH501" s="1696"/>
      <c r="AI501" s="1696"/>
      <c r="AJ501" s="1696"/>
      <c r="AK501" s="1906"/>
      <c r="AZ501" s="3"/>
      <c r="BA501" s="3"/>
      <c r="BB501" s="3"/>
      <c r="BC501" s="3"/>
    </row>
    <row r="502" spans="1:66" ht="12.95" customHeight="1">
      <c r="B502" s="121" t="s">
        <v>1654</v>
      </c>
      <c r="C502" s="5"/>
      <c r="D502" s="5"/>
      <c r="E502" s="5"/>
      <c r="F502" s="5"/>
      <c r="G502" s="5"/>
      <c r="H502" s="5"/>
      <c r="I502" s="5"/>
      <c r="J502" s="5"/>
      <c r="K502" s="5"/>
      <c r="L502" s="5"/>
      <c r="M502" s="5"/>
      <c r="N502" s="5"/>
      <c r="O502" s="5"/>
      <c r="P502" s="5"/>
      <c r="Q502" s="1642" t="s">
        <v>2732</v>
      </c>
      <c r="R502" s="1696"/>
      <c r="S502" s="1696"/>
      <c r="T502" s="1696"/>
      <c r="U502" s="1696"/>
      <c r="V502" s="1696"/>
      <c r="W502" s="1696"/>
      <c r="X502" s="1696"/>
      <c r="Y502" s="1696"/>
      <c r="Z502" s="1696"/>
      <c r="AA502" s="1696"/>
      <c r="AB502" s="1696"/>
      <c r="AC502" s="1696"/>
      <c r="AD502" s="1696"/>
      <c r="AE502" s="1696"/>
      <c r="AF502" s="1696"/>
      <c r="AG502" s="1696"/>
      <c r="AH502" s="1696"/>
      <c r="AI502" s="1696"/>
      <c r="AJ502" s="1696"/>
      <c r="AK502" s="1906"/>
      <c r="AZ502" s="3"/>
      <c r="BA502" s="3"/>
      <c r="BB502" s="3"/>
      <c r="BC502" s="3"/>
    </row>
    <row r="503" spans="1:66" ht="12.95" customHeight="1">
      <c r="B503" s="121" t="s">
        <v>1655</v>
      </c>
      <c r="C503" s="5"/>
      <c r="D503" s="5"/>
      <c r="E503" s="5"/>
      <c r="F503" s="5"/>
      <c r="G503" s="5"/>
      <c r="H503" s="5"/>
      <c r="I503" s="5"/>
      <c r="J503" s="5"/>
      <c r="K503" s="5"/>
      <c r="L503" s="5"/>
      <c r="M503" s="1721">
        <v>39</v>
      </c>
      <c r="N503" s="1722"/>
      <c r="O503" s="1722"/>
      <c r="P503" s="1723"/>
      <c r="Q503" s="121" t="s">
        <v>1656</v>
      </c>
      <c r="R503" s="5"/>
      <c r="S503" s="5"/>
      <c r="T503" s="5"/>
      <c r="U503" s="5"/>
      <c r="V503" s="5"/>
      <c r="W503" s="5"/>
      <c r="X503" s="5"/>
      <c r="Y503" s="5"/>
      <c r="Z503" s="5"/>
      <c r="AA503" s="5"/>
      <c r="AB503" s="5"/>
      <c r="AC503" s="5"/>
      <c r="AD503" s="5"/>
      <c r="AE503" s="5"/>
      <c r="AF503" s="5"/>
      <c r="AG503" s="5"/>
      <c r="AH503" s="1721">
        <f>214-M503</f>
        <v>175</v>
      </c>
      <c r="AI503" s="1722"/>
      <c r="AJ503" s="1722"/>
      <c r="AK503" s="1723"/>
      <c r="AZ503" s="3"/>
      <c r="BA503" s="3"/>
      <c r="BB503" s="3"/>
      <c r="BC503" s="3"/>
    </row>
    <row r="504" spans="1:66" ht="12.95" customHeight="1">
      <c r="B504" s="510"/>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6"/>
      <c r="C506" s="510"/>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2025" t="s">
        <v>400</v>
      </c>
      <c r="AD507" s="2026"/>
      <c r="AE507" s="2026"/>
      <c r="AF507" s="2026"/>
      <c r="AG507" s="2026"/>
      <c r="AH507" s="2026"/>
      <c r="AI507" s="2026"/>
      <c r="AJ507" s="2026"/>
      <c r="AK507" s="202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2025" t="s">
        <v>401</v>
      </c>
      <c r="AD508" s="2026"/>
      <c r="AE508" s="2026"/>
      <c r="AF508" s="2026"/>
      <c r="AG508" s="50" t="s">
        <v>402</v>
      </c>
      <c r="AH508" s="2026" t="s">
        <v>403</v>
      </c>
      <c r="AI508" s="2026"/>
      <c r="AJ508" s="2026"/>
      <c r="AK508" s="2027"/>
      <c r="AZ508" s="3"/>
      <c r="BA508" s="3"/>
      <c r="BB508" s="3"/>
      <c r="BC508" s="3"/>
      <c r="BD508" s="3"/>
      <c r="BE508" s="3"/>
      <c r="BF508" s="3"/>
      <c r="BG508" s="3"/>
      <c r="BH508" s="3"/>
      <c r="BI508" s="3"/>
      <c r="BJ508" s="3"/>
      <c r="BK508" s="3"/>
      <c r="BL508" s="3"/>
      <c r="BM508" s="3"/>
      <c r="BN508" s="3"/>
    </row>
    <row r="509" spans="1:66" ht="12.95" customHeight="1">
      <c r="B509" s="1950" t="s">
        <v>404</v>
      </c>
      <c r="C509" s="1747"/>
      <c r="D509" s="1747"/>
      <c r="E509" s="1747"/>
      <c r="F509" s="1747"/>
      <c r="G509" s="1747"/>
      <c r="H509" s="1748"/>
      <c r="I509" s="42" t="s">
        <v>405</v>
      </c>
      <c r="J509" s="42"/>
      <c r="K509" s="42"/>
      <c r="L509" s="42"/>
      <c r="M509" s="42"/>
      <c r="N509" s="42"/>
      <c r="O509" s="42"/>
      <c r="P509" s="42"/>
      <c r="Q509" s="42"/>
      <c r="R509" s="42"/>
      <c r="S509" s="42"/>
      <c r="T509" s="42"/>
      <c r="U509" s="42"/>
      <c r="V509" s="42"/>
      <c r="W509" s="42"/>
      <c r="AC509" s="1727">
        <v>11</v>
      </c>
      <c r="AD509" s="1728"/>
      <c r="AE509" s="1728"/>
      <c r="AF509" s="1728"/>
      <c r="AG509" s="13" t="s">
        <v>402</v>
      </c>
      <c r="AH509" s="1640">
        <v>2025</v>
      </c>
      <c r="AI509" s="1640"/>
      <c r="AJ509" s="1640"/>
      <c r="AK509" s="1641"/>
      <c r="AZ509" s="3"/>
      <c r="BA509" s="3"/>
      <c r="BB509" s="3"/>
      <c r="BC509" s="3"/>
      <c r="BD509" s="3"/>
      <c r="BE509" s="3"/>
      <c r="BF509" s="3"/>
      <c r="BG509" s="3"/>
      <c r="BH509" s="3"/>
      <c r="BI509" s="3"/>
      <c r="BJ509" s="3"/>
      <c r="BK509" s="3"/>
      <c r="BL509" s="3"/>
      <c r="BM509" s="3"/>
      <c r="BN509" s="3"/>
    </row>
    <row r="510" spans="1:66" ht="12.95" customHeight="1">
      <c r="B510" s="1951"/>
      <c r="C510" s="1749"/>
      <c r="D510" s="1749"/>
      <c r="E510" s="1749"/>
      <c r="F510" s="1749"/>
      <c r="G510" s="1749"/>
      <c r="H510" s="1750"/>
      <c r="I510" s="48" t="s">
        <v>406</v>
      </c>
      <c r="J510" s="48"/>
      <c r="K510" s="48"/>
      <c r="L510" s="48"/>
      <c r="M510" s="48"/>
      <c r="N510" s="48"/>
      <c r="O510" s="48"/>
      <c r="P510" s="48"/>
      <c r="Q510" s="48"/>
      <c r="R510" s="48"/>
      <c r="S510" s="48"/>
      <c r="T510" s="48"/>
      <c r="U510" s="48"/>
      <c r="V510" s="48"/>
      <c r="W510" s="48"/>
      <c r="X510" s="48"/>
      <c r="Y510" s="48"/>
      <c r="Z510" s="48"/>
      <c r="AA510" s="48"/>
      <c r="AB510" s="48"/>
      <c r="AC510" s="1727">
        <v>8</v>
      </c>
      <c r="AD510" s="1728"/>
      <c r="AE510" s="1728"/>
      <c r="AF510" s="1728"/>
      <c r="AG510" s="38" t="s">
        <v>402</v>
      </c>
      <c r="AH510" s="1640">
        <v>2026</v>
      </c>
      <c r="AI510" s="1640"/>
      <c r="AJ510" s="1640"/>
      <c r="AK510" s="1641"/>
      <c r="AZ510" s="3"/>
      <c r="BA510" s="3"/>
      <c r="BB510" s="3"/>
      <c r="BC510" s="3"/>
      <c r="BD510" s="3"/>
      <c r="BE510" s="3"/>
      <c r="BF510" s="3"/>
      <c r="BG510" s="3"/>
      <c r="BH510" s="3"/>
      <c r="BI510" s="3"/>
      <c r="BJ510" s="3"/>
      <c r="BK510" s="3"/>
      <c r="BL510" s="3"/>
      <c r="BM510" s="3"/>
      <c r="BN510" s="3"/>
    </row>
    <row r="511" spans="1:66" ht="12.95" customHeight="1">
      <c r="B511" s="1950" t="s">
        <v>407</v>
      </c>
      <c r="C511" s="1747"/>
      <c r="D511" s="1747"/>
      <c r="E511" s="1747"/>
      <c r="F511" s="1747"/>
      <c r="G511" s="1747"/>
      <c r="H511" s="1748"/>
      <c r="I511" s="42" t="s">
        <v>408</v>
      </c>
      <c r="J511" s="42"/>
      <c r="K511" s="42"/>
      <c r="L511" s="42"/>
      <c r="M511" s="42"/>
      <c r="N511" s="42"/>
      <c r="O511" s="42"/>
      <c r="P511" s="42"/>
      <c r="Q511" s="42"/>
      <c r="R511" s="42"/>
      <c r="S511" s="42"/>
      <c r="T511" s="42"/>
      <c r="U511" s="42"/>
      <c r="V511" s="42"/>
      <c r="W511" s="42"/>
      <c r="AC511" s="1727" t="s">
        <v>590</v>
      </c>
      <c r="AD511" s="1728"/>
      <c r="AE511" s="1728"/>
      <c r="AF511" s="1728"/>
      <c r="AG511" s="13" t="s">
        <v>402</v>
      </c>
      <c r="AH511" s="1640"/>
      <c r="AI511" s="1640"/>
      <c r="AJ511" s="1640"/>
      <c r="AK511" s="1641"/>
      <c r="AZ511" s="3"/>
      <c r="BA511" s="3"/>
      <c r="BB511" s="3"/>
      <c r="BC511" s="3"/>
      <c r="BD511" s="3"/>
      <c r="BE511" s="3"/>
      <c r="BF511" s="3"/>
      <c r="BG511" s="3"/>
      <c r="BH511" s="3"/>
      <c r="BI511" s="3"/>
      <c r="BJ511" s="3"/>
      <c r="BK511" s="3"/>
      <c r="BL511" s="3"/>
      <c r="BM511" s="3"/>
      <c r="BN511" s="3"/>
    </row>
    <row r="512" spans="1:66" ht="12.95" customHeight="1">
      <c r="B512" s="1951"/>
      <c r="C512" s="1749"/>
      <c r="D512" s="1749"/>
      <c r="E512" s="1749"/>
      <c r="F512" s="1749"/>
      <c r="G512" s="1749"/>
      <c r="H512" s="1750"/>
      <c r="I512" t="s">
        <v>409</v>
      </c>
      <c r="AC512" s="1727" t="s">
        <v>590</v>
      </c>
      <c r="AD512" s="1728"/>
      <c r="AE512" s="1728"/>
      <c r="AF512" s="1728"/>
      <c r="AG512" s="13" t="s">
        <v>402</v>
      </c>
      <c r="AH512" s="1640"/>
      <c r="AI512" s="1640"/>
      <c r="AJ512" s="1640"/>
      <c r="AK512" s="1641"/>
      <c r="AZ512" s="3"/>
      <c r="BA512" s="3"/>
      <c r="BB512" s="3"/>
      <c r="BC512" s="3"/>
      <c r="BD512" s="3"/>
      <c r="BE512" s="3"/>
      <c r="BF512" s="3"/>
      <c r="BG512" s="3"/>
      <c r="BH512" s="3"/>
      <c r="BI512" s="3"/>
      <c r="BJ512" s="3"/>
      <c r="BK512" s="3"/>
      <c r="BL512" s="3"/>
      <c r="BM512" s="3"/>
      <c r="BN512" s="3"/>
    </row>
    <row r="513" spans="2:66" ht="12.95" customHeight="1">
      <c r="B513" s="1951"/>
      <c r="C513" s="1749"/>
      <c r="D513" s="1749"/>
      <c r="E513" s="1749"/>
      <c r="F513" s="1749"/>
      <c r="G513" s="1749"/>
      <c r="H513" s="1750"/>
      <c r="I513" t="s">
        <v>410</v>
      </c>
      <c r="AC513" s="1727" t="s">
        <v>590</v>
      </c>
      <c r="AD513" s="1728"/>
      <c r="AE513" s="1728"/>
      <c r="AF513" s="1728"/>
      <c r="AG513" s="13" t="s">
        <v>402</v>
      </c>
      <c r="AH513" s="1640"/>
      <c r="AI513" s="1640"/>
      <c r="AJ513" s="1640"/>
      <c r="AK513" s="1641"/>
      <c r="AZ513" s="3"/>
      <c r="BA513" s="3"/>
      <c r="BB513" s="3"/>
      <c r="BC513" s="3"/>
      <c r="BD513" s="3"/>
      <c r="BE513" s="3"/>
      <c r="BF513" s="3"/>
      <c r="BG513" s="3"/>
      <c r="BH513" s="3"/>
      <c r="BI513" s="3"/>
      <c r="BJ513" s="3"/>
      <c r="BK513" s="3"/>
      <c r="BL513" s="3"/>
      <c r="BM513" s="3"/>
      <c r="BN513" s="3"/>
    </row>
    <row r="514" spans="2:66" ht="12.95" customHeight="1">
      <c r="B514" s="1951"/>
      <c r="C514" s="1749"/>
      <c r="D514" s="1749"/>
      <c r="E514" s="1749"/>
      <c r="F514" s="1749"/>
      <c r="G514" s="1749"/>
      <c r="H514" s="1750"/>
      <c r="I514" t="s">
        <v>411</v>
      </c>
      <c r="AC514" s="1727">
        <v>12</v>
      </c>
      <c r="AD514" s="1728"/>
      <c r="AE514" s="1728"/>
      <c r="AF514" s="1728"/>
      <c r="AG514" s="13" t="s">
        <v>402</v>
      </c>
      <c r="AH514" s="1640">
        <v>2026</v>
      </c>
      <c r="AI514" s="1640"/>
      <c r="AJ514" s="1640"/>
      <c r="AK514" s="1641"/>
      <c r="AZ514" s="3"/>
      <c r="BA514" s="3"/>
      <c r="BB514" s="3"/>
      <c r="BC514" s="3"/>
      <c r="BD514" s="3"/>
      <c r="BE514" s="3"/>
      <c r="BF514" s="3"/>
      <c r="BG514" s="3"/>
      <c r="BH514" s="3"/>
      <c r="BI514" s="3"/>
      <c r="BJ514" s="3"/>
      <c r="BK514" s="3"/>
      <c r="BL514" s="3"/>
      <c r="BM514" s="3"/>
      <c r="BN514" s="3"/>
    </row>
    <row r="515" spans="2:66" ht="12.95" customHeight="1">
      <c r="B515" s="1951"/>
      <c r="C515" s="1749"/>
      <c r="D515" s="1749"/>
      <c r="E515" s="1749"/>
      <c r="F515" s="1749"/>
      <c r="G515" s="1749"/>
      <c r="H515" s="1750"/>
      <c r="I515" s="3" t="s">
        <v>412</v>
      </c>
      <c r="AC515" s="1627">
        <v>12</v>
      </c>
      <c r="AD515" s="1628"/>
      <c r="AE515" s="1628"/>
      <c r="AF515" s="1628"/>
      <c r="AG515" s="13" t="s">
        <v>402</v>
      </c>
      <c r="AH515" s="1640">
        <v>2026</v>
      </c>
      <c r="AI515" s="1640"/>
      <c r="AJ515" s="1640"/>
      <c r="AK515" s="1641"/>
      <c r="AZ515" s="3"/>
      <c r="BA515" s="3"/>
      <c r="BB515" s="3"/>
      <c r="BC515" s="3"/>
      <c r="BD515" s="3"/>
      <c r="BE515" s="3"/>
      <c r="BF515" s="3"/>
      <c r="BG515" s="3"/>
      <c r="BH515" s="3"/>
      <c r="BI515" s="3"/>
      <c r="BJ515" s="3"/>
      <c r="BK515" s="3"/>
      <c r="BL515" s="3"/>
      <c r="BM515" s="3"/>
      <c r="BN515" s="3"/>
    </row>
    <row r="516" spans="2:66" ht="12.95" customHeight="1">
      <c r="B516" s="1951"/>
      <c r="C516" s="1749"/>
      <c r="D516" s="1749"/>
      <c r="E516" s="1749"/>
      <c r="F516" s="1749"/>
      <c r="G516" s="1749"/>
      <c r="H516" s="1750"/>
      <c r="I516" s="890" t="s">
        <v>169</v>
      </c>
      <c r="J516" s="48"/>
      <c r="K516" s="48"/>
      <c r="L516" s="2005" t="s">
        <v>333</v>
      </c>
      <c r="M516" s="2006"/>
      <c r="N516" s="2006"/>
      <c r="O516" s="2006"/>
      <c r="P516" s="2006"/>
      <c r="Q516" s="2006"/>
      <c r="R516" s="2006"/>
      <c r="S516" s="2006"/>
      <c r="T516" s="2006"/>
      <c r="U516" s="2006"/>
      <c r="V516" s="2006"/>
      <c r="W516" s="2006"/>
      <c r="X516" s="2006"/>
      <c r="Y516" s="2006"/>
      <c r="Z516" s="2006"/>
      <c r="AA516" s="2006"/>
      <c r="AB516" s="2113"/>
      <c r="AC516" s="1727" t="s">
        <v>590</v>
      </c>
      <c r="AD516" s="1728"/>
      <c r="AE516" s="1728"/>
      <c r="AF516" s="1728"/>
      <c r="AG516" s="38" t="s">
        <v>402</v>
      </c>
      <c r="AH516" s="1640"/>
      <c r="AI516" s="1640"/>
      <c r="AJ516" s="1640"/>
      <c r="AK516" s="1641"/>
      <c r="AZ516" s="3"/>
      <c r="BA516" s="3"/>
      <c r="BB516" s="3"/>
      <c r="BC516" s="3"/>
      <c r="BD516" s="3"/>
      <c r="BE516" s="3"/>
      <c r="BF516" s="3"/>
      <c r="BG516" s="3"/>
      <c r="BH516" s="3"/>
      <c r="BI516" s="3"/>
      <c r="BJ516" s="3"/>
      <c r="BK516" s="3"/>
      <c r="BL516" s="3"/>
      <c r="BM516" s="3"/>
      <c r="BN516" s="3"/>
    </row>
    <row r="517" spans="2:66" ht="12.95" customHeight="1">
      <c r="B517" s="865"/>
      <c r="C517" s="130"/>
      <c r="D517" s="130"/>
      <c r="E517" s="130"/>
      <c r="F517" s="130"/>
      <c r="G517" s="130"/>
      <c r="H517" s="866"/>
      <c r="I517" s="3" t="s">
        <v>1661</v>
      </c>
      <c r="AC517" s="2017" t="s">
        <v>668</v>
      </c>
      <c r="AD517" s="2017"/>
      <c r="AE517" s="2017"/>
      <c r="AF517" s="2017"/>
      <c r="AG517" s="13"/>
      <c r="AH517" s="1601"/>
      <c r="AI517" s="1601"/>
      <c r="AJ517" s="1601"/>
      <c r="AK517" s="1769"/>
      <c r="AZ517" s="3"/>
      <c r="BA517" s="3"/>
      <c r="BB517" s="3"/>
      <c r="BC517" s="3"/>
      <c r="BD517" s="3"/>
      <c r="BE517" s="3"/>
      <c r="BF517" s="3"/>
      <c r="BG517" s="3"/>
      <c r="BH517" s="3"/>
      <c r="BI517" s="3"/>
      <c r="BJ517" s="3"/>
      <c r="BK517" s="3"/>
      <c r="BL517" s="3"/>
      <c r="BM517" s="3"/>
      <c r="BN517" s="3"/>
    </row>
    <row r="518" spans="2:66" ht="12.95" customHeight="1">
      <c r="B518" s="865"/>
      <c r="C518" s="130"/>
      <c r="D518" s="130"/>
      <c r="E518" s="130"/>
      <c r="F518" s="130"/>
      <c r="G518" s="130"/>
      <c r="H518" s="866"/>
      <c r="I518" t="s">
        <v>1658</v>
      </c>
      <c r="AC518" s="1627"/>
      <c r="AD518" s="1628"/>
      <c r="AE518" s="1628"/>
      <c r="AF518" s="1629"/>
      <c r="AG518" s="13"/>
      <c r="AH518" s="1601"/>
      <c r="AI518" s="1601"/>
      <c r="AJ518" s="1601"/>
      <c r="AK518" s="1769"/>
      <c r="AZ518" s="3"/>
      <c r="BA518" s="3"/>
      <c r="BB518" s="3"/>
      <c r="BC518" s="3"/>
      <c r="BD518" s="3"/>
      <c r="BE518" s="3"/>
      <c r="BF518" s="3"/>
      <c r="BG518" s="3"/>
      <c r="BH518" s="3"/>
      <c r="BI518" s="3"/>
      <c r="BJ518" s="3"/>
      <c r="BK518" s="3"/>
      <c r="BL518" s="3"/>
      <c r="BM518" s="3"/>
      <c r="BN518" s="3"/>
    </row>
    <row r="519" spans="2:66" ht="12.95" customHeight="1">
      <c r="B519" s="865"/>
      <c r="C519" s="130"/>
      <c r="D519" s="130"/>
      <c r="E519" s="130"/>
      <c r="F519" s="130"/>
      <c r="G519" s="130"/>
      <c r="H519" s="866"/>
      <c r="I519" t="s">
        <v>1659</v>
      </c>
      <c r="AC519" s="884"/>
      <c r="AD519" s="885"/>
      <c r="AE519" s="885"/>
      <c r="AF519" s="886"/>
      <c r="AG519" s="13"/>
      <c r="AH519" s="1"/>
      <c r="AI519" s="1"/>
      <c r="AJ519" s="1"/>
      <c r="AK519" s="998"/>
      <c r="AZ519" s="3"/>
      <c r="BA519" s="3"/>
      <c r="BB519" s="3"/>
      <c r="BC519" s="3"/>
      <c r="BD519" s="3"/>
      <c r="BE519" s="3"/>
      <c r="BF519" s="3"/>
      <c r="BG519" s="3"/>
      <c r="BH519" s="3"/>
      <c r="BI519" s="3"/>
      <c r="BJ519" s="3"/>
      <c r="BK519" s="3"/>
      <c r="BL519" s="3"/>
      <c r="BM519" s="3"/>
      <c r="BN519" s="3"/>
    </row>
    <row r="520" spans="2:66" ht="12.95" customHeight="1">
      <c r="B520" s="865"/>
      <c r="C520" s="130"/>
      <c r="D520" s="130"/>
      <c r="E520" s="130"/>
      <c r="F520" s="130"/>
      <c r="G520" s="130"/>
      <c r="H520" s="866"/>
      <c r="I520" s="891" t="s">
        <v>1660</v>
      </c>
      <c r="J520" s="48"/>
      <c r="K520" s="48"/>
      <c r="L520" s="48"/>
      <c r="M520" s="48"/>
      <c r="N520" s="48"/>
      <c r="O520" s="48"/>
      <c r="P520" s="48"/>
      <c r="Q520" s="48"/>
      <c r="R520" s="48"/>
      <c r="S520" s="48"/>
      <c r="T520" s="48"/>
      <c r="U520" s="48"/>
      <c r="V520" s="48"/>
      <c r="W520" s="48"/>
      <c r="X520" s="48"/>
      <c r="Y520" s="48"/>
      <c r="Z520" s="48"/>
      <c r="AA520" s="48"/>
      <c r="AB520" s="48"/>
      <c r="AC520" s="2100"/>
      <c r="AD520" s="2101"/>
      <c r="AE520" s="2101"/>
      <c r="AF520" s="2102"/>
      <c r="AG520" s="38"/>
      <c r="AH520" s="1958"/>
      <c r="AI520" s="1958"/>
      <c r="AJ520" s="1958"/>
      <c r="AK520" s="1959"/>
      <c r="AZ520" s="3"/>
      <c r="BA520" s="3"/>
      <c r="BB520" s="3"/>
      <c r="BC520" s="3"/>
      <c r="BD520" s="3"/>
      <c r="BE520" s="3"/>
      <c r="BF520" s="3"/>
      <c r="BG520" s="3"/>
      <c r="BH520" s="3"/>
      <c r="BI520" s="3"/>
      <c r="BJ520" s="3"/>
      <c r="BK520" s="3"/>
      <c r="BL520" s="3"/>
      <c r="BM520" s="3"/>
      <c r="BN520" s="3" t="s">
        <v>1181</v>
      </c>
    </row>
    <row r="521" spans="2:66" ht="12.95" customHeight="1">
      <c r="B521" s="865"/>
      <c r="C521" s="130"/>
      <c r="D521" s="130"/>
      <c r="E521" s="130"/>
      <c r="F521" s="130"/>
      <c r="G521" s="130"/>
      <c r="H521" s="866"/>
      <c r="I521" s="3"/>
      <c r="L521" s="8"/>
      <c r="M521" s="8"/>
      <c r="N521" s="8"/>
      <c r="O521" s="8"/>
      <c r="P521" s="8"/>
      <c r="Q521" s="8"/>
      <c r="R521" s="8"/>
      <c r="S521" s="8"/>
      <c r="T521" s="8"/>
      <c r="U521" s="8"/>
      <c r="V521" s="8"/>
      <c r="W521" s="8"/>
      <c r="X521" s="999"/>
      <c r="Y521" s="999"/>
      <c r="Z521" s="999"/>
      <c r="AA521" s="999"/>
      <c r="AB521" s="1006"/>
      <c r="AC521" s="1729" t="s">
        <v>401</v>
      </c>
      <c r="AD521" s="1730"/>
      <c r="AE521" s="1730"/>
      <c r="AF521" s="1730"/>
      <c r="AG521" s="38" t="s">
        <v>402</v>
      </c>
      <c r="AH521" s="1730" t="s">
        <v>403</v>
      </c>
      <c r="AI521" s="1730"/>
      <c r="AJ521" s="1730"/>
      <c r="AK521" s="2121"/>
      <c r="AZ521" s="3"/>
      <c r="BA521" s="3"/>
      <c r="BB521" s="3"/>
      <c r="BC521" s="3"/>
      <c r="BD521" s="3"/>
      <c r="BE521" s="3"/>
      <c r="BF521" s="3"/>
      <c r="BG521" s="3"/>
      <c r="BH521" s="3"/>
      <c r="BI521" s="3"/>
      <c r="BJ521" s="3"/>
      <c r="BK521" s="3"/>
      <c r="BL521" s="3"/>
      <c r="BM521" s="3"/>
      <c r="BN521" s="3" t="s">
        <v>2056</v>
      </c>
    </row>
    <row r="522" spans="2:66" ht="12.95" customHeight="1">
      <c r="B522" s="1950" t="s">
        <v>413</v>
      </c>
      <c r="C522" s="1747"/>
      <c r="D522" s="1747"/>
      <c r="E522" s="1747"/>
      <c r="F522" s="1747"/>
      <c r="G522" s="1747"/>
      <c r="H522" s="1748"/>
      <c r="I522" s="42" t="s">
        <v>414</v>
      </c>
      <c r="J522" s="42"/>
      <c r="K522" s="42"/>
      <c r="L522" s="42"/>
      <c r="M522" s="42"/>
      <c r="N522" s="42"/>
      <c r="O522" s="42"/>
      <c r="P522" s="42"/>
      <c r="Q522" s="42"/>
      <c r="R522" s="42"/>
      <c r="S522" s="42"/>
      <c r="T522" s="42"/>
      <c r="U522" s="42"/>
      <c r="V522" s="42"/>
      <c r="W522" s="42"/>
      <c r="AC522" s="1727">
        <v>5</v>
      </c>
      <c r="AD522" s="1728"/>
      <c r="AE522" s="1728"/>
      <c r="AF522" s="1728"/>
      <c r="AG522" s="13" t="s">
        <v>402</v>
      </c>
      <c r="AH522" s="1640">
        <v>2026</v>
      </c>
      <c r="AI522" s="1640"/>
      <c r="AJ522" s="1640"/>
      <c r="AK522" s="1641"/>
      <c r="AZ522" s="3"/>
      <c r="BA522" s="3"/>
      <c r="BB522" s="3"/>
      <c r="BC522" s="3"/>
      <c r="BD522" s="3"/>
      <c r="BE522" s="3"/>
      <c r="BF522" s="3"/>
      <c r="BG522" s="3"/>
      <c r="BH522" s="3"/>
      <c r="BI522" s="3"/>
      <c r="BJ522" s="3"/>
      <c r="BK522" s="3"/>
      <c r="BL522" s="3"/>
      <c r="BM522" s="3"/>
      <c r="BN522" s="3" t="s">
        <v>2057</v>
      </c>
    </row>
    <row r="523" spans="2:66" ht="12.95" customHeight="1">
      <c r="B523" s="1951"/>
      <c r="C523" s="1749"/>
      <c r="D523" s="1749"/>
      <c r="E523" s="1749"/>
      <c r="F523" s="1749"/>
      <c r="G523" s="1749"/>
      <c r="H523" s="1750"/>
      <c r="I523" t="s">
        <v>415</v>
      </c>
      <c r="AC523" s="1727">
        <v>12</v>
      </c>
      <c r="AD523" s="1728"/>
      <c r="AE523" s="1728"/>
      <c r="AF523" s="1728"/>
      <c r="AG523" s="13" t="s">
        <v>402</v>
      </c>
      <c r="AH523" s="1640">
        <v>2026</v>
      </c>
      <c r="AI523" s="1640"/>
      <c r="AJ523" s="1640"/>
      <c r="AK523" s="1641"/>
      <c r="AZ523" s="3"/>
      <c r="BA523" s="3"/>
      <c r="BB523" s="3"/>
      <c r="BC523" s="3"/>
      <c r="BD523" s="3"/>
      <c r="BE523" s="3"/>
      <c r="BF523" s="3"/>
      <c r="BG523" s="3"/>
      <c r="BH523" s="3"/>
      <c r="BI523" s="3"/>
      <c r="BJ523" s="3"/>
      <c r="BK523" s="3"/>
      <c r="BL523" s="3"/>
      <c r="BM523" s="3"/>
      <c r="BN523" s="3" t="s">
        <v>2058</v>
      </c>
    </row>
    <row r="524" spans="2:66" ht="12.95" customHeight="1">
      <c r="B524" s="1951"/>
      <c r="C524" s="1749"/>
      <c r="D524" s="1749"/>
      <c r="E524" s="1749"/>
      <c r="F524" s="1749"/>
      <c r="G524" s="1749"/>
      <c r="H524" s="1750"/>
      <c r="I524" s="48" t="s">
        <v>416</v>
      </c>
      <c r="J524" s="48"/>
      <c r="K524" s="48"/>
      <c r="L524" s="48"/>
      <c r="M524" s="48"/>
      <c r="N524" s="48"/>
      <c r="O524" s="48"/>
      <c r="P524" s="48"/>
      <c r="Q524" s="48"/>
      <c r="R524" s="48"/>
      <c r="S524" s="48"/>
      <c r="T524" s="48"/>
      <c r="U524" s="48"/>
      <c r="V524" s="48"/>
      <c r="W524" s="48"/>
      <c r="X524" s="48"/>
      <c r="Y524" s="48"/>
      <c r="Z524" s="48"/>
      <c r="AA524" s="48"/>
      <c r="AB524" s="48"/>
      <c r="AC524" s="1727">
        <v>1</v>
      </c>
      <c r="AD524" s="1728"/>
      <c r="AE524" s="1728"/>
      <c r="AF524" s="1728"/>
      <c r="AG524" s="38" t="s">
        <v>402</v>
      </c>
      <c r="AH524" s="1640">
        <v>2027</v>
      </c>
      <c r="AI524" s="1640"/>
      <c r="AJ524" s="1640"/>
      <c r="AK524" s="1641"/>
      <c r="AZ524" s="3"/>
      <c r="BA524" s="3"/>
      <c r="BB524" s="3"/>
      <c r="BC524" s="3"/>
      <c r="BD524" s="3"/>
      <c r="BE524" s="3"/>
      <c r="BF524" s="3"/>
      <c r="BG524" s="3"/>
      <c r="BH524" s="3"/>
      <c r="BI524" s="3"/>
      <c r="BJ524" s="3"/>
      <c r="BK524" s="3"/>
      <c r="BL524" s="3"/>
      <c r="BM524" s="3"/>
      <c r="BN524" s="3" t="s">
        <v>2059</v>
      </c>
    </row>
    <row r="525" spans="2:66" ht="12.95" customHeight="1">
      <c r="B525" s="1950" t="s">
        <v>417</v>
      </c>
      <c r="C525" s="1747"/>
      <c r="D525" s="1747"/>
      <c r="E525" s="1747"/>
      <c r="F525" s="1747"/>
      <c r="G525" s="1747"/>
      <c r="H525" s="1748"/>
      <c r="I525" s="42" t="s">
        <v>414</v>
      </c>
      <c r="J525" s="42"/>
      <c r="K525" s="42"/>
      <c r="L525" s="42"/>
      <c r="M525" s="42"/>
      <c r="N525" s="42"/>
      <c r="O525" s="42"/>
      <c r="P525" s="42"/>
      <c r="Q525" s="42"/>
      <c r="R525" s="42"/>
      <c r="S525" s="42"/>
      <c r="T525" s="42"/>
      <c r="U525" s="42"/>
      <c r="V525" s="42"/>
      <c r="W525" s="42"/>
      <c r="X525" s="42"/>
      <c r="Y525" s="42"/>
      <c r="Z525" s="42"/>
      <c r="AA525" s="42"/>
      <c r="AB525" s="42"/>
      <c r="AC525" s="1627">
        <v>5</v>
      </c>
      <c r="AD525" s="1628"/>
      <c r="AE525" s="1628"/>
      <c r="AF525" s="1628"/>
      <c r="AG525" s="129" t="s">
        <v>402</v>
      </c>
      <c r="AH525" s="1640">
        <v>2026</v>
      </c>
      <c r="AI525" s="1640"/>
      <c r="AJ525" s="1640"/>
      <c r="AK525" s="1641"/>
      <c r="AZ525" s="3"/>
      <c r="BB525" s="3"/>
      <c r="BC525" s="3"/>
      <c r="BD525" s="3"/>
      <c r="BE525" s="3"/>
      <c r="BF525" s="3"/>
      <c r="BG525" s="3"/>
      <c r="BH525" s="3"/>
      <c r="BI525" s="3"/>
      <c r="BJ525" s="3"/>
      <c r="BK525" s="3"/>
      <c r="BL525" s="3"/>
      <c r="BM525" s="3"/>
      <c r="BN525" s="3" t="s">
        <v>2060</v>
      </c>
    </row>
    <row r="526" spans="2:66" ht="12.95" customHeight="1">
      <c r="B526" s="1951"/>
      <c r="C526" s="1749"/>
      <c r="D526" s="1749"/>
      <c r="E526" s="1749"/>
      <c r="F526" s="1749"/>
      <c r="G526" s="1749"/>
      <c r="H526" s="1750"/>
      <c r="I526" t="s">
        <v>415</v>
      </c>
      <c r="AC526" s="1727">
        <v>1</v>
      </c>
      <c r="AD526" s="1728"/>
      <c r="AE526" s="1728"/>
      <c r="AF526" s="1728"/>
      <c r="AG526" s="13" t="s">
        <v>402</v>
      </c>
      <c r="AH526" s="1640">
        <v>2027</v>
      </c>
      <c r="AI526" s="1640"/>
      <c r="AJ526" s="1640"/>
      <c r="AK526" s="1641"/>
      <c r="BB526" s="3"/>
      <c r="BC526" s="3"/>
      <c r="BD526" s="3"/>
      <c r="BE526" s="3"/>
      <c r="BF526" s="3"/>
      <c r="BG526" s="3"/>
      <c r="BH526" s="3"/>
      <c r="BI526" s="3"/>
      <c r="BJ526" s="3"/>
      <c r="BK526" s="3"/>
      <c r="BL526" s="3"/>
      <c r="BM526" s="3"/>
      <c r="BN526" s="3" t="s">
        <v>2061</v>
      </c>
    </row>
    <row r="527" spans="2:66" ht="12.95" customHeight="1">
      <c r="B527" s="1952"/>
      <c r="C527" s="1751"/>
      <c r="D527" s="1751"/>
      <c r="E527" s="1751"/>
      <c r="F527" s="1751"/>
      <c r="G527" s="1751"/>
      <c r="H527" s="1752"/>
      <c r="I527" s="48" t="s">
        <v>416</v>
      </c>
      <c r="J527" s="48"/>
      <c r="K527" s="48"/>
      <c r="L527" s="48"/>
      <c r="M527" s="48"/>
      <c r="N527" s="48"/>
      <c r="O527" s="48"/>
      <c r="P527" s="48"/>
      <c r="Q527" s="48"/>
      <c r="R527" s="48"/>
      <c r="S527" s="48"/>
      <c r="T527" s="48"/>
      <c r="U527" s="48"/>
      <c r="V527" s="48"/>
      <c r="W527" s="48"/>
      <c r="X527" s="48"/>
      <c r="Y527" s="48"/>
      <c r="Z527" s="48"/>
      <c r="AA527" s="48"/>
      <c r="AB527" s="48"/>
      <c r="AC527" s="1727">
        <v>3</v>
      </c>
      <c r="AD527" s="1728"/>
      <c r="AE527" s="1728"/>
      <c r="AF527" s="1728"/>
      <c r="AG527" s="38" t="s">
        <v>402</v>
      </c>
      <c r="AH527" s="1640">
        <v>2029</v>
      </c>
      <c r="AI527" s="1640"/>
      <c r="AJ527" s="1640"/>
      <c r="AK527" s="1641"/>
      <c r="BB527" s="3"/>
      <c r="BC527" s="3"/>
      <c r="BD527" s="3"/>
      <c r="BE527" s="3"/>
      <c r="BF527" s="3"/>
      <c r="BG527" s="3"/>
      <c r="BH527" s="3"/>
      <c r="BI527" s="3"/>
      <c r="BJ527" s="3"/>
      <c r="BK527" s="3"/>
      <c r="BL527" s="3"/>
      <c r="BM527" s="3"/>
      <c r="BN527" s="3" t="s">
        <v>2062</v>
      </c>
    </row>
    <row r="528" spans="2:66" ht="12.95" customHeight="1">
      <c r="B528" s="1950" t="s">
        <v>418</v>
      </c>
      <c r="C528" s="1747"/>
      <c r="D528" s="1747"/>
      <c r="E528" s="1747"/>
      <c r="F528" s="1747"/>
      <c r="G528" s="1747"/>
      <c r="H528" s="1748"/>
      <c r="I528" s="41" t="s">
        <v>419</v>
      </c>
      <c r="J528" s="42"/>
      <c r="K528" s="42"/>
      <c r="L528" s="42"/>
      <c r="M528" s="42"/>
      <c r="N528" s="42"/>
      <c r="O528" s="2005" t="s">
        <v>2782</v>
      </c>
      <c r="P528" s="2006"/>
      <c r="Q528" s="2006"/>
      <c r="R528" s="2006"/>
      <c r="S528" s="2006"/>
      <c r="T528" s="2006"/>
      <c r="U528" s="2006"/>
      <c r="V528" s="2006"/>
      <c r="W528" s="2006"/>
      <c r="X528" s="2006"/>
      <c r="Y528" s="2006"/>
      <c r="Z528" s="2006"/>
      <c r="AA528" s="2006"/>
      <c r="AB528" s="58"/>
      <c r="AC528" s="1627" t="s">
        <v>590</v>
      </c>
      <c r="AD528" s="1628"/>
      <c r="AE528" s="1628"/>
      <c r="AF528" s="1628"/>
      <c r="AG528" s="129" t="s">
        <v>402</v>
      </c>
      <c r="AH528" s="1640"/>
      <c r="AI528" s="1640"/>
      <c r="AJ528" s="1640"/>
      <c r="AK528" s="1641"/>
      <c r="AZ528" s="3"/>
      <c r="BB528" s="3"/>
      <c r="BC528" s="3"/>
      <c r="BD528" s="3"/>
      <c r="BE528" s="3"/>
      <c r="BF528" s="3"/>
      <c r="BG528" s="3"/>
      <c r="BH528" s="3"/>
      <c r="BI528" s="3"/>
      <c r="BJ528" s="3"/>
      <c r="BK528" s="3"/>
      <c r="BL528" s="3"/>
      <c r="BM528" s="3"/>
      <c r="BN528" s="3" t="s">
        <v>2063</v>
      </c>
    </row>
    <row r="529" spans="2:66" ht="12.95" customHeight="1">
      <c r="B529" s="1951"/>
      <c r="C529" s="1749"/>
      <c r="D529" s="1749"/>
      <c r="E529" s="1749"/>
      <c r="F529" s="1749"/>
      <c r="G529" s="1749"/>
      <c r="H529" s="1750"/>
      <c r="I529" s="114" t="s">
        <v>420</v>
      </c>
      <c r="AB529" s="65"/>
      <c r="AC529" s="1727">
        <v>3</v>
      </c>
      <c r="AD529" s="1728"/>
      <c r="AE529" s="1728"/>
      <c r="AF529" s="1728"/>
      <c r="AG529" s="13" t="s">
        <v>402</v>
      </c>
      <c r="AH529" s="1640">
        <v>2026</v>
      </c>
      <c r="AI529" s="1640"/>
      <c r="AJ529" s="1640"/>
      <c r="AK529" s="1641"/>
      <c r="AZ529" s="3"/>
      <c r="BB529" s="3"/>
      <c r="BC529" s="3"/>
      <c r="BD529" s="3"/>
      <c r="BE529" s="3"/>
      <c r="BF529" s="3"/>
      <c r="BG529" s="3"/>
      <c r="BH529" s="3"/>
      <c r="BI529" s="3"/>
      <c r="BJ529" s="3"/>
      <c r="BK529" s="3"/>
      <c r="BL529" s="3"/>
      <c r="BM529" s="3"/>
      <c r="BN529" s="3" t="s">
        <v>2064</v>
      </c>
    </row>
    <row r="530" spans="2:66" ht="12.95" customHeight="1">
      <c r="B530" s="1951"/>
      <c r="C530" s="1749"/>
      <c r="D530" s="1749"/>
      <c r="E530" s="1749"/>
      <c r="F530" s="1749"/>
      <c r="G530" s="1749"/>
      <c r="H530" s="1750"/>
      <c r="I530" s="47" t="s">
        <v>421</v>
      </c>
      <c r="J530" s="48"/>
      <c r="K530" s="48"/>
      <c r="L530" s="48"/>
      <c r="M530" s="48"/>
      <c r="N530" s="48"/>
      <c r="O530" s="48"/>
      <c r="P530" s="48"/>
      <c r="Q530" s="48"/>
      <c r="R530" s="48"/>
      <c r="S530" s="48"/>
      <c r="T530" s="48"/>
      <c r="U530" s="48"/>
      <c r="V530" s="48"/>
      <c r="W530" s="48"/>
      <c r="X530" s="48"/>
      <c r="Y530" s="48"/>
      <c r="Z530" s="48"/>
      <c r="AA530" s="48"/>
      <c r="AB530" s="49"/>
      <c r="AC530" s="1727">
        <v>1</v>
      </c>
      <c r="AD530" s="1728"/>
      <c r="AE530" s="1728"/>
      <c r="AF530" s="1728"/>
      <c r="AG530" s="38" t="s">
        <v>402</v>
      </c>
      <c r="AH530" s="1640">
        <v>2027</v>
      </c>
      <c r="AI530" s="1640"/>
      <c r="AJ530" s="1640"/>
      <c r="AK530" s="1641"/>
      <c r="AZ530" s="3"/>
      <c r="BA530" s="3"/>
      <c r="BB530" s="3"/>
      <c r="BC530" s="3"/>
      <c r="BD530" s="3"/>
      <c r="BE530" s="3"/>
      <c r="BF530" s="3"/>
      <c r="BG530" s="3"/>
      <c r="BH530" s="3"/>
      <c r="BI530" s="3"/>
      <c r="BJ530" s="3"/>
      <c r="BK530" s="3"/>
      <c r="BL530" s="3"/>
      <c r="BM530" s="3"/>
      <c r="BN530" s="3" t="s">
        <v>2065</v>
      </c>
    </row>
    <row r="531" spans="2:66" ht="12.95" customHeight="1">
      <c r="B531" s="1951"/>
      <c r="C531" s="1749"/>
      <c r="D531" s="1749"/>
      <c r="E531" s="1749"/>
      <c r="F531" s="1749"/>
      <c r="G531" s="1749"/>
      <c r="H531" s="1750"/>
      <c r="I531" s="42" t="s">
        <v>422</v>
      </c>
      <c r="J531" s="42"/>
      <c r="K531" s="42"/>
      <c r="L531" s="42"/>
      <c r="M531" s="42"/>
      <c r="N531" s="42"/>
      <c r="O531" s="2005" t="s">
        <v>333</v>
      </c>
      <c r="P531" s="2006"/>
      <c r="Q531" s="2006"/>
      <c r="R531" s="2006"/>
      <c r="S531" s="2006"/>
      <c r="T531" s="2006"/>
      <c r="U531" s="2006"/>
      <c r="V531" s="2006"/>
      <c r="W531" s="2006"/>
      <c r="X531" s="2006"/>
      <c r="Y531" s="2006"/>
      <c r="Z531" s="2006"/>
      <c r="AA531" s="2006"/>
      <c r="AC531" s="1727"/>
      <c r="AD531" s="1728"/>
      <c r="AE531" s="1728"/>
      <c r="AF531" s="1728"/>
      <c r="AG531" s="13" t="s">
        <v>402</v>
      </c>
      <c r="AH531" s="1640"/>
      <c r="AI531" s="1640"/>
      <c r="AJ531" s="1640"/>
      <c r="AK531" s="1641"/>
      <c r="AZ531" s="3"/>
      <c r="BA531" s="3"/>
      <c r="BB531" s="3"/>
      <c r="BC531" s="3"/>
      <c r="BD531" s="3"/>
      <c r="BE531" s="3"/>
      <c r="BF531" s="3"/>
      <c r="BG531" s="3"/>
      <c r="BH531" s="3"/>
      <c r="BI531" s="3"/>
      <c r="BJ531" s="3"/>
      <c r="BK531" s="3"/>
      <c r="BL531" s="3"/>
      <c r="BM531" s="3"/>
      <c r="BN531" s="3" t="s">
        <v>2066</v>
      </c>
    </row>
    <row r="532" spans="2:66" ht="12.95" customHeight="1">
      <c r="B532" s="1951"/>
      <c r="C532" s="1749"/>
      <c r="D532" s="1749"/>
      <c r="E532" s="1749"/>
      <c r="F532" s="1749"/>
      <c r="G532" s="1749"/>
      <c r="H532" s="1750"/>
      <c r="I532" t="s">
        <v>420</v>
      </c>
      <c r="AC532" s="1727"/>
      <c r="AD532" s="1728"/>
      <c r="AE532" s="1728"/>
      <c r="AF532" s="1728"/>
      <c r="AG532" s="13" t="s">
        <v>402</v>
      </c>
      <c r="AH532" s="1640"/>
      <c r="AI532" s="1640"/>
      <c r="AJ532" s="1640"/>
      <c r="AK532" s="1641"/>
      <c r="AZ532" s="3"/>
      <c r="BA532" s="3"/>
      <c r="BB532" s="3"/>
      <c r="BC532" s="3"/>
      <c r="BD532" s="3"/>
      <c r="BE532" s="3"/>
      <c r="BF532" s="3"/>
      <c r="BG532" s="3"/>
      <c r="BH532" s="3"/>
      <c r="BI532" s="3"/>
      <c r="BJ532" s="3"/>
      <c r="BK532" s="3"/>
      <c r="BL532" s="3"/>
      <c r="BM532" s="3"/>
      <c r="BN532" s="3" t="s">
        <v>2067</v>
      </c>
    </row>
    <row r="533" spans="2:66" ht="12.95" customHeight="1">
      <c r="B533" s="1951"/>
      <c r="C533" s="1749"/>
      <c r="D533" s="1749"/>
      <c r="E533" s="1749"/>
      <c r="F533" s="1749"/>
      <c r="G533" s="1749"/>
      <c r="H533" s="1750"/>
      <c r="I533" s="48" t="s">
        <v>421</v>
      </c>
      <c r="J533" s="48"/>
      <c r="K533" s="48"/>
      <c r="L533" s="48"/>
      <c r="M533" s="48"/>
      <c r="N533" s="48"/>
      <c r="O533" s="48"/>
      <c r="P533" s="48"/>
      <c r="Q533" s="48"/>
      <c r="R533" s="48"/>
      <c r="S533" s="48"/>
      <c r="T533" s="48"/>
      <c r="U533" s="48"/>
      <c r="V533" s="48"/>
      <c r="W533" s="48"/>
      <c r="X533" s="48"/>
      <c r="Y533" s="48"/>
      <c r="Z533" s="48"/>
      <c r="AA533" s="48"/>
      <c r="AB533" s="48"/>
      <c r="AC533" s="1727"/>
      <c r="AD533" s="1728"/>
      <c r="AE533" s="1728"/>
      <c r="AF533" s="1728"/>
      <c r="AG533" s="38" t="s">
        <v>402</v>
      </c>
      <c r="AH533" s="1640"/>
      <c r="AI533" s="1640"/>
      <c r="AJ533" s="1640"/>
      <c r="AK533" s="1641"/>
      <c r="AZ533" s="3"/>
      <c r="BA533" s="3"/>
      <c r="BB533" s="3"/>
      <c r="BC533" s="3"/>
      <c r="BD533" s="3"/>
      <c r="BE533" s="3"/>
      <c r="BF533" s="3"/>
      <c r="BG533" s="3"/>
      <c r="BH533" s="3"/>
      <c r="BI533" s="3"/>
      <c r="BJ533" s="3"/>
      <c r="BK533" s="3"/>
      <c r="BL533" s="3"/>
      <c r="BM533" s="3"/>
      <c r="BN533" s="3" t="s">
        <v>2068</v>
      </c>
    </row>
    <row r="534" spans="2:66" ht="12.95" customHeight="1">
      <c r="B534" s="1951"/>
      <c r="C534" s="1749"/>
      <c r="D534" s="1749"/>
      <c r="E534" s="1749"/>
      <c r="F534" s="1749"/>
      <c r="G534" s="1749"/>
      <c r="H534" s="1750"/>
      <c r="I534" s="42" t="s">
        <v>422</v>
      </c>
      <c r="J534" s="42"/>
      <c r="K534" s="42"/>
      <c r="L534" s="42"/>
      <c r="M534" s="42"/>
      <c r="N534" s="42"/>
      <c r="O534" s="2005" t="s">
        <v>333</v>
      </c>
      <c r="P534" s="2006"/>
      <c r="Q534" s="2006"/>
      <c r="R534" s="2006"/>
      <c r="S534" s="2006"/>
      <c r="T534" s="2006"/>
      <c r="U534" s="2006"/>
      <c r="V534" s="2006"/>
      <c r="W534" s="2006"/>
      <c r="X534" s="2006"/>
      <c r="Y534" s="2006"/>
      <c r="Z534" s="2006"/>
      <c r="AA534" s="2006"/>
      <c r="AC534" s="1727" t="s">
        <v>590</v>
      </c>
      <c r="AD534" s="1728"/>
      <c r="AE534" s="1728"/>
      <c r="AF534" s="1728"/>
      <c r="AG534" s="13" t="s">
        <v>402</v>
      </c>
      <c r="AH534" s="1640"/>
      <c r="AI534" s="1640"/>
      <c r="AJ534" s="1640"/>
      <c r="AK534" s="1641"/>
      <c r="AZ534" s="3"/>
      <c r="BA534" s="3"/>
      <c r="BB534" s="3"/>
      <c r="BC534" s="3"/>
      <c r="BD534" s="3"/>
      <c r="BE534" s="3"/>
      <c r="BF534" s="3"/>
      <c r="BG534" s="3"/>
      <c r="BH534" s="3"/>
      <c r="BI534" s="3"/>
      <c r="BJ534" s="3"/>
      <c r="BK534" s="3"/>
      <c r="BL534" s="3"/>
      <c r="BM534" s="3"/>
      <c r="BN534" s="3" t="s">
        <v>2069</v>
      </c>
    </row>
    <row r="535" spans="2:66" ht="12.95" customHeight="1">
      <c r="B535" s="1951"/>
      <c r="C535" s="1749"/>
      <c r="D535" s="1749"/>
      <c r="E535" s="1749"/>
      <c r="F535" s="1749"/>
      <c r="G535" s="1749"/>
      <c r="H535" s="1750"/>
      <c r="I535" t="s">
        <v>420</v>
      </c>
      <c r="AC535" s="1727" t="s">
        <v>590</v>
      </c>
      <c r="AD535" s="1728"/>
      <c r="AE535" s="1728"/>
      <c r="AF535" s="1728"/>
      <c r="AG535" s="13" t="s">
        <v>402</v>
      </c>
      <c r="AH535" s="1640"/>
      <c r="AI535" s="1640"/>
      <c r="AJ535" s="1640"/>
      <c r="AK535" s="1641"/>
      <c r="AZ535" s="3"/>
      <c r="BA535" s="3"/>
      <c r="BB535" s="3"/>
      <c r="BC535" s="3"/>
      <c r="BD535" s="3"/>
      <c r="BE535" s="3"/>
      <c r="BF535" s="3"/>
      <c r="BG535" s="3"/>
      <c r="BH535" s="3"/>
      <c r="BI535" s="3"/>
      <c r="BJ535" s="3"/>
      <c r="BK535" s="3"/>
      <c r="BL535" s="3"/>
      <c r="BM535" s="3"/>
      <c r="BN535" s="3" t="s">
        <v>2070</v>
      </c>
    </row>
    <row r="536" spans="2:66" ht="12.95" customHeight="1">
      <c r="B536" s="1951"/>
      <c r="C536" s="1749"/>
      <c r="D536" s="1749"/>
      <c r="E536" s="1749"/>
      <c r="F536" s="1749"/>
      <c r="G536" s="1749"/>
      <c r="H536" s="1750"/>
      <c r="I536" s="48" t="s">
        <v>421</v>
      </c>
      <c r="J536" s="48"/>
      <c r="K536" s="48"/>
      <c r="L536" s="48"/>
      <c r="M536" s="48"/>
      <c r="N536" s="48"/>
      <c r="O536" s="48"/>
      <c r="P536" s="48"/>
      <c r="Q536" s="48"/>
      <c r="R536" s="48"/>
      <c r="S536" s="48"/>
      <c r="T536" s="48"/>
      <c r="U536" s="48"/>
      <c r="V536" s="48"/>
      <c r="W536" s="48"/>
      <c r="X536" s="48"/>
      <c r="Y536" s="48"/>
      <c r="Z536" s="48"/>
      <c r="AA536" s="48"/>
      <c r="AB536" s="48"/>
      <c r="AC536" s="1727" t="s">
        <v>590</v>
      </c>
      <c r="AD536" s="1728"/>
      <c r="AE536" s="1728"/>
      <c r="AF536" s="1728"/>
      <c r="AG536" s="38" t="s">
        <v>402</v>
      </c>
      <c r="AH536" s="1640"/>
      <c r="AI536" s="1640"/>
      <c r="AJ536" s="1640"/>
      <c r="AK536" s="1641"/>
      <c r="AZ536" s="3"/>
      <c r="BA536" s="3"/>
      <c r="BB536" s="3"/>
      <c r="BC536" s="3"/>
      <c r="BD536" s="3"/>
      <c r="BE536" s="3"/>
      <c r="BF536" s="3"/>
      <c r="BG536" s="3"/>
      <c r="BH536" s="3"/>
      <c r="BI536" s="3"/>
      <c r="BJ536" s="3"/>
      <c r="BK536" s="3"/>
      <c r="BL536" s="3"/>
      <c r="BM536" s="3"/>
      <c r="BN536" s="3" t="s">
        <v>2071</v>
      </c>
    </row>
    <row r="537" spans="2:66" ht="12.95" customHeight="1">
      <c r="B537" s="1951"/>
      <c r="C537" s="1749"/>
      <c r="D537" s="1749"/>
      <c r="E537" s="1749"/>
      <c r="F537" s="1749"/>
      <c r="G537" s="1749"/>
      <c r="H537" s="1750"/>
      <c r="I537" s="42" t="s">
        <v>422</v>
      </c>
      <c r="J537" s="42"/>
      <c r="K537" s="42"/>
      <c r="L537" s="42"/>
      <c r="M537" s="42"/>
      <c r="N537" s="42"/>
      <c r="O537" s="2005" t="s">
        <v>333</v>
      </c>
      <c r="P537" s="2006"/>
      <c r="Q537" s="2006"/>
      <c r="R537" s="2006"/>
      <c r="S537" s="2006"/>
      <c r="T537" s="2006"/>
      <c r="U537" s="2006"/>
      <c r="V537" s="2006"/>
      <c r="W537" s="2006"/>
      <c r="X537" s="2006"/>
      <c r="Y537" s="2006"/>
      <c r="Z537" s="2006"/>
      <c r="AA537" s="2006"/>
      <c r="AC537" s="1727" t="s">
        <v>590</v>
      </c>
      <c r="AD537" s="1728"/>
      <c r="AE537" s="1728"/>
      <c r="AF537" s="1728"/>
      <c r="AG537" s="13" t="s">
        <v>402</v>
      </c>
      <c r="AH537" s="1640"/>
      <c r="AI537" s="1640"/>
      <c r="AJ537" s="1640"/>
      <c r="AK537" s="1641"/>
      <c r="AZ537" s="3"/>
      <c r="BA537" s="3"/>
      <c r="BB537" s="3"/>
      <c r="BC537" s="3"/>
      <c r="BD537" s="3"/>
      <c r="BE537" s="3"/>
      <c r="BF537" s="3"/>
      <c r="BG537" s="3"/>
      <c r="BH537" s="3"/>
      <c r="BI537" s="3"/>
      <c r="BJ537" s="3"/>
      <c r="BK537" s="3"/>
      <c r="BL537" s="3"/>
      <c r="BM537" s="3"/>
      <c r="BN537" s="3" t="s">
        <v>2072</v>
      </c>
    </row>
    <row r="538" spans="2:66" ht="12.95" customHeight="1">
      <c r="B538" s="1951"/>
      <c r="C538" s="1749"/>
      <c r="D538" s="1749"/>
      <c r="E538" s="1749"/>
      <c r="F538" s="1749"/>
      <c r="G538" s="1749"/>
      <c r="H538" s="1750"/>
      <c r="I538" t="s">
        <v>420</v>
      </c>
      <c r="AC538" s="1727" t="s">
        <v>590</v>
      </c>
      <c r="AD538" s="1728"/>
      <c r="AE538" s="1728"/>
      <c r="AF538" s="1728"/>
      <c r="AG538" s="13" t="s">
        <v>402</v>
      </c>
      <c r="AH538" s="1640"/>
      <c r="AI538" s="1640"/>
      <c r="AJ538" s="1640"/>
      <c r="AK538" s="1641"/>
      <c r="AZ538" s="3"/>
      <c r="BA538" s="3"/>
      <c r="BB538" s="3"/>
      <c r="BC538" s="3"/>
      <c r="BD538" s="3"/>
      <c r="BE538" s="3"/>
      <c r="BF538" s="3"/>
      <c r="BG538" s="3"/>
      <c r="BH538" s="3"/>
      <c r="BI538" s="3"/>
      <c r="BJ538" s="3"/>
      <c r="BK538" s="3"/>
      <c r="BL538" s="3"/>
      <c r="BM538" s="3"/>
      <c r="BN538" s="3" t="s">
        <v>2073</v>
      </c>
    </row>
    <row r="539" spans="2:66" ht="12.95" customHeight="1">
      <c r="B539" s="1951"/>
      <c r="C539" s="1749"/>
      <c r="D539" s="1749"/>
      <c r="E539" s="1749"/>
      <c r="F539" s="1749"/>
      <c r="G539" s="1749"/>
      <c r="H539" s="1750"/>
      <c r="I539" s="48" t="s">
        <v>421</v>
      </c>
      <c r="J539" s="48"/>
      <c r="K539" s="48"/>
      <c r="L539" s="48"/>
      <c r="M539" s="48"/>
      <c r="N539" s="48"/>
      <c r="O539" s="48"/>
      <c r="P539" s="48"/>
      <c r="Q539" s="48"/>
      <c r="R539" s="48"/>
      <c r="S539" s="48"/>
      <c r="T539" s="48"/>
      <c r="U539" s="48"/>
      <c r="V539" s="48"/>
      <c r="W539" s="48"/>
      <c r="X539" s="48"/>
      <c r="Y539" s="48"/>
      <c r="Z539" s="48"/>
      <c r="AA539" s="48"/>
      <c r="AB539" s="48"/>
      <c r="AC539" s="1727" t="s">
        <v>590</v>
      </c>
      <c r="AD539" s="1728"/>
      <c r="AE539" s="1728"/>
      <c r="AF539" s="1728"/>
      <c r="AG539" s="38" t="s">
        <v>402</v>
      </c>
      <c r="AH539" s="1640"/>
      <c r="AI539" s="1640"/>
      <c r="AJ539" s="1640"/>
      <c r="AK539" s="1641"/>
      <c r="AZ539" s="3"/>
      <c r="BA539" s="3"/>
      <c r="BB539" s="3"/>
      <c r="BC539" s="3"/>
      <c r="BD539" s="3"/>
      <c r="BE539" s="3"/>
      <c r="BF539" s="3"/>
      <c r="BG539" s="3"/>
      <c r="BH539" s="3"/>
      <c r="BI539" s="3"/>
      <c r="BJ539" s="3"/>
      <c r="BK539" s="3"/>
      <c r="BL539" s="3"/>
      <c r="BM539" s="3"/>
      <c r="BN539" s="3" t="s">
        <v>2074</v>
      </c>
    </row>
    <row r="540" spans="2:66" ht="12.95" customHeight="1">
      <c r="B540" s="1951"/>
      <c r="C540" s="1749"/>
      <c r="D540" s="1749"/>
      <c r="E540" s="1749"/>
      <c r="F540" s="1749"/>
      <c r="G540" s="1749"/>
      <c r="H540" s="1750"/>
      <c r="I540" s="42" t="s">
        <v>422</v>
      </c>
      <c r="J540" s="42"/>
      <c r="K540" s="42"/>
      <c r="L540" s="42"/>
      <c r="M540" s="42"/>
      <c r="N540" s="42"/>
      <c r="O540" s="2005" t="s">
        <v>333</v>
      </c>
      <c r="P540" s="2006"/>
      <c r="Q540" s="2006"/>
      <c r="R540" s="2006"/>
      <c r="S540" s="2006"/>
      <c r="T540" s="2006"/>
      <c r="U540" s="2006"/>
      <c r="V540" s="2006"/>
      <c r="W540" s="2006"/>
      <c r="X540" s="2006"/>
      <c r="Y540" s="2006"/>
      <c r="Z540" s="2006"/>
      <c r="AA540" s="2006"/>
      <c r="AC540" s="1727" t="s">
        <v>590</v>
      </c>
      <c r="AD540" s="1728"/>
      <c r="AE540" s="1728"/>
      <c r="AF540" s="1728"/>
      <c r="AG540" s="13" t="s">
        <v>402</v>
      </c>
      <c r="AH540" s="1640"/>
      <c r="AI540" s="1640"/>
      <c r="AJ540" s="1640"/>
      <c r="AK540" s="1641"/>
      <c r="AZ540" s="3"/>
      <c r="BA540" s="3"/>
      <c r="BB540" s="3"/>
      <c r="BC540" s="3"/>
      <c r="BD540" s="3"/>
      <c r="BE540" s="3"/>
      <c r="BF540" s="3"/>
      <c r="BG540" s="3"/>
      <c r="BH540" s="3"/>
      <c r="BI540" s="3"/>
      <c r="BJ540" s="3"/>
      <c r="BK540" s="3"/>
      <c r="BL540" s="3"/>
      <c r="BM540" s="3"/>
      <c r="BN540" s="3" t="s">
        <v>2075</v>
      </c>
    </row>
    <row r="541" spans="2:66" ht="12.95" customHeight="1">
      <c r="B541" s="1951"/>
      <c r="C541" s="1749"/>
      <c r="D541" s="1749"/>
      <c r="E541" s="1749"/>
      <c r="F541" s="1749"/>
      <c r="G541" s="1749"/>
      <c r="H541" s="1750"/>
      <c r="I541" t="s">
        <v>420</v>
      </c>
      <c r="AC541" s="1727" t="s">
        <v>590</v>
      </c>
      <c r="AD541" s="1728"/>
      <c r="AE541" s="1728"/>
      <c r="AF541" s="1728"/>
      <c r="AG541" s="38" t="s">
        <v>402</v>
      </c>
      <c r="AH541" s="1640"/>
      <c r="AI541" s="1640"/>
      <c r="AJ541" s="1640"/>
      <c r="AK541" s="1641"/>
      <c r="AZ541" s="3"/>
      <c r="BA541" s="3"/>
      <c r="BB541" s="3"/>
      <c r="BC541" s="3"/>
      <c r="BD541" s="3"/>
      <c r="BE541" s="3"/>
      <c r="BF541" s="3"/>
      <c r="BG541" s="3"/>
      <c r="BH541" s="3"/>
      <c r="BI541" s="3"/>
      <c r="BJ541" s="3"/>
      <c r="BK541" s="3"/>
      <c r="BL541" s="3"/>
      <c r="BM541" s="3"/>
      <c r="BN541" s="3" t="s">
        <v>2076</v>
      </c>
    </row>
    <row r="542" spans="2:66" ht="12.95" customHeight="1">
      <c r="B542" s="1951"/>
      <c r="C542" s="1749"/>
      <c r="D542" s="1749"/>
      <c r="E542" s="1749"/>
      <c r="F542" s="1749"/>
      <c r="G542" s="1749"/>
      <c r="H542" s="1750"/>
      <c r="I542" s="48" t="s">
        <v>421</v>
      </c>
      <c r="J542" s="48"/>
      <c r="K542" s="48"/>
      <c r="L542" s="48"/>
      <c r="M542" s="48"/>
      <c r="N542" s="48"/>
      <c r="O542" s="48"/>
      <c r="P542" s="48"/>
      <c r="Q542" s="48"/>
      <c r="R542" s="48"/>
      <c r="S542" s="48"/>
      <c r="T542" s="48"/>
      <c r="U542" s="48"/>
      <c r="V542" s="48"/>
      <c r="W542" s="48"/>
      <c r="X542" s="48"/>
      <c r="Y542" s="48"/>
      <c r="Z542" s="48"/>
      <c r="AA542" s="48"/>
      <c r="AB542" s="48"/>
      <c r="AC542" s="1727" t="s">
        <v>590</v>
      </c>
      <c r="AD542" s="1728"/>
      <c r="AE542" s="1728"/>
      <c r="AF542" s="1728"/>
      <c r="AG542" s="13" t="s">
        <v>402</v>
      </c>
      <c r="AH542" s="1640"/>
      <c r="AI542" s="1640"/>
      <c r="AJ542" s="1640"/>
      <c r="AK542" s="1641"/>
      <c r="AZ542" s="3"/>
      <c r="BA542" s="3"/>
      <c r="BB542" s="3"/>
      <c r="BC542" s="3"/>
      <c r="BD542" s="3"/>
      <c r="BE542" s="3"/>
      <c r="BF542" s="3"/>
      <c r="BG542" s="3"/>
      <c r="BH542" s="3"/>
      <c r="BI542" s="3"/>
      <c r="BJ542" s="3"/>
      <c r="BK542" s="3"/>
      <c r="BL542" s="3"/>
      <c r="BM542" s="3"/>
      <c r="BN542" s="3" t="s">
        <v>2077</v>
      </c>
    </row>
    <row r="543" spans="2:66" ht="12.95" customHeight="1">
      <c r="B543" s="1951"/>
      <c r="C543" s="1749"/>
      <c r="D543" s="1749"/>
      <c r="E543" s="1749"/>
      <c r="F543" s="1749"/>
      <c r="G543" s="1749"/>
      <c r="H543" s="1750"/>
      <c r="I543" s="42" t="s">
        <v>422</v>
      </c>
      <c r="J543" s="42"/>
      <c r="K543" s="42"/>
      <c r="L543" s="42"/>
      <c r="M543" s="42"/>
      <c r="N543" s="42"/>
      <c r="O543" s="2005" t="s">
        <v>333</v>
      </c>
      <c r="P543" s="2006"/>
      <c r="Q543" s="2006"/>
      <c r="R543" s="2006"/>
      <c r="S543" s="2006"/>
      <c r="T543" s="2006"/>
      <c r="U543" s="2006"/>
      <c r="V543" s="2006"/>
      <c r="W543" s="2006"/>
      <c r="X543" s="2006"/>
      <c r="Y543" s="2006"/>
      <c r="Z543" s="2006"/>
      <c r="AA543" s="2006"/>
      <c r="AC543" s="1727" t="s">
        <v>590</v>
      </c>
      <c r="AD543" s="1728"/>
      <c r="AE543" s="1728"/>
      <c r="AF543" s="1728"/>
      <c r="AG543" s="38" t="s">
        <v>402</v>
      </c>
      <c r="AH543" s="1640"/>
      <c r="AI543" s="1640"/>
      <c r="AJ543" s="1640"/>
      <c r="AK543" s="1641"/>
      <c r="AZ543" s="3"/>
      <c r="BA543" s="3"/>
      <c r="BB543" s="3"/>
      <c r="BC543" s="3"/>
      <c r="BD543" s="3"/>
      <c r="BE543" s="3"/>
      <c r="BF543" s="3"/>
      <c r="BG543" s="3"/>
      <c r="BH543" s="3"/>
      <c r="BI543" s="3"/>
      <c r="BJ543" s="3"/>
      <c r="BK543" s="3"/>
      <c r="BL543" s="3"/>
      <c r="BM543" s="3"/>
      <c r="BN543" s="3" t="s">
        <v>2078</v>
      </c>
    </row>
    <row r="544" spans="2:66" ht="12.95" customHeight="1">
      <c r="B544" s="1951"/>
      <c r="C544" s="1749"/>
      <c r="D544" s="1749"/>
      <c r="E544" s="1749"/>
      <c r="F544" s="1749"/>
      <c r="G544" s="1749"/>
      <c r="H544" s="1750"/>
      <c r="I544" t="s">
        <v>420</v>
      </c>
      <c r="AC544" s="1727" t="s">
        <v>590</v>
      </c>
      <c r="AD544" s="1728"/>
      <c r="AE544" s="1728"/>
      <c r="AF544" s="1728"/>
      <c r="AG544" s="13" t="s">
        <v>402</v>
      </c>
      <c r="AH544" s="1640"/>
      <c r="AI544" s="1640"/>
      <c r="AJ544" s="1640"/>
      <c r="AK544" s="1641"/>
      <c r="AZ544" s="3"/>
      <c r="BA544" s="3"/>
      <c r="BB544" s="3"/>
      <c r="BC544" s="3"/>
      <c r="BD544" s="3"/>
      <c r="BE544" s="3"/>
      <c r="BF544" s="3"/>
      <c r="BG544" s="3"/>
      <c r="BH544" s="3"/>
      <c r="BI544" s="3"/>
      <c r="BJ544" s="3"/>
      <c r="BK544" s="3"/>
      <c r="BL544" s="3"/>
      <c r="BM544" s="3"/>
      <c r="BN544" s="3" t="s">
        <v>2079</v>
      </c>
    </row>
    <row r="545" spans="1:66" ht="12.95" customHeight="1">
      <c r="B545" s="1951"/>
      <c r="C545" s="1749"/>
      <c r="D545" s="1749"/>
      <c r="E545" s="1749"/>
      <c r="F545" s="1749"/>
      <c r="G545" s="1749"/>
      <c r="H545" s="1750"/>
      <c r="I545" s="48" t="s">
        <v>421</v>
      </c>
      <c r="J545" s="48"/>
      <c r="K545" s="48"/>
      <c r="L545" s="48"/>
      <c r="M545" s="48"/>
      <c r="N545" s="48"/>
      <c r="O545" s="48"/>
      <c r="P545" s="48"/>
      <c r="Q545" s="48"/>
      <c r="R545" s="48"/>
      <c r="S545" s="48"/>
      <c r="T545" s="48"/>
      <c r="U545" s="48"/>
      <c r="V545" s="48"/>
      <c r="W545" s="48"/>
      <c r="X545" s="48"/>
      <c r="Y545" s="48"/>
      <c r="Z545" s="48"/>
      <c r="AA545" s="48"/>
      <c r="AB545" s="48"/>
      <c r="AC545" s="1727" t="s">
        <v>590</v>
      </c>
      <c r="AD545" s="1728"/>
      <c r="AE545" s="1728"/>
      <c r="AF545" s="1728"/>
      <c r="AG545" s="38" t="s">
        <v>402</v>
      </c>
      <c r="AH545" s="1640"/>
      <c r="AI545" s="1640"/>
      <c r="AJ545" s="1640"/>
      <c r="AK545" s="1641"/>
      <c r="AZ545" s="3"/>
      <c r="BA545" s="3"/>
      <c r="BB545" s="3"/>
      <c r="BC545" s="3"/>
      <c r="BD545" s="3"/>
      <c r="BE545" s="3"/>
      <c r="BF545" s="3"/>
      <c r="BG545" s="3"/>
      <c r="BH545" s="3"/>
      <c r="BI545" s="3"/>
      <c r="BJ545" s="3"/>
      <c r="BK545" s="3"/>
      <c r="BL545" s="3"/>
      <c r="BM545" s="3"/>
      <c r="BN545" s="3" t="s">
        <v>2080</v>
      </c>
    </row>
    <row r="546" spans="1:66" ht="12.95" customHeight="1">
      <c r="B546" s="1951"/>
      <c r="C546" s="1749"/>
      <c r="D546" s="1749"/>
      <c r="E546" s="1749"/>
      <c r="F546" s="1749"/>
      <c r="G546" s="1749"/>
      <c r="H546" s="1750"/>
      <c r="I546" s="42" t="s">
        <v>561</v>
      </c>
      <c r="J546" s="42"/>
      <c r="K546" s="42"/>
      <c r="L546" s="42"/>
      <c r="M546" s="42"/>
      <c r="N546" s="42"/>
      <c r="O546" s="42"/>
      <c r="P546" s="42"/>
      <c r="Q546" s="42"/>
      <c r="R546" s="42"/>
      <c r="S546" s="42"/>
      <c r="T546" s="42"/>
      <c r="U546" s="42"/>
      <c r="V546" s="42"/>
      <c r="W546" s="42"/>
      <c r="AC546" s="1727">
        <v>4</v>
      </c>
      <c r="AD546" s="1728"/>
      <c r="AE546" s="1728"/>
      <c r="AF546" s="1728"/>
      <c r="AG546" s="38" t="s">
        <v>402</v>
      </c>
      <c r="AH546" s="1640">
        <v>2027</v>
      </c>
      <c r="AI546" s="1640"/>
      <c r="AJ546" s="1640"/>
      <c r="AK546" s="1641"/>
      <c r="AZ546" s="3"/>
      <c r="BA546" s="3"/>
      <c r="BB546" s="3"/>
      <c r="BC546" s="3"/>
      <c r="BD546" s="3"/>
      <c r="BE546" s="3"/>
      <c r="BF546" s="3"/>
      <c r="BG546" s="3"/>
      <c r="BH546" s="3"/>
      <c r="BI546" s="3"/>
      <c r="BJ546" s="3"/>
      <c r="BK546" s="3"/>
      <c r="BL546" s="3"/>
      <c r="BM546" s="3"/>
      <c r="BN546" s="3"/>
    </row>
    <row r="547" spans="1:66" ht="12.95" customHeight="1">
      <c r="B547" s="1951"/>
      <c r="C547" s="1749"/>
      <c r="D547" s="1749"/>
      <c r="E547" s="1749"/>
      <c r="F547" s="1749"/>
      <c r="G547" s="1749"/>
      <c r="H547" s="1750"/>
      <c r="I547" t="s">
        <v>562</v>
      </c>
      <c r="AC547" s="1727">
        <v>1</v>
      </c>
      <c r="AD547" s="1728"/>
      <c r="AE547" s="1728"/>
      <c r="AF547" s="1728"/>
      <c r="AG547" s="13" t="s">
        <v>402</v>
      </c>
      <c r="AH547" s="1640">
        <v>2027</v>
      </c>
      <c r="AI547" s="1640"/>
      <c r="AJ547" s="1640"/>
      <c r="AK547" s="1641"/>
      <c r="AZ547" s="3"/>
      <c r="BA547" s="3"/>
      <c r="BB547" s="3"/>
      <c r="BC547" s="3"/>
      <c r="BD547" s="3"/>
      <c r="BE547" s="3"/>
      <c r="BF547" s="3"/>
      <c r="BG547" s="3"/>
      <c r="BH547" s="3"/>
      <c r="BI547" s="3"/>
      <c r="BJ547" s="3"/>
      <c r="BK547" s="3"/>
      <c r="BL547" s="3"/>
      <c r="BM547" s="3"/>
      <c r="BN547" s="3"/>
    </row>
    <row r="548" spans="1:66" ht="12.95" customHeight="1">
      <c r="B548" s="1951"/>
      <c r="C548" s="1749"/>
      <c r="D548" s="1749"/>
      <c r="E548" s="1749"/>
      <c r="F548" s="1749"/>
      <c r="G548" s="1749"/>
      <c r="H548" s="1750"/>
      <c r="I548" t="s">
        <v>563</v>
      </c>
      <c r="AC548" s="1727">
        <v>9</v>
      </c>
      <c r="AD548" s="1728"/>
      <c r="AE548" s="1728"/>
      <c r="AF548" s="1728"/>
      <c r="AG548" s="38" t="s">
        <v>402</v>
      </c>
      <c r="AH548" s="1640">
        <v>2028</v>
      </c>
      <c r="AI548" s="1640"/>
      <c r="AJ548" s="1640"/>
      <c r="AK548" s="1641"/>
      <c r="AZ548" s="3"/>
      <c r="BA548" s="3"/>
      <c r="BB548" s="3"/>
      <c r="BC548" s="3"/>
      <c r="BD548" s="3"/>
      <c r="BE548" s="3"/>
      <c r="BF548" s="3"/>
      <c r="BG548" s="3"/>
      <c r="BH548" s="3"/>
      <c r="BI548" s="3"/>
      <c r="BJ548" s="3"/>
      <c r="BK548" s="3"/>
      <c r="BL548" s="3"/>
      <c r="BM548" s="3"/>
      <c r="BN548" s="3"/>
    </row>
    <row r="549" spans="1:66" ht="12.95" customHeight="1">
      <c r="B549" s="1951"/>
      <c r="C549" s="1749"/>
      <c r="D549" s="1749"/>
      <c r="E549" s="1749"/>
      <c r="F549" s="1749"/>
      <c r="G549" s="1749"/>
      <c r="H549" s="1750"/>
      <c r="I549" t="s">
        <v>564</v>
      </c>
      <c r="AC549" s="1727">
        <v>12</v>
      </c>
      <c r="AD549" s="1728"/>
      <c r="AE549" s="1728"/>
      <c r="AF549" s="1728"/>
      <c r="AG549" s="38" t="s">
        <v>402</v>
      </c>
      <c r="AH549" s="1640">
        <v>2028</v>
      </c>
      <c r="AI549" s="1640"/>
      <c r="AJ549" s="1640"/>
      <c r="AK549" s="1641"/>
      <c r="AZ549" s="3"/>
      <c r="BA549" s="3"/>
      <c r="BB549" s="3"/>
      <c r="BC549" s="3"/>
      <c r="BD549" s="3"/>
      <c r="BE549" s="3"/>
      <c r="BF549" s="3"/>
      <c r="BG549" s="3"/>
      <c r="BH549" s="3"/>
      <c r="BI549" s="3"/>
      <c r="BJ549" s="3"/>
      <c r="BK549" s="3"/>
      <c r="BL549" s="3"/>
      <c r="BM549" s="3"/>
      <c r="BN549" s="3"/>
    </row>
    <row r="550" spans="1:66" ht="12.95" customHeight="1">
      <c r="B550" s="1952"/>
      <c r="C550" s="1751"/>
      <c r="D550" s="1751"/>
      <c r="E550" s="1751"/>
      <c r="F550" s="1751"/>
      <c r="G550" s="1751"/>
      <c r="H550" s="1752"/>
      <c r="I550" s="48" t="s">
        <v>450</v>
      </c>
      <c r="J550" s="48"/>
      <c r="K550" s="48"/>
      <c r="L550" s="48"/>
      <c r="M550" s="48"/>
      <c r="N550" s="48"/>
      <c r="O550" s="48"/>
      <c r="P550" s="48"/>
      <c r="Q550" s="48"/>
      <c r="R550" s="48"/>
      <c r="S550" s="48"/>
      <c r="T550" s="48"/>
      <c r="U550" s="48"/>
      <c r="V550" s="48"/>
      <c r="W550" s="48"/>
      <c r="X550" s="48"/>
      <c r="Y550" s="48"/>
      <c r="Z550" s="48"/>
      <c r="AA550" s="48"/>
      <c r="AB550" s="48"/>
      <c r="AC550" s="1727">
        <v>12</v>
      </c>
      <c r="AD550" s="1728"/>
      <c r="AE550" s="1728"/>
      <c r="AF550" s="1728"/>
      <c r="AG550" s="38" t="s">
        <v>402</v>
      </c>
      <c r="AH550" s="1640">
        <v>2028</v>
      </c>
      <c r="AI550" s="1640"/>
      <c r="AJ550" s="1640"/>
      <c r="AK550" s="1641"/>
      <c r="BB550" s="3"/>
      <c r="BC550" s="3"/>
      <c r="BD550" s="3"/>
      <c r="BE550" s="3"/>
      <c r="BF550" s="3"/>
      <c r="BG550" s="3"/>
      <c r="BH550" s="3" t="s">
        <v>112</v>
      </c>
      <c r="BI550" s="3" t="str">
        <f>N657</f>
        <v>Yes</v>
      </c>
      <c r="BJ550" s="3"/>
      <c r="BK550" s="3"/>
      <c r="BL550" s="3"/>
      <c r="BM550" s="3"/>
      <c r="BN550" s="3"/>
    </row>
    <row r="551" spans="1:66" ht="12.95" customHeight="1">
      <c r="B551" s="530"/>
      <c r="C551" s="130"/>
      <c r="D551" s="130"/>
      <c r="E551" s="130"/>
      <c r="F551" s="130"/>
      <c r="G551" s="130"/>
      <c r="H551" s="130"/>
      <c r="AB551" s="130"/>
      <c r="AU551" s="893"/>
      <c r="AV551" s="893"/>
      <c r="AW551" s="893"/>
      <c r="AX551" s="893"/>
      <c r="AY551" s="893"/>
      <c r="BB551" s="3"/>
      <c r="BC551" s="3"/>
      <c r="BD551" s="3"/>
      <c r="BE551" s="3"/>
      <c r="BF551" s="3"/>
      <c r="BG551" s="3"/>
      <c r="BH551" s="3" t="s">
        <v>113</v>
      </c>
      <c r="BI551" s="3" t="str">
        <f>AG657</f>
        <v>Yes</v>
      </c>
      <c r="BJ551" s="3"/>
      <c r="BK551" s="3"/>
      <c r="BL551" s="3"/>
      <c r="BM551" s="3"/>
      <c r="BN551" s="3"/>
    </row>
    <row r="552" spans="1:66" ht="12.95" customHeight="1">
      <c r="A552" s="1526" t="s">
        <v>542</v>
      </c>
      <c r="B552" s="1526"/>
      <c r="C552" s="1526"/>
      <c r="D552" s="1526"/>
      <c r="E552" s="1526"/>
      <c r="F552" s="1526"/>
      <c r="G552" s="1526"/>
      <c r="H552" s="1526"/>
      <c r="I552" s="1526"/>
      <c r="J552" s="1526"/>
      <c r="K552" s="1526"/>
      <c r="L552" s="1526"/>
      <c r="M552" s="1526"/>
      <c r="N552" s="1526"/>
      <c r="O552" s="1526"/>
      <c r="P552" s="1526"/>
      <c r="Q552" s="1526"/>
      <c r="R552" s="1526"/>
      <c r="S552" s="1526"/>
      <c r="T552" s="1526"/>
      <c r="U552" s="1526"/>
      <c r="V552" s="1526"/>
      <c r="W552" s="1526"/>
      <c r="X552" s="1526"/>
      <c r="Y552" s="1526"/>
      <c r="Z552" s="1526"/>
      <c r="AA552" s="1526"/>
      <c r="AB552" s="1526"/>
      <c r="AC552" s="1526"/>
      <c r="AD552" s="1526"/>
      <c r="AE552" s="1526"/>
      <c r="AF552" s="1526"/>
      <c r="AG552" s="1526"/>
      <c r="AH552" s="1526"/>
      <c r="AI552" s="1526"/>
      <c r="AJ552" s="1526"/>
      <c r="AK552" s="1526"/>
      <c r="AL552" s="1526"/>
      <c r="AM552" s="1526"/>
      <c r="AN552" s="1526"/>
      <c r="AO552" s="1526"/>
      <c r="AP552" s="1526"/>
      <c r="AQ552" s="1526"/>
      <c r="AR552" s="1526"/>
      <c r="AS552" s="1526"/>
      <c r="AT552" s="1526"/>
      <c r="AU552" s="893"/>
      <c r="AV552" s="893"/>
      <c r="AW552" s="893"/>
      <c r="AX552" s="893"/>
      <c r="AY552" s="893"/>
      <c r="BB552" s="3"/>
      <c r="BC552" s="3"/>
      <c r="BD552" s="3"/>
      <c r="BE552" s="3"/>
      <c r="BF552" s="3"/>
      <c r="BG552" s="3"/>
      <c r="BH552" s="3"/>
      <c r="BI552" s="3"/>
      <c r="BJ552" s="3"/>
      <c r="BK552" s="3"/>
      <c r="BL552" s="3"/>
      <c r="BM552" s="3"/>
      <c r="BN552" s="3"/>
    </row>
    <row r="553" spans="1:66" ht="12.95" customHeight="1">
      <c r="A553" s="1526"/>
      <c r="B553" s="1526"/>
      <c r="C553" s="1526"/>
      <c r="D553" s="1526"/>
      <c r="E553" s="1526"/>
      <c r="F553" s="1526"/>
      <c r="G553" s="1526"/>
      <c r="H553" s="1526"/>
      <c r="I553" s="1526"/>
      <c r="J553" s="1526"/>
      <c r="K553" s="1526"/>
      <c r="L553" s="1526"/>
      <c r="M553" s="1526"/>
      <c r="N553" s="1526"/>
      <c r="O553" s="1526"/>
      <c r="P553" s="1526"/>
      <c r="Q553" s="1526"/>
      <c r="R553" s="1526"/>
      <c r="S553" s="1526"/>
      <c r="T553" s="1526"/>
      <c r="U553" s="1526"/>
      <c r="V553" s="1526"/>
      <c r="W553" s="1526"/>
      <c r="X553" s="1526"/>
      <c r="Y553" s="1526"/>
      <c r="Z553" s="1526"/>
      <c r="AA553" s="1526"/>
      <c r="AB553" s="1526"/>
      <c r="AC553" s="1526"/>
      <c r="AD553" s="1526"/>
      <c r="AE553" s="1526"/>
      <c r="AF553" s="1526"/>
      <c r="AG553" s="1526"/>
      <c r="AH553" s="1526"/>
      <c r="AI553" s="1526"/>
      <c r="AJ553" s="1526"/>
      <c r="AK553" s="1526"/>
      <c r="AL553" s="1526"/>
      <c r="AM553" s="1526"/>
      <c r="AN553" s="1526"/>
      <c r="AO553" s="1526"/>
      <c r="AP553" s="1526"/>
      <c r="AQ553" s="1526"/>
      <c r="AR553" s="1526"/>
      <c r="AS553" s="1526"/>
      <c r="AT553" s="152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2052</v>
      </c>
      <c r="AC557" s="98"/>
      <c r="BB557" s="3"/>
      <c r="BC557" s="3"/>
      <c r="BD557" s="3"/>
      <c r="BE557" s="3"/>
      <c r="BF557" s="3"/>
      <c r="BG557" s="3"/>
      <c r="BH557" s="3"/>
      <c r="BI557" s="3"/>
    </row>
    <row r="558" spans="1:66" ht="12.95" customHeight="1">
      <c r="B558" s="510"/>
      <c r="BB558" s="3"/>
      <c r="BC558" s="3"/>
      <c r="BD558" s="3"/>
      <c r="BE558" s="3"/>
      <c r="BF558" s="3"/>
      <c r="BG558" s="3"/>
      <c r="BH558" s="3" t="s">
        <v>119</v>
      </c>
      <c r="BI558" s="3" t="str">
        <f>N665</f>
        <v>Yes</v>
      </c>
    </row>
    <row r="559" spans="1:66" ht="12.95" customHeight="1">
      <c r="B559" s="1950" t="s">
        <v>2054</v>
      </c>
      <c r="C559" s="1747"/>
      <c r="D559" s="1747"/>
      <c r="E559" s="1747"/>
      <c r="F559" s="1747"/>
      <c r="G559" s="1747"/>
      <c r="H559" s="1747"/>
      <c r="I559" s="1747"/>
      <c r="J559" s="1747"/>
      <c r="K559" s="1747"/>
      <c r="L559" s="1748"/>
      <c r="M559" s="1950" t="s">
        <v>2055</v>
      </c>
      <c r="N559" s="1747"/>
      <c r="O559" s="1747"/>
      <c r="P559" s="1748"/>
      <c r="Q559" s="1950" t="s">
        <v>2081</v>
      </c>
      <c r="R559" s="1747"/>
      <c r="S559" s="1748"/>
      <c r="T559" s="1950" t="s">
        <v>2082</v>
      </c>
      <c r="U559" s="1747"/>
      <c r="V559" s="1748"/>
      <c r="W559" s="1950" t="s">
        <v>452</v>
      </c>
      <c r="X559" s="1747"/>
      <c r="Y559" s="1748"/>
      <c r="Z559" s="1950" t="s">
        <v>1824</v>
      </c>
      <c r="AA559" s="1747"/>
      <c r="AB559" s="1747"/>
      <c r="AC559" s="1747"/>
      <c r="AD559" s="1748"/>
      <c r="AE559" s="1950" t="s">
        <v>1662</v>
      </c>
      <c r="AF559" s="1747"/>
      <c r="AG559" s="1747"/>
      <c r="AH559" s="1748"/>
      <c r="AI559" s="1950" t="s">
        <v>1663</v>
      </c>
      <c r="AJ559" s="1747"/>
      <c r="AK559" s="1747"/>
      <c r="AL559" s="1748"/>
      <c r="AM559" s="1950" t="s">
        <v>453</v>
      </c>
      <c r="AN559" s="1747"/>
      <c r="AO559" s="1747"/>
      <c r="AP559" s="1747"/>
      <c r="AQ559" s="1747"/>
      <c r="AR559" s="1747"/>
      <c r="AS559" s="1748"/>
      <c r="BB559" s="3"/>
      <c r="BC559" s="3"/>
      <c r="BD559" s="3"/>
      <c r="BE559" s="3"/>
      <c r="BF559" s="3"/>
      <c r="BG559" s="3"/>
      <c r="BH559" s="3" t="s">
        <v>580</v>
      </c>
      <c r="BI559" s="3" t="str">
        <f>AG665</f>
        <v>Yes</v>
      </c>
    </row>
    <row r="560" spans="1:66" ht="12.95" customHeight="1">
      <c r="B560" s="1951"/>
      <c r="C560" s="1749"/>
      <c r="D560" s="1749"/>
      <c r="E560" s="1749"/>
      <c r="F560" s="1749"/>
      <c r="G560" s="1749"/>
      <c r="H560" s="1749"/>
      <c r="I560" s="1749"/>
      <c r="J560" s="1749"/>
      <c r="K560" s="1749"/>
      <c r="L560" s="1750"/>
      <c r="M560" s="1951"/>
      <c r="N560" s="1749"/>
      <c r="O560" s="1749"/>
      <c r="P560" s="1750"/>
      <c r="Q560" s="1951"/>
      <c r="R560" s="1749"/>
      <c r="S560" s="1750"/>
      <c r="T560" s="1951"/>
      <c r="U560" s="1749"/>
      <c r="V560" s="1750"/>
      <c r="W560" s="1951"/>
      <c r="X560" s="1749"/>
      <c r="Y560" s="1750"/>
      <c r="Z560" s="1951"/>
      <c r="AA560" s="1749"/>
      <c r="AB560" s="1749"/>
      <c r="AC560" s="1749"/>
      <c r="AD560" s="1750"/>
      <c r="AE560" s="1951"/>
      <c r="AF560" s="1749"/>
      <c r="AG560" s="1749"/>
      <c r="AH560" s="1750"/>
      <c r="AI560" s="1951"/>
      <c r="AJ560" s="1749"/>
      <c r="AK560" s="1749"/>
      <c r="AL560" s="1750"/>
      <c r="AM560" s="1951"/>
      <c r="AN560" s="1749"/>
      <c r="AO560" s="1749"/>
      <c r="AP560" s="1749"/>
      <c r="AQ560" s="1749"/>
      <c r="AR560" s="1749"/>
      <c r="AS560" s="1750"/>
      <c r="AU560" s="1136"/>
      <c r="BB560" s="3"/>
      <c r="BC560" s="3"/>
      <c r="BD560" s="3"/>
      <c r="BE560" s="3"/>
      <c r="BF560" s="3"/>
      <c r="BG560" s="3"/>
      <c r="BH560" s="3"/>
      <c r="BI560" s="3"/>
    </row>
    <row r="561" spans="1:61" ht="12.95" customHeight="1">
      <c r="B561" s="1952"/>
      <c r="C561" s="1751"/>
      <c r="D561" s="1751"/>
      <c r="E561" s="1751"/>
      <c r="F561" s="1751"/>
      <c r="G561" s="1751"/>
      <c r="H561" s="1751"/>
      <c r="I561" s="1751"/>
      <c r="J561" s="1751"/>
      <c r="K561" s="1751"/>
      <c r="L561" s="1752"/>
      <c r="M561" s="1952"/>
      <c r="N561" s="1751"/>
      <c r="O561" s="1751"/>
      <c r="P561" s="1752"/>
      <c r="Q561" s="1952"/>
      <c r="R561" s="1751"/>
      <c r="S561" s="1752"/>
      <c r="T561" s="1952"/>
      <c r="U561" s="1751"/>
      <c r="V561" s="1752"/>
      <c r="W561" s="1952"/>
      <c r="X561" s="1751"/>
      <c r="Y561" s="1752"/>
      <c r="Z561" s="1952"/>
      <c r="AA561" s="1751"/>
      <c r="AB561" s="1751"/>
      <c r="AC561" s="1751"/>
      <c r="AD561" s="1752"/>
      <c r="AE561" s="1952"/>
      <c r="AF561" s="1751"/>
      <c r="AG561" s="1751"/>
      <c r="AH561" s="1752"/>
      <c r="AI561" s="1952"/>
      <c r="AJ561" s="1751"/>
      <c r="AK561" s="1751"/>
      <c r="AL561" s="1752"/>
      <c r="AM561" s="1952"/>
      <c r="AN561" s="1751"/>
      <c r="AO561" s="1751"/>
      <c r="AP561" s="1751"/>
      <c r="AQ561" s="1751"/>
      <c r="AR561" s="1751"/>
      <c r="AS561" s="1752"/>
      <c r="AU561" s="1136"/>
      <c r="BB561" s="3"/>
      <c r="BC561" s="3"/>
      <c r="BD561" s="3"/>
      <c r="BE561" s="3"/>
      <c r="BF561" s="3"/>
      <c r="BG561" s="3"/>
      <c r="BH561" s="3"/>
      <c r="BI561" s="3"/>
    </row>
    <row r="562" spans="1:61" ht="12.95" customHeight="1">
      <c r="B562" s="51" t="s">
        <v>112</v>
      </c>
      <c r="C562" s="1688" t="s">
        <v>2733</v>
      </c>
      <c r="D562" s="1688"/>
      <c r="E562" s="1688"/>
      <c r="F562" s="1688"/>
      <c r="G562" s="1688"/>
      <c r="H562" s="1688"/>
      <c r="I562" s="1688"/>
      <c r="J562" s="1688"/>
      <c r="K562" s="1688"/>
      <c r="L562" s="1688"/>
      <c r="M562" s="1688" t="s">
        <v>2071</v>
      </c>
      <c r="N562" s="1688"/>
      <c r="O562" s="1688"/>
      <c r="P562" s="1688"/>
      <c r="Q562" s="1778">
        <v>30</v>
      </c>
      <c r="R562" s="1778"/>
      <c r="S562" s="1779"/>
      <c r="T562" s="1777"/>
      <c r="U562" s="1778"/>
      <c r="V562" s="1779"/>
      <c r="W562" s="1689">
        <v>5.6000000000000001E-2</v>
      </c>
      <c r="X562" s="1690"/>
      <c r="Y562" s="1691"/>
      <c r="Z562" s="1957" t="s">
        <v>2742</v>
      </c>
      <c r="AA562" s="1957"/>
      <c r="AB562" s="1957"/>
      <c r="AC562" s="1957"/>
      <c r="AD562" s="1957"/>
      <c r="AE562" s="1692">
        <v>1</v>
      </c>
      <c r="AF562" s="1693"/>
      <c r="AG562" s="1693"/>
      <c r="AH562" s="1694"/>
      <c r="AI562" s="1724"/>
      <c r="AJ562" s="1725"/>
      <c r="AK562" s="1725"/>
      <c r="AL562" s="1726"/>
      <c r="AM562" s="1714">
        <v>15120000</v>
      </c>
      <c r="AN562" s="1715"/>
      <c r="AO562" s="1715"/>
      <c r="AP562" s="1715"/>
      <c r="AQ562" s="1715"/>
      <c r="AR562" s="1715"/>
      <c r="AS562" s="1716"/>
      <c r="AT562" s="1137"/>
      <c r="AU562" s="1136"/>
      <c r="BB562" s="3"/>
      <c r="BC562" s="3"/>
      <c r="BD562" s="3"/>
      <c r="BE562" s="3"/>
      <c r="BF562" s="3"/>
      <c r="BG562" s="3"/>
      <c r="BH562" s="3"/>
      <c r="BI562" s="3"/>
    </row>
    <row r="563" spans="1:61" ht="12.95" customHeight="1">
      <c r="B563" s="52" t="s">
        <v>113</v>
      </c>
      <c r="C563" s="1606" t="s">
        <v>2734</v>
      </c>
      <c r="D563" s="1606"/>
      <c r="E563" s="1606"/>
      <c r="F563" s="1606"/>
      <c r="G563" s="1606"/>
      <c r="H563" s="1606"/>
      <c r="I563" s="1606"/>
      <c r="J563" s="1606"/>
      <c r="K563" s="1606"/>
      <c r="L563" s="1606"/>
      <c r="M563" s="1688" t="s">
        <v>2070</v>
      </c>
      <c r="N563" s="1688"/>
      <c r="O563" s="1688"/>
      <c r="P563" s="1688"/>
      <c r="Q563" s="1777">
        <v>30</v>
      </c>
      <c r="R563" s="1778"/>
      <c r="S563" s="1779"/>
      <c r="T563" s="1777"/>
      <c r="U563" s="1778"/>
      <c r="V563" s="1779"/>
      <c r="W563" s="1689">
        <v>6.25E-2</v>
      </c>
      <c r="X563" s="1690"/>
      <c r="Y563" s="1691"/>
      <c r="Z563" s="1957" t="s">
        <v>2742</v>
      </c>
      <c r="AA563" s="1957"/>
      <c r="AB563" s="1957"/>
      <c r="AC563" s="1957"/>
      <c r="AD563" s="1957"/>
      <c r="AE563" s="1692">
        <v>2</v>
      </c>
      <c r="AF563" s="1693"/>
      <c r="AG563" s="1693"/>
      <c r="AH563" s="1694"/>
      <c r="AI563" s="1724"/>
      <c r="AJ563" s="1725"/>
      <c r="AK563" s="1725"/>
      <c r="AL563" s="1726"/>
      <c r="AM563" s="1714">
        <v>24177571</v>
      </c>
      <c r="AN563" s="1715"/>
      <c r="AO563" s="1715"/>
      <c r="AP563" s="1715"/>
      <c r="AQ563" s="1715"/>
      <c r="AR563" s="1715"/>
      <c r="AS563" s="1716"/>
      <c r="AT563" s="1137" t="str">
        <f>IF(AND(NOT(C562=""),C563="",NOT(C564="")),"!","")</f>
        <v/>
      </c>
      <c r="AU563" s="1136"/>
      <c r="BB563" s="3"/>
      <c r="BC563" s="3"/>
      <c r="BD563" s="3"/>
      <c r="BE563" s="3"/>
      <c r="BF563" s="3"/>
      <c r="BG563" s="3"/>
      <c r="BH563" s="3"/>
      <c r="BI563" s="3"/>
    </row>
    <row r="564" spans="1:61" ht="12.95" customHeight="1">
      <c r="B564" s="52" t="s">
        <v>119</v>
      </c>
      <c r="C564" s="1606" t="s">
        <v>2735</v>
      </c>
      <c r="D564" s="1606"/>
      <c r="E564" s="1606"/>
      <c r="F564" s="1606"/>
      <c r="G564" s="1606"/>
      <c r="H564" s="1606"/>
      <c r="I564" s="1606"/>
      <c r="J564" s="1606"/>
      <c r="K564" s="1606"/>
      <c r="L564" s="1606"/>
      <c r="M564" s="1688" t="s">
        <v>2062</v>
      </c>
      <c r="N564" s="1688"/>
      <c r="O564" s="1688"/>
      <c r="P564" s="1688"/>
      <c r="Q564" s="1777"/>
      <c r="R564" s="1778"/>
      <c r="S564" s="1779"/>
      <c r="T564" s="1777"/>
      <c r="U564" s="1778"/>
      <c r="V564" s="1779"/>
      <c r="W564" s="1689"/>
      <c r="X564" s="1690"/>
      <c r="Y564" s="1691"/>
      <c r="Z564" s="1957" t="s">
        <v>590</v>
      </c>
      <c r="AA564" s="1957"/>
      <c r="AB564" s="1957"/>
      <c r="AC564" s="1957"/>
      <c r="AD564" s="1957"/>
      <c r="AE564" s="1692"/>
      <c r="AF564" s="1693"/>
      <c r="AG564" s="1693"/>
      <c r="AH564" s="1694"/>
      <c r="AI564" s="1724"/>
      <c r="AJ564" s="1725"/>
      <c r="AK564" s="1725"/>
      <c r="AL564" s="1726"/>
      <c r="AM564" s="1714">
        <v>13309329</v>
      </c>
      <c r="AN564" s="1715"/>
      <c r="AO564" s="1715"/>
      <c r="AP564" s="1715"/>
      <c r="AQ564" s="1715"/>
      <c r="AR564" s="1715"/>
      <c r="AS564" s="1716"/>
      <c r="AT564" s="1137" t="str">
        <f>IF(AND(NOT(C563=""),C564="",NOT(C565="")),"!","")</f>
        <v/>
      </c>
      <c r="AU564" s="1136"/>
      <c r="BB564" s="3"/>
      <c r="BC564" s="3"/>
      <c r="BD564" s="3"/>
      <c r="BE564" s="3"/>
      <c r="BF564" s="3"/>
      <c r="BG564" s="3"/>
      <c r="BH564" s="3"/>
      <c r="BI564" s="3"/>
    </row>
    <row r="565" spans="1:61" ht="12.95" customHeight="1">
      <c r="B565" s="52" t="s">
        <v>580</v>
      </c>
      <c r="C565" s="1606" t="s">
        <v>2736</v>
      </c>
      <c r="D565" s="1606"/>
      <c r="E565" s="1606"/>
      <c r="F565" s="1606"/>
      <c r="G565" s="1606"/>
      <c r="H565" s="1606"/>
      <c r="I565" s="1606"/>
      <c r="J565" s="1606"/>
      <c r="K565" s="1606"/>
      <c r="L565" s="1606"/>
      <c r="M565" s="1688" t="s">
        <v>2073</v>
      </c>
      <c r="N565" s="1688"/>
      <c r="O565" s="1688"/>
      <c r="P565" s="1688"/>
      <c r="Q565" s="1777"/>
      <c r="R565" s="1778"/>
      <c r="S565" s="1779"/>
      <c r="T565" s="1777"/>
      <c r="U565" s="1778"/>
      <c r="V565" s="1779"/>
      <c r="W565" s="1689"/>
      <c r="X565" s="1690"/>
      <c r="Y565" s="1691"/>
      <c r="Z565" s="1957" t="s">
        <v>590</v>
      </c>
      <c r="AA565" s="1957"/>
      <c r="AB565" s="1957"/>
      <c r="AC565" s="1957"/>
      <c r="AD565" s="1957"/>
      <c r="AE565" s="1692"/>
      <c r="AF565" s="1693"/>
      <c r="AG565" s="1693"/>
      <c r="AH565" s="1694"/>
      <c r="AI565" s="1724"/>
      <c r="AJ565" s="1725"/>
      <c r="AK565" s="1725"/>
      <c r="AL565" s="1726"/>
      <c r="AM565" s="1714">
        <v>344396</v>
      </c>
      <c r="AN565" s="1715"/>
      <c r="AO565" s="1715"/>
      <c r="AP565" s="1715"/>
      <c r="AQ565" s="1715"/>
      <c r="AR565" s="1715"/>
      <c r="AS565" s="1716"/>
      <c r="AT565" s="1137" t="str">
        <f>IF(AND(NOT(C564=""),C565="",NOT(C566="")),"!","")</f>
        <v/>
      </c>
      <c r="AU565" s="1136"/>
      <c r="BB565" s="3"/>
      <c r="BC565" s="3"/>
      <c r="BD565" s="3"/>
      <c r="BE565" s="3"/>
      <c r="BF565" s="3"/>
      <c r="BG565" s="3"/>
      <c r="BH565" s="3"/>
      <c r="BI565" s="3"/>
    </row>
    <row r="566" spans="1:61" ht="12.95" customHeight="1">
      <c r="B566" s="52" t="s">
        <v>762</v>
      </c>
      <c r="C566" s="1606" t="s">
        <v>2737</v>
      </c>
      <c r="D566" s="1606"/>
      <c r="E566" s="1606"/>
      <c r="F566" s="1606"/>
      <c r="G566" s="1606"/>
      <c r="H566" s="1606"/>
      <c r="I566" s="1606"/>
      <c r="J566" s="1606"/>
      <c r="K566" s="1606"/>
      <c r="L566" s="1606"/>
      <c r="M566" s="1688" t="s">
        <v>2076</v>
      </c>
      <c r="N566" s="1688"/>
      <c r="O566" s="1688"/>
      <c r="P566" s="1688"/>
      <c r="Q566" s="1777"/>
      <c r="R566" s="1778"/>
      <c r="S566" s="1779"/>
      <c r="T566" s="1777"/>
      <c r="U566" s="1778"/>
      <c r="V566" s="1779"/>
      <c r="W566" s="1689"/>
      <c r="X566" s="1690"/>
      <c r="Y566" s="1691"/>
      <c r="Z566" s="1957" t="s">
        <v>590</v>
      </c>
      <c r="AA566" s="1957"/>
      <c r="AB566" s="1957"/>
      <c r="AC566" s="1957"/>
      <c r="AD566" s="1957"/>
      <c r="AE566" s="1692"/>
      <c r="AF566" s="1693"/>
      <c r="AG566" s="1693"/>
      <c r="AH566" s="1694"/>
      <c r="AI566" s="1724"/>
      <c r="AJ566" s="1725"/>
      <c r="AK566" s="1725"/>
      <c r="AL566" s="1726"/>
      <c r="AM566" s="1714">
        <v>489776</v>
      </c>
      <c r="AN566" s="1715"/>
      <c r="AO566" s="1715"/>
      <c r="AP566" s="1715"/>
      <c r="AQ566" s="1715"/>
      <c r="AR566" s="1715"/>
      <c r="AS566" s="1716"/>
      <c r="AT566" s="1137" t="str">
        <f t="shared" ref="AT566:AT573" si="2">IF(AND(NOT(C565=""),C566="",NOT(C567="")),"!","")</f>
        <v/>
      </c>
      <c r="AU566" s="1136"/>
      <c r="BB566" s="3"/>
      <c r="BC566" s="3"/>
      <c r="BD566" s="3"/>
      <c r="BE566" s="3"/>
      <c r="BF566" s="3"/>
      <c r="BG566" s="3"/>
      <c r="BH566" s="3" t="s">
        <v>762</v>
      </c>
      <c r="BI566" s="3">
        <f>N673</f>
        <v>0</v>
      </c>
    </row>
    <row r="567" spans="1:61" ht="12.95" customHeight="1">
      <c r="B567" s="52" t="s">
        <v>583</v>
      </c>
      <c r="C567" s="1606" t="s">
        <v>2257</v>
      </c>
      <c r="D567" s="1606"/>
      <c r="E567" s="1606"/>
      <c r="F567" s="1606"/>
      <c r="G567" s="1606"/>
      <c r="H567" s="1606"/>
      <c r="I567" s="1606"/>
      <c r="J567" s="1606"/>
      <c r="K567" s="1606"/>
      <c r="L567" s="1606"/>
      <c r="M567" s="1688" t="s">
        <v>2058</v>
      </c>
      <c r="N567" s="1688"/>
      <c r="O567" s="1688"/>
      <c r="P567" s="1688"/>
      <c r="Q567" s="1777"/>
      <c r="R567" s="1778"/>
      <c r="S567" s="1779"/>
      <c r="T567" s="1777"/>
      <c r="U567" s="1778"/>
      <c r="V567" s="1779"/>
      <c r="W567" s="1689"/>
      <c r="X567" s="1690"/>
      <c r="Y567" s="1691"/>
      <c r="Z567" s="1957" t="s">
        <v>590</v>
      </c>
      <c r="AA567" s="1957"/>
      <c r="AB567" s="1957"/>
      <c r="AC567" s="1957"/>
      <c r="AD567" s="1957"/>
      <c r="AE567" s="1692"/>
      <c r="AF567" s="1693"/>
      <c r="AG567" s="1693"/>
      <c r="AH567" s="1694"/>
      <c r="AI567" s="1724"/>
      <c r="AJ567" s="1725"/>
      <c r="AK567" s="1725"/>
      <c r="AL567" s="1726"/>
      <c r="AM567" s="1714">
        <v>4700000</v>
      </c>
      <c r="AN567" s="1715"/>
      <c r="AO567" s="1715"/>
      <c r="AP567" s="1715"/>
      <c r="AQ567" s="1715"/>
      <c r="AR567" s="1715"/>
      <c r="AS567" s="1716"/>
      <c r="AT567" s="1137" t="str">
        <f t="shared" si="2"/>
        <v/>
      </c>
      <c r="AU567" s="1136"/>
      <c r="BB567" s="3"/>
      <c r="BC567" s="3"/>
      <c r="BD567" s="3"/>
      <c r="BE567" s="3"/>
      <c r="BF567" s="3"/>
      <c r="BG567" s="3"/>
      <c r="BH567" s="3" t="s">
        <v>583</v>
      </c>
      <c r="BI567" s="3">
        <f>AG673</f>
        <v>0</v>
      </c>
    </row>
    <row r="568" spans="1:61" ht="12.95" customHeight="1">
      <c r="B568" s="52" t="s">
        <v>454</v>
      </c>
      <c r="C568" s="1606"/>
      <c r="D568" s="1606"/>
      <c r="E568" s="1606"/>
      <c r="F568" s="1606"/>
      <c r="G568" s="1606"/>
      <c r="H568" s="1606"/>
      <c r="I568" s="1606"/>
      <c r="J568" s="1606"/>
      <c r="K568" s="1606"/>
      <c r="L568" s="1606"/>
      <c r="M568" s="1688"/>
      <c r="N568" s="1688"/>
      <c r="O568" s="1688"/>
      <c r="P568" s="1688"/>
      <c r="Q568" s="1777"/>
      <c r="R568" s="1778"/>
      <c r="S568" s="1779"/>
      <c r="T568" s="1777"/>
      <c r="U568" s="1778"/>
      <c r="V568" s="1779"/>
      <c r="W568" s="1689"/>
      <c r="X568" s="1690"/>
      <c r="Y568" s="1691"/>
      <c r="Z568" s="1957" t="s">
        <v>590</v>
      </c>
      <c r="AA568" s="1957"/>
      <c r="AB568" s="1957"/>
      <c r="AC568" s="1957"/>
      <c r="AD568" s="1957"/>
      <c r="AE568" s="1692"/>
      <c r="AF568" s="1693"/>
      <c r="AG568" s="1693"/>
      <c r="AH568" s="1694"/>
      <c r="AI568" s="1724"/>
      <c r="AJ568" s="1725"/>
      <c r="AK568" s="1725"/>
      <c r="AL568" s="1726"/>
      <c r="AM568" s="1714"/>
      <c r="AN568" s="1715"/>
      <c r="AO568" s="1715"/>
      <c r="AP568" s="1715"/>
      <c r="AQ568" s="1715"/>
      <c r="AR568" s="1715"/>
      <c r="AS568" s="1716"/>
      <c r="AT568" s="1137" t="str">
        <f t="shared" si="2"/>
        <v/>
      </c>
      <c r="AU568" s="1136"/>
      <c r="BB568" s="3"/>
      <c r="BC568" s="3"/>
      <c r="BD568" s="3"/>
      <c r="BE568" s="3"/>
      <c r="BF568" s="3"/>
      <c r="BG568" s="3"/>
      <c r="BH568" s="3"/>
      <c r="BI568" s="3"/>
    </row>
    <row r="569" spans="1:61" ht="12.95" customHeight="1">
      <c r="B569" s="52" t="s">
        <v>455</v>
      </c>
      <c r="C569" s="1606"/>
      <c r="D569" s="1606"/>
      <c r="E569" s="1606"/>
      <c r="F569" s="1606"/>
      <c r="G569" s="1606"/>
      <c r="H569" s="1606"/>
      <c r="I569" s="1606"/>
      <c r="J569" s="1606"/>
      <c r="K569" s="1606"/>
      <c r="L569" s="1606"/>
      <c r="M569" s="1688" t="s">
        <v>1181</v>
      </c>
      <c r="N569" s="1688"/>
      <c r="O569" s="1688"/>
      <c r="P569" s="1688"/>
      <c r="Q569" s="1777"/>
      <c r="R569" s="1778"/>
      <c r="S569" s="1779"/>
      <c r="T569" s="1777"/>
      <c r="U569" s="1778"/>
      <c r="V569" s="1779"/>
      <c r="W569" s="1689"/>
      <c r="X569" s="1690"/>
      <c r="Y569" s="1691"/>
      <c r="Z569" s="1957" t="s">
        <v>1181</v>
      </c>
      <c r="AA569" s="1957"/>
      <c r="AB569" s="1957"/>
      <c r="AC569" s="1957"/>
      <c r="AD569" s="1957"/>
      <c r="AE569" s="1692"/>
      <c r="AF569" s="1693"/>
      <c r="AG569" s="1693"/>
      <c r="AH569" s="1694"/>
      <c r="AI569" s="1724"/>
      <c r="AJ569" s="1725"/>
      <c r="AK569" s="1725"/>
      <c r="AL569" s="1726"/>
      <c r="AM569" s="1714"/>
      <c r="AN569" s="1715"/>
      <c r="AO569" s="1715"/>
      <c r="AP569" s="1715"/>
      <c r="AQ569" s="1715"/>
      <c r="AR569" s="1715"/>
      <c r="AS569" s="1716"/>
      <c r="AT569" s="1137" t="str">
        <f t="shared" si="2"/>
        <v/>
      </c>
      <c r="AU569" s="1136"/>
      <c r="BB569" s="3"/>
      <c r="BC569" s="3"/>
      <c r="BD569" s="3"/>
      <c r="BE569" s="3"/>
      <c r="BF569" s="3"/>
      <c r="BG569" s="3"/>
      <c r="BH569" s="3"/>
      <c r="BI569" s="3"/>
    </row>
    <row r="570" spans="1:61" ht="12.95" customHeight="1">
      <c r="B570" s="52" t="s">
        <v>460</v>
      </c>
      <c r="C570" s="1606"/>
      <c r="D570" s="1606"/>
      <c r="E570" s="1606"/>
      <c r="F570" s="1606"/>
      <c r="G570" s="1606"/>
      <c r="H570" s="1606"/>
      <c r="I570" s="1606"/>
      <c r="J570" s="1606"/>
      <c r="K570" s="1606"/>
      <c r="L570" s="1606"/>
      <c r="M570" s="1688" t="s">
        <v>1181</v>
      </c>
      <c r="N570" s="1688"/>
      <c r="O570" s="1688"/>
      <c r="P570" s="1688"/>
      <c r="Q570" s="1777"/>
      <c r="R570" s="1778"/>
      <c r="S570" s="1779"/>
      <c r="T570" s="1777"/>
      <c r="U570" s="1778"/>
      <c r="V570" s="1779"/>
      <c r="W570" s="1689"/>
      <c r="X570" s="1690"/>
      <c r="Y570" s="1691"/>
      <c r="Z570" s="1957" t="s">
        <v>1181</v>
      </c>
      <c r="AA570" s="1957"/>
      <c r="AB570" s="1957"/>
      <c r="AC570" s="1957"/>
      <c r="AD570" s="1957"/>
      <c r="AE570" s="1692"/>
      <c r="AF570" s="1693"/>
      <c r="AG570" s="1693"/>
      <c r="AH570" s="1694"/>
      <c r="AI570" s="1724"/>
      <c r="AJ570" s="1725"/>
      <c r="AK570" s="1725"/>
      <c r="AL570" s="1726"/>
      <c r="AM570" s="1714"/>
      <c r="AN570" s="1715"/>
      <c r="AO570" s="1715"/>
      <c r="AP570" s="1715"/>
      <c r="AQ570" s="1715"/>
      <c r="AR570" s="1715"/>
      <c r="AS570" s="1716"/>
      <c r="AT570" s="1137" t="str">
        <f t="shared" si="2"/>
        <v/>
      </c>
      <c r="AU570" s="1136"/>
      <c r="BB570" s="3"/>
      <c r="BC570" s="3"/>
      <c r="BD570" s="3"/>
      <c r="BE570" s="3"/>
      <c r="BF570" s="3"/>
      <c r="BG570" s="3"/>
      <c r="BH570" s="3"/>
      <c r="BI570" s="3"/>
    </row>
    <row r="571" spans="1:61" ht="12.95" customHeight="1">
      <c r="B571" s="52" t="s">
        <v>645</v>
      </c>
      <c r="C571" s="1606"/>
      <c r="D571" s="1606"/>
      <c r="E571" s="1606"/>
      <c r="F571" s="1606"/>
      <c r="G571" s="1606"/>
      <c r="H571" s="1606"/>
      <c r="I571" s="1606"/>
      <c r="J571" s="1606"/>
      <c r="K571" s="1606"/>
      <c r="L571" s="1606"/>
      <c r="M571" s="1688" t="s">
        <v>1181</v>
      </c>
      <c r="N571" s="1688"/>
      <c r="O571" s="1688"/>
      <c r="P571" s="1688"/>
      <c r="Q571" s="1777"/>
      <c r="R571" s="1778"/>
      <c r="S571" s="1779"/>
      <c r="T571" s="1777"/>
      <c r="U571" s="1778"/>
      <c r="V571" s="1779"/>
      <c r="W571" s="1689"/>
      <c r="X571" s="1690"/>
      <c r="Y571" s="1691"/>
      <c r="Z571" s="1957" t="s">
        <v>1181</v>
      </c>
      <c r="AA571" s="1957"/>
      <c r="AB571" s="1957"/>
      <c r="AC571" s="1957"/>
      <c r="AD571" s="1957"/>
      <c r="AE571" s="1692"/>
      <c r="AF571" s="1693"/>
      <c r="AG571" s="1693"/>
      <c r="AH571" s="1694"/>
      <c r="AI571" s="1724"/>
      <c r="AJ571" s="1725"/>
      <c r="AK571" s="1725"/>
      <c r="AL571" s="1726"/>
      <c r="AM571" s="1714"/>
      <c r="AN571" s="1715"/>
      <c r="AO571" s="1715"/>
      <c r="AP571" s="1715"/>
      <c r="AQ571" s="1715"/>
      <c r="AR571" s="1715"/>
      <c r="AS571" s="1716"/>
      <c r="AT571" s="1137" t="str">
        <f t="shared" si="2"/>
        <v/>
      </c>
      <c r="BB571" s="3"/>
      <c r="BC571" s="3"/>
      <c r="BD571" s="3"/>
      <c r="BE571" s="3"/>
      <c r="BF571" s="3"/>
      <c r="BG571" s="3"/>
      <c r="BH571" s="3"/>
      <c r="BI571" s="3"/>
    </row>
    <row r="572" spans="1:61" ht="12.95" customHeight="1">
      <c r="B572" s="52" t="s">
        <v>361</v>
      </c>
      <c r="C572" s="1606"/>
      <c r="D572" s="1606"/>
      <c r="E572" s="1606"/>
      <c r="F572" s="1606"/>
      <c r="G572" s="1606"/>
      <c r="H572" s="1606"/>
      <c r="I572" s="1606"/>
      <c r="J572" s="1606"/>
      <c r="K572" s="1606"/>
      <c r="L572" s="1606"/>
      <c r="M572" s="1688" t="s">
        <v>1181</v>
      </c>
      <c r="N572" s="1688"/>
      <c r="O572" s="1688"/>
      <c r="P572" s="1688"/>
      <c r="Q572" s="1777"/>
      <c r="R572" s="1778"/>
      <c r="S572" s="1779"/>
      <c r="T572" s="1777"/>
      <c r="U572" s="1778"/>
      <c r="V572" s="1779"/>
      <c r="W572" s="1689"/>
      <c r="X572" s="1690"/>
      <c r="Y572" s="1691"/>
      <c r="Z572" s="1957" t="s">
        <v>1181</v>
      </c>
      <c r="AA572" s="1957"/>
      <c r="AB572" s="1957"/>
      <c r="AC572" s="1957"/>
      <c r="AD572" s="1957"/>
      <c r="AE572" s="1692"/>
      <c r="AF572" s="1693"/>
      <c r="AG572" s="1693"/>
      <c r="AH572" s="1694"/>
      <c r="AI572" s="1724"/>
      <c r="AJ572" s="1725"/>
      <c r="AK572" s="1725"/>
      <c r="AL572" s="1726"/>
      <c r="AM572" s="1714"/>
      <c r="AN572" s="1715"/>
      <c r="AO572" s="1715"/>
      <c r="AP572" s="1715"/>
      <c r="AQ572" s="1715"/>
      <c r="AR572" s="1715"/>
      <c r="AS572" s="1716"/>
      <c r="AT572" s="1137" t="str">
        <f t="shared" si="2"/>
        <v/>
      </c>
      <c r="BB572" s="3"/>
      <c r="BC572" s="3"/>
      <c r="BD572" s="3"/>
      <c r="BE572" s="3"/>
      <c r="BF572" s="3"/>
      <c r="BG572" s="3"/>
      <c r="BH572" s="3"/>
      <c r="BI572" s="3"/>
    </row>
    <row r="573" spans="1:61" ht="12.95" customHeight="1">
      <c r="B573" s="52" t="s">
        <v>362</v>
      </c>
      <c r="C573" s="1606"/>
      <c r="D573" s="1606"/>
      <c r="E573" s="1606"/>
      <c r="F573" s="1606"/>
      <c r="G573" s="1606"/>
      <c r="H573" s="1606"/>
      <c r="I573" s="1606"/>
      <c r="J573" s="1606"/>
      <c r="K573" s="1606"/>
      <c r="L573" s="1606"/>
      <c r="M573" s="1688" t="s">
        <v>1181</v>
      </c>
      <c r="N573" s="1688"/>
      <c r="O573" s="1688"/>
      <c r="P573" s="1688"/>
      <c r="Q573" s="1777"/>
      <c r="R573" s="1778"/>
      <c r="S573" s="1779"/>
      <c r="T573" s="1777"/>
      <c r="U573" s="1778"/>
      <c r="V573" s="1779"/>
      <c r="W573" s="1689"/>
      <c r="X573" s="1690"/>
      <c r="Y573" s="1691"/>
      <c r="Z573" s="1957" t="s">
        <v>1181</v>
      </c>
      <c r="AA573" s="1957"/>
      <c r="AB573" s="1957"/>
      <c r="AC573" s="1957"/>
      <c r="AD573" s="1957"/>
      <c r="AE573" s="1692"/>
      <c r="AF573" s="1693"/>
      <c r="AG573" s="1693"/>
      <c r="AH573" s="1694"/>
      <c r="AI573" s="1724"/>
      <c r="AJ573" s="1725"/>
      <c r="AK573" s="1725"/>
      <c r="AL573" s="1726"/>
      <c r="AM573" s="1714"/>
      <c r="AN573" s="1715"/>
      <c r="AO573" s="1715"/>
      <c r="AP573" s="1715"/>
      <c r="AQ573" s="1715"/>
      <c r="AR573" s="1715"/>
      <c r="AS573" s="1716"/>
      <c r="AT573" s="1137" t="str">
        <f t="shared" si="2"/>
        <v/>
      </c>
      <c r="BB573" s="3"/>
      <c r="BC573" s="3"/>
      <c r="BD573" s="3"/>
      <c r="BE573" s="3"/>
      <c r="BF573" s="3"/>
      <c r="BG573" s="3"/>
      <c r="BH573" s="3"/>
      <c r="BI573" s="3"/>
    </row>
    <row r="574" spans="1:61" ht="12.95" customHeight="1">
      <c r="B574" s="1774" t="s">
        <v>127</v>
      </c>
      <c r="C574" s="1775"/>
      <c r="D574" s="1775"/>
      <c r="E574" s="1775"/>
      <c r="F574" s="1775"/>
      <c r="G574" s="1775"/>
      <c r="H574" s="1775"/>
      <c r="I574" s="1775"/>
      <c r="J574" s="1775"/>
      <c r="K574" s="1775"/>
      <c r="L574" s="1775"/>
      <c r="M574" s="1775"/>
      <c r="N574" s="1775"/>
      <c r="O574" s="1775"/>
      <c r="P574" s="1775"/>
      <c r="Q574" s="1775"/>
      <c r="R574" s="1775"/>
      <c r="S574" s="1775"/>
      <c r="T574" s="1775"/>
      <c r="U574" s="1954"/>
      <c r="V574" s="1775"/>
      <c r="W574" s="1775"/>
      <c r="X574" s="1775"/>
      <c r="Y574" s="1775"/>
      <c r="Z574" s="1775"/>
      <c r="AA574" s="1775"/>
      <c r="AB574" s="1775"/>
      <c r="AC574" s="1775"/>
      <c r="AD574" s="1775"/>
      <c r="AE574" s="1775"/>
      <c r="AF574" s="1775"/>
      <c r="AG574" s="1775"/>
      <c r="AH574" s="1775"/>
      <c r="AI574" s="1775"/>
      <c r="AJ574" s="1775"/>
      <c r="AK574" s="1775"/>
      <c r="AL574" s="1776"/>
      <c r="AM574" s="1770">
        <f>SUM(AM562:AS573)</f>
        <v>58141072</v>
      </c>
      <c r="AN574" s="1771"/>
      <c r="AO574" s="1771"/>
      <c r="AP574" s="1771"/>
      <c r="AQ574" s="1771"/>
      <c r="AR574" s="1771"/>
      <c r="AS574" s="1772"/>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695" t="str">
        <f>C562</f>
        <v>Citi Bank Tax-Exempt</v>
      </c>
      <c r="H576" s="1695"/>
      <c r="I576" s="1695"/>
      <c r="J576" s="1695"/>
      <c r="K576" s="1695"/>
      <c r="L576" s="1695"/>
      <c r="M576" s="1695"/>
      <c r="N576" s="1695"/>
      <c r="O576" s="1695"/>
      <c r="P576" s="1695"/>
      <c r="Q576" s="1695"/>
      <c r="R576" s="1695"/>
      <c r="S576" s="8"/>
      <c r="T576" s="55" t="s">
        <v>113</v>
      </c>
      <c r="U576" t="s">
        <v>462</v>
      </c>
      <c r="Z576" s="1695" t="str">
        <f>C563</f>
        <v>Citi Bank Taxable</v>
      </c>
      <c r="AA576" s="1695"/>
      <c r="AB576" s="1695"/>
      <c r="AC576" s="1695"/>
      <c r="AD576" s="1695"/>
      <c r="AE576" s="1695"/>
      <c r="AF576" s="1695"/>
      <c r="AG576" s="1695"/>
      <c r="AH576" s="1695"/>
      <c r="AI576" s="1695"/>
      <c r="AJ576" s="1695"/>
      <c r="AK576" s="1695"/>
      <c r="BB576" s="3"/>
      <c r="BC576" s="3"/>
      <c r="BD576" s="3"/>
      <c r="BE576" s="3"/>
      <c r="BF576" s="3"/>
      <c r="BG576" s="3"/>
      <c r="BH576" s="3"/>
      <c r="BI576" s="3"/>
    </row>
    <row r="577" spans="1:61" ht="12.95" customHeight="1">
      <c r="A577" s="22"/>
      <c r="B577" t="s">
        <v>85</v>
      </c>
      <c r="G577" s="1697" t="s">
        <v>2738</v>
      </c>
      <c r="H577" s="1697"/>
      <c r="I577" s="1697"/>
      <c r="J577" s="1697"/>
      <c r="K577" s="1697"/>
      <c r="L577" s="1697"/>
      <c r="M577" s="1697"/>
      <c r="N577" s="1697"/>
      <c r="O577" s="1697"/>
      <c r="P577" s="1697"/>
      <c r="Q577" s="1697"/>
      <c r="R577" s="1697"/>
      <c r="S577" s="8"/>
      <c r="T577" s="22"/>
      <c r="U577" t="s">
        <v>85</v>
      </c>
      <c r="Z577" s="1697" t="s">
        <v>2738</v>
      </c>
      <c r="AA577" s="1697"/>
      <c r="AB577" s="1697"/>
      <c r="AC577" s="1697"/>
      <c r="AD577" s="1697"/>
      <c r="AE577" s="1697"/>
      <c r="AF577" s="1697"/>
      <c r="AG577" s="1697"/>
      <c r="AH577" s="1697"/>
      <c r="AI577" s="1697"/>
      <c r="AJ577" s="1697"/>
      <c r="AK577" s="1697"/>
      <c r="BB577" s="3"/>
      <c r="BC577" s="3"/>
      <c r="BD577" s="3"/>
      <c r="BE577" s="3"/>
      <c r="BF577" s="3"/>
      <c r="BG577" s="3"/>
      <c r="BH577" s="3"/>
      <c r="BI577" s="3"/>
    </row>
    <row r="578" spans="1:61" ht="12.95" customHeight="1">
      <c r="A578" s="22"/>
      <c r="B578" t="s">
        <v>579</v>
      </c>
      <c r="G578" s="1697" t="s">
        <v>2673</v>
      </c>
      <c r="H578" s="1697"/>
      <c r="I578" s="1697"/>
      <c r="J578" s="1697"/>
      <c r="K578" s="1697"/>
      <c r="L578" s="1697"/>
      <c r="M578" s="1697"/>
      <c r="N578" s="1697"/>
      <c r="O578" s="1697"/>
      <c r="P578" s="1697"/>
      <c r="Q578" s="1697"/>
      <c r="R578" s="1697"/>
      <c r="T578" s="22"/>
      <c r="U578" t="s">
        <v>579</v>
      </c>
      <c r="Z578" s="1696" t="s">
        <v>2673</v>
      </c>
      <c r="AA578" s="1696"/>
      <c r="AB578" s="1696"/>
      <c r="AC578" s="1696"/>
      <c r="AD578" s="1696"/>
      <c r="AE578" s="1696"/>
      <c r="AF578" s="1696"/>
      <c r="AG578" s="1696"/>
      <c r="AH578" s="1696"/>
      <c r="AI578" s="1696"/>
      <c r="AJ578" s="1696"/>
      <c r="AK578" s="1696"/>
      <c r="BB578" s="3"/>
      <c r="BC578" s="3"/>
      <c r="BD578" s="3"/>
      <c r="BE578" s="3"/>
      <c r="BF578" s="3"/>
      <c r="BG578" s="3"/>
      <c r="BH578" s="3"/>
      <c r="BI578" s="3"/>
    </row>
    <row r="579" spans="1:61" ht="12.95" customHeight="1">
      <c r="A579" s="22"/>
      <c r="B579" t="s">
        <v>17</v>
      </c>
      <c r="G579" s="1697" t="s">
        <v>2739</v>
      </c>
      <c r="H579" s="1697"/>
      <c r="I579" s="1697"/>
      <c r="J579" s="1697"/>
      <c r="K579" s="1697"/>
      <c r="L579" s="1697"/>
      <c r="M579" s="1697"/>
      <c r="N579" s="1697"/>
      <c r="O579" s="1697"/>
      <c r="P579" s="1697"/>
      <c r="Q579" s="1697"/>
      <c r="R579" s="1697"/>
      <c r="S579" s="8"/>
      <c r="T579" s="22"/>
      <c r="U579" t="s">
        <v>17</v>
      </c>
      <c r="Z579" s="1696" t="s">
        <v>2739</v>
      </c>
      <c r="AA579" s="1696"/>
      <c r="AB579" s="1696"/>
      <c r="AC579" s="1696"/>
      <c r="AD579" s="1696"/>
      <c r="AE579" s="1696"/>
      <c r="AF579" s="1696"/>
      <c r="AG579" s="1696"/>
      <c r="AH579" s="1696"/>
      <c r="AI579" s="1696"/>
      <c r="AJ579" s="1696"/>
      <c r="AK579" s="1696"/>
      <c r="BB579" s="3"/>
      <c r="BC579" s="3"/>
      <c r="BD579" s="3"/>
      <c r="BE579" s="3"/>
      <c r="BF579" s="3"/>
      <c r="BG579" s="3"/>
      <c r="BH579" s="3"/>
      <c r="BI579" s="3"/>
    </row>
    <row r="580" spans="1:61" ht="12.95" customHeight="1">
      <c r="A580" s="22"/>
      <c r="B580" t="s">
        <v>315</v>
      </c>
      <c r="G580" s="1699" t="s">
        <v>2740</v>
      </c>
      <c r="H580" s="1699"/>
      <c r="I580" s="1699"/>
      <c r="J580" s="1699"/>
      <c r="K580" s="1699"/>
      <c r="L580" s="1699"/>
      <c r="O580" s="33" t="s">
        <v>205</v>
      </c>
      <c r="P580" s="1753"/>
      <c r="Q580" s="1753"/>
      <c r="R580" s="1753"/>
      <c r="S580" s="10"/>
      <c r="T580" s="22"/>
      <c r="U580" t="s">
        <v>315</v>
      </c>
      <c r="Z580" s="1699" t="s">
        <v>2740</v>
      </c>
      <c r="AA580" s="1699"/>
      <c r="AB580" s="1699"/>
      <c r="AC580" s="1699"/>
      <c r="AD580" s="1699"/>
      <c r="AE580" s="1699"/>
      <c r="AH580" s="33" t="s">
        <v>205</v>
      </c>
      <c r="AI580" s="1753"/>
      <c r="AJ580" s="1753"/>
      <c r="AK580" s="1753"/>
      <c r="BB580" s="3"/>
      <c r="BC580" s="3"/>
      <c r="BD580" s="3"/>
      <c r="BE580" s="3"/>
      <c r="BF580" s="3"/>
      <c r="BG580" s="3"/>
      <c r="BH580" s="3"/>
      <c r="BI580" s="3"/>
    </row>
    <row r="581" spans="1:61" ht="12.95" customHeight="1">
      <c r="A581" s="22"/>
      <c r="B581" t="s">
        <v>18</v>
      </c>
      <c r="H581" s="1703" t="s">
        <v>2741</v>
      </c>
      <c r="I581" s="1697"/>
      <c r="J581" s="1697"/>
      <c r="K581" s="1697"/>
      <c r="L581" s="1697"/>
      <c r="M581" s="1697"/>
      <c r="N581" s="1697"/>
      <c r="O581" s="1697"/>
      <c r="P581" s="1697"/>
      <c r="Q581" s="1697"/>
      <c r="R581" s="1697"/>
      <c r="S581" s="8"/>
      <c r="T581" s="22"/>
      <c r="U581" t="s">
        <v>18</v>
      </c>
      <c r="AA581" s="1703" t="s">
        <v>2743</v>
      </c>
      <c r="AB581" s="1697"/>
      <c r="AC581" s="1697"/>
      <c r="AD581" s="1697"/>
      <c r="AE581" s="1697"/>
      <c r="AF581" s="1697"/>
      <c r="AG581" s="1697"/>
      <c r="AH581" s="1697"/>
      <c r="AI581" s="1697"/>
      <c r="AJ581" s="1697"/>
      <c r="AK581" s="1697"/>
      <c r="BB581" s="3"/>
      <c r="BC581" s="3"/>
      <c r="BD581" s="3"/>
      <c r="BE581" s="3"/>
      <c r="BF581" s="3"/>
      <c r="BG581" s="3"/>
      <c r="BH581" s="3"/>
      <c r="BI581" s="3"/>
    </row>
    <row r="582" spans="1:61" ht="12.95" customHeight="1">
      <c r="A582" s="22"/>
      <c r="B582" s="318" t="s">
        <v>1182</v>
      </c>
      <c r="H582" s="8"/>
      <c r="I582" s="8"/>
      <c r="J582" s="8"/>
      <c r="K582" s="8"/>
      <c r="L582" s="8"/>
      <c r="M582" s="1732" t="s">
        <v>2742</v>
      </c>
      <c r="N582" s="1733"/>
      <c r="O582" s="1733"/>
      <c r="P582" s="1733"/>
      <c r="Q582" s="1733"/>
      <c r="R582" s="1733"/>
      <c r="S582" s="8"/>
      <c r="T582" s="22"/>
      <c r="U582" s="318" t="s">
        <v>1182</v>
      </c>
      <c r="AA582" s="8"/>
      <c r="AB582" s="8"/>
      <c r="AC582" s="8"/>
      <c r="AD582" s="8"/>
      <c r="AE582" s="8"/>
      <c r="AF582" s="1732" t="s">
        <v>2742</v>
      </c>
      <c r="AG582" s="1733"/>
      <c r="AH582" s="1733"/>
      <c r="AI582" s="1733"/>
      <c r="AJ582" s="1733"/>
      <c r="AK582" s="1733"/>
      <c r="BB582" s="3"/>
      <c r="BC582" s="3"/>
      <c r="BD582" s="3"/>
      <c r="BE582" s="3"/>
      <c r="BF582" s="3"/>
      <c r="BG582" s="3"/>
      <c r="BH582" s="3"/>
      <c r="BI582" s="3"/>
    </row>
    <row r="583" spans="1:61" ht="12.95" customHeight="1">
      <c r="A583" s="22"/>
      <c r="B583" t="s">
        <v>20</v>
      </c>
      <c r="N583" s="1599" t="s">
        <v>544</v>
      </c>
      <c r="O583" s="1599"/>
      <c r="T583" s="22"/>
      <c r="U583" t="s">
        <v>20</v>
      </c>
      <c r="AG583" s="1599" t="s">
        <v>544</v>
      </c>
      <c r="AH583" s="159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695" t="str">
        <f>C564</f>
        <v>Raymond James - Tax Credit</v>
      </c>
      <c r="H585" s="1695"/>
      <c r="I585" s="1695"/>
      <c r="J585" s="1695"/>
      <c r="K585" s="1695"/>
      <c r="L585" s="1695"/>
      <c r="M585" s="1695"/>
      <c r="N585" s="1695"/>
      <c r="O585" s="1695"/>
      <c r="P585" s="1695"/>
      <c r="Q585" s="1695"/>
      <c r="R585" s="1695"/>
      <c r="T585" s="55" t="s">
        <v>580</v>
      </c>
      <c r="U585" t="s">
        <v>462</v>
      </c>
      <c r="Z585" s="1695" t="str">
        <f>C565</f>
        <v>NOI During Construction</v>
      </c>
      <c r="AA585" s="1695"/>
      <c r="AB585" s="1695"/>
      <c r="AC585" s="1695"/>
      <c r="AD585" s="1695"/>
      <c r="AE585" s="1695"/>
      <c r="AF585" s="1695"/>
      <c r="AG585" s="1695"/>
      <c r="AH585" s="1695"/>
      <c r="AI585" s="1695"/>
      <c r="AJ585" s="1695"/>
      <c r="AK585" s="1695"/>
      <c r="BB585" s="3"/>
      <c r="BC585" s="3"/>
    </row>
    <row r="586" spans="1:61" ht="12.95" customHeight="1">
      <c r="A586" s="22"/>
      <c r="B586" t="s">
        <v>85</v>
      </c>
      <c r="G586" s="1697" t="s">
        <v>2744</v>
      </c>
      <c r="H586" s="1697"/>
      <c r="I586" s="1697"/>
      <c r="J586" s="1697"/>
      <c r="K586" s="1697"/>
      <c r="L586" s="1697"/>
      <c r="M586" s="1697"/>
      <c r="N586" s="1697"/>
      <c r="O586" s="1697"/>
      <c r="P586" s="1697"/>
      <c r="Q586" s="1697"/>
      <c r="R586" s="1697"/>
      <c r="T586" s="22"/>
      <c r="U586" t="s">
        <v>85</v>
      </c>
      <c r="Z586" s="1697" t="s">
        <v>2662</v>
      </c>
      <c r="AA586" s="1697"/>
      <c r="AB586" s="1697"/>
      <c r="AC586" s="1697"/>
      <c r="AD586" s="1697"/>
      <c r="AE586" s="1697"/>
      <c r="AF586" s="1697"/>
      <c r="AG586" s="1697"/>
      <c r="AH586" s="1697"/>
      <c r="AI586" s="1697"/>
      <c r="AJ586" s="1697"/>
      <c r="AK586" s="1697"/>
      <c r="BB586" s="3"/>
      <c r="BC586" s="3"/>
    </row>
    <row r="587" spans="1:61" ht="12.95" customHeight="1">
      <c r="A587" s="22"/>
      <c r="B587" t="s">
        <v>579</v>
      </c>
      <c r="G587" s="1696" t="s">
        <v>2696</v>
      </c>
      <c r="H587" s="1696"/>
      <c r="I587" s="1696"/>
      <c r="J587" s="1696"/>
      <c r="K587" s="1696"/>
      <c r="L587" s="1696"/>
      <c r="M587" s="1696"/>
      <c r="N587" s="1696"/>
      <c r="O587" s="1696"/>
      <c r="P587" s="1696"/>
      <c r="Q587" s="1696"/>
      <c r="R587" s="1696"/>
      <c r="T587" s="22"/>
      <c r="U587" t="s">
        <v>579</v>
      </c>
      <c r="Z587" s="1696" t="s">
        <v>2663</v>
      </c>
      <c r="AA587" s="1696"/>
      <c r="AB587" s="1696"/>
      <c r="AC587" s="1696"/>
      <c r="AD587" s="1696"/>
      <c r="AE587" s="1696"/>
      <c r="AF587" s="1696"/>
      <c r="AG587" s="1696"/>
      <c r="AH587" s="1696"/>
      <c r="AI587" s="1696"/>
      <c r="AJ587" s="1696"/>
      <c r="AK587" s="1696"/>
      <c r="BB587" s="3"/>
      <c r="BC587" s="3"/>
    </row>
    <row r="588" spans="1:61" ht="12.95" customHeight="1">
      <c r="A588" s="22"/>
      <c r="B588" t="s">
        <v>17</v>
      </c>
      <c r="G588" s="1696" t="s">
        <v>2697</v>
      </c>
      <c r="H588" s="1696"/>
      <c r="I588" s="1696"/>
      <c r="J588" s="1696"/>
      <c r="K588" s="1696"/>
      <c r="L588" s="1696"/>
      <c r="M588" s="1696"/>
      <c r="N588" s="1696"/>
      <c r="O588" s="1696"/>
      <c r="P588" s="1696"/>
      <c r="Q588" s="1696"/>
      <c r="R588" s="1696"/>
      <c r="T588" s="22"/>
      <c r="U588" t="s">
        <v>17</v>
      </c>
      <c r="Z588" s="1696" t="s">
        <v>2747</v>
      </c>
      <c r="AA588" s="1696"/>
      <c r="AB588" s="1696"/>
      <c r="AC588" s="1696"/>
      <c r="AD588" s="1696"/>
      <c r="AE588" s="1696"/>
      <c r="AF588" s="1696"/>
      <c r="AG588" s="1696"/>
      <c r="AH588" s="1696"/>
      <c r="AI588" s="1696"/>
      <c r="AJ588" s="1696"/>
      <c r="AK588" s="1696"/>
      <c r="BB588" s="3"/>
      <c r="BC588" s="3"/>
    </row>
    <row r="589" spans="1:61" ht="12.95" customHeight="1">
      <c r="A589" s="22"/>
      <c r="B589" t="s">
        <v>315</v>
      </c>
      <c r="G589" s="1698" t="s">
        <v>2745</v>
      </c>
      <c r="H589" s="1699"/>
      <c r="I589" s="1699"/>
      <c r="J589" s="1699"/>
      <c r="K589" s="1699"/>
      <c r="L589" s="1699"/>
      <c r="O589" s="33" t="s">
        <v>205</v>
      </c>
      <c r="P589" s="1753"/>
      <c r="Q589" s="1753"/>
      <c r="R589" s="1753"/>
      <c r="T589" s="22"/>
      <c r="U589" t="s">
        <v>315</v>
      </c>
      <c r="Z589" s="1698" t="s">
        <v>2647</v>
      </c>
      <c r="AA589" s="1699"/>
      <c r="AB589" s="1699"/>
      <c r="AC589" s="1699"/>
      <c r="AD589" s="1699"/>
      <c r="AE589" s="1699"/>
      <c r="AH589" s="33" t="s">
        <v>205</v>
      </c>
      <c r="AI589" s="1753"/>
      <c r="AJ589" s="1753"/>
      <c r="AK589" s="1753"/>
      <c r="BB589" s="3"/>
      <c r="BC589" s="3"/>
    </row>
    <row r="590" spans="1:61" ht="12.95" customHeight="1">
      <c r="A590" s="22"/>
      <c r="B590" t="s">
        <v>18</v>
      </c>
      <c r="H590" s="1703" t="s">
        <v>2746</v>
      </c>
      <c r="I590" s="1697"/>
      <c r="J590" s="1697"/>
      <c r="K590" s="1697"/>
      <c r="L590" s="1697"/>
      <c r="M590" s="1697"/>
      <c r="N590" s="1697"/>
      <c r="O590" s="1697"/>
      <c r="P590" s="1697"/>
      <c r="Q590" s="1697"/>
      <c r="R590" s="1697"/>
      <c r="T590" s="22"/>
      <c r="U590" t="s">
        <v>18</v>
      </c>
      <c r="AA590" s="1703" t="s">
        <v>2736</v>
      </c>
      <c r="AB590" s="1697"/>
      <c r="AC590" s="1697"/>
      <c r="AD590" s="1697"/>
      <c r="AE590" s="1697"/>
      <c r="AF590" s="1697"/>
      <c r="AG590" s="1697"/>
      <c r="AH590" s="1697"/>
      <c r="AI590" s="1697"/>
      <c r="AJ590" s="1697"/>
      <c r="AK590" s="1697"/>
      <c r="BB590" s="3"/>
      <c r="BC590" s="3"/>
    </row>
    <row r="591" spans="1:61" ht="12.95" customHeight="1">
      <c r="A591" s="22"/>
      <c r="B591" t="s">
        <v>20</v>
      </c>
      <c r="N591" s="1599" t="s">
        <v>544</v>
      </c>
      <c r="O591" s="1599"/>
      <c r="T591" s="22"/>
      <c r="U591" t="s">
        <v>20</v>
      </c>
      <c r="AG591" s="1599" t="s">
        <v>544</v>
      </c>
      <c r="AH591" s="1599"/>
      <c r="BB591" s="3"/>
      <c r="BC591" s="3"/>
    </row>
    <row r="592" spans="1:61" ht="12.95" customHeight="1">
      <c r="A592" s="22"/>
      <c r="T592" s="22"/>
      <c r="BB592" s="3"/>
      <c r="BC592" s="3"/>
    </row>
    <row r="593" spans="1:55" ht="12.95" customHeight="1">
      <c r="A593" s="55" t="s">
        <v>762</v>
      </c>
      <c r="B593" t="s">
        <v>462</v>
      </c>
      <c r="G593" s="1695" t="str">
        <f>C566</f>
        <v>Deferred Reserve Funding</v>
      </c>
      <c r="H593" s="1695"/>
      <c r="I593" s="1695"/>
      <c r="J593" s="1695"/>
      <c r="K593" s="1695"/>
      <c r="L593" s="1695"/>
      <c r="M593" s="1695"/>
      <c r="N593" s="1695"/>
      <c r="O593" s="1695"/>
      <c r="P593" s="1695"/>
      <c r="Q593" s="1695"/>
      <c r="R593" s="1695"/>
      <c r="T593" s="55" t="s">
        <v>583</v>
      </c>
      <c r="U593" t="s">
        <v>462</v>
      </c>
      <c r="Z593" s="1695" t="str">
        <f>C567</f>
        <v>Deferred Developer Fee</v>
      </c>
      <c r="AA593" s="1695"/>
      <c r="AB593" s="1695"/>
      <c r="AC593" s="1695"/>
      <c r="AD593" s="1695"/>
      <c r="AE593" s="1695"/>
      <c r="AF593" s="1695"/>
      <c r="AG593" s="1695"/>
      <c r="AH593" s="1695"/>
      <c r="AI593" s="1695"/>
      <c r="AJ593" s="1695"/>
      <c r="AK593" s="1695"/>
      <c r="BB593" s="3"/>
      <c r="BC593" s="3"/>
    </row>
    <row r="594" spans="1:55" ht="12.95" customHeight="1">
      <c r="A594" s="22"/>
      <c r="B594" t="s">
        <v>85</v>
      </c>
      <c r="G594" s="1697" t="s">
        <v>2662</v>
      </c>
      <c r="H594" s="1697"/>
      <c r="I594" s="1697"/>
      <c r="J594" s="1697"/>
      <c r="K594" s="1697"/>
      <c r="L594" s="1697"/>
      <c r="M594" s="1697"/>
      <c r="N594" s="1697"/>
      <c r="O594" s="1697"/>
      <c r="P594" s="1697"/>
      <c r="Q594" s="1697"/>
      <c r="R594" s="1697"/>
      <c r="T594" s="22"/>
      <c r="U594" t="s">
        <v>85</v>
      </c>
      <c r="Z594" s="1697" t="s">
        <v>2662</v>
      </c>
      <c r="AA594" s="1697"/>
      <c r="AB594" s="1697"/>
      <c r="AC594" s="1697"/>
      <c r="AD594" s="1697"/>
      <c r="AE594" s="1697"/>
      <c r="AF594" s="1697"/>
      <c r="AG594" s="1697"/>
      <c r="AH594" s="1697"/>
      <c r="AI594" s="1697"/>
      <c r="AJ594" s="1697"/>
      <c r="AK594" s="1697"/>
      <c r="BB594" s="3"/>
      <c r="BC594" s="3"/>
    </row>
    <row r="595" spans="1:55" ht="12.95" customHeight="1">
      <c r="A595" s="22"/>
      <c r="B595" t="s">
        <v>579</v>
      </c>
      <c r="G595" s="1697" t="s">
        <v>2663</v>
      </c>
      <c r="H595" s="1697"/>
      <c r="I595" s="1697"/>
      <c r="J595" s="1697"/>
      <c r="K595" s="1697"/>
      <c r="L595" s="1697"/>
      <c r="M595" s="1697"/>
      <c r="N595" s="1697"/>
      <c r="O595" s="1697"/>
      <c r="P595" s="1697"/>
      <c r="Q595" s="1697"/>
      <c r="R595" s="1697"/>
      <c r="T595" s="22"/>
      <c r="U595" t="s">
        <v>579</v>
      </c>
      <c r="Z595" s="1696" t="s">
        <v>2663</v>
      </c>
      <c r="AA595" s="1696"/>
      <c r="AB595" s="1696"/>
      <c r="AC595" s="1696"/>
      <c r="AD595" s="1696"/>
      <c r="AE595" s="1696"/>
      <c r="AF595" s="1696"/>
      <c r="AG595" s="1696"/>
      <c r="AH595" s="1696"/>
      <c r="AI595" s="1696"/>
      <c r="AJ595" s="1696"/>
      <c r="AK595" s="1696"/>
      <c r="BB595" s="3"/>
      <c r="BC595" s="3"/>
    </row>
    <row r="596" spans="1:55" ht="12.95" customHeight="1">
      <c r="A596" s="22"/>
      <c r="B596" t="s">
        <v>17</v>
      </c>
      <c r="G596" s="1697" t="s">
        <v>2747</v>
      </c>
      <c r="H596" s="1697"/>
      <c r="I596" s="1697"/>
      <c r="J596" s="1697"/>
      <c r="K596" s="1697"/>
      <c r="L596" s="1697"/>
      <c r="M596" s="1697"/>
      <c r="N596" s="1697"/>
      <c r="O596" s="1697"/>
      <c r="P596" s="1697"/>
      <c r="Q596" s="1697"/>
      <c r="R596" s="1697"/>
      <c r="T596" s="22"/>
      <c r="U596" t="s">
        <v>17</v>
      </c>
      <c r="Z596" s="1696" t="s">
        <v>2747</v>
      </c>
      <c r="AA596" s="1696"/>
      <c r="AB596" s="1696"/>
      <c r="AC596" s="1696"/>
      <c r="AD596" s="1696"/>
      <c r="AE596" s="1696"/>
      <c r="AF596" s="1696"/>
      <c r="AG596" s="1696"/>
      <c r="AH596" s="1696"/>
      <c r="AI596" s="1696"/>
      <c r="AJ596" s="1696"/>
      <c r="AK596" s="1696"/>
    </row>
    <row r="597" spans="1:55" ht="12.95" customHeight="1">
      <c r="A597" s="22"/>
      <c r="B597" t="s">
        <v>315</v>
      </c>
      <c r="G597" s="1698" t="s">
        <v>2647</v>
      </c>
      <c r="H597" s="1699"/>
      <c r="I597" s="1699"/>
      <c r="J597" s="1699"/>
      <c r="K597" s="1699"/>
      <c r="L597" s="1699"/>
      <c r="O597" s="33" t="s">
        <v>205</v>
      </c>
      <c r="P597" s="1753"/>
      <c r="Q597" s="1753"/>
      <c r="R597" s="1753"/>
      <c r="T597" s="22"/>
      <c r="U597" t="s">
        <v>315</v>
      </c>
      <c r="Z597" s="1698" t="s">
        <v>2647</v>
      </c>
      <c r="AA597" s="1699"/>
      <c r="AB597" s="1699"/>
      <c r="AC597" s="1699"/>
      <c r="AD597" s="1699"/>
      <c r="AE597" s="1699"/>
      <c r="AH597" s="33" t="s">
        <v>205</v>
      </c>
      <c r="AI597" s="1753"/>
      <c r="AJ597" s="1753"/>
      <c r="AK597" s="1753"/>
      <c r="AZ597" s="3"/>
      <c r="BA597" s="3"/>
      <c r="BB597" s="3"/>
      <c r="BC597" s="3"/>
    </row>
    <row r="598" spans="1:55" ht="12.95" customHeight="1">
      <c r="A598" s="22"/>
      <c r="B598" t="s">
        <v>18</v>
      </c>
      <c r="H598" s="1703" t="s">
        <v>2737</v>
      </c>
      <c r="I598" s="1697"/>
      <c r="J598" s="1697"/>
      <c r="K598" s="1697"/>
      <c r="L598" s="1697"/>
      <c r="M598" s="1697"/>
      <c r="N598" s="1697"/>
      <c r="O598" s="1697"/>
      <c r="P598" s="1697"/>
      <c r="Q598" s="1697"/>
      <c r="R598" s="1697"/>
      <c r="T598" s="22"/>
      <c r="U598" t="s">
        <v>18</v>
      </c>
      <c r="AA598" s="1697" t="s">
        <v>2748</v>
      </c>
      <c r="AB598" s="1697"/>
      <c r="AC598" s="1697"/>
      <c r="AD598" s="1697"/>
      <c r="AE598" s="1697"/>
      <c r="AF598" s="1697"/>
      <c r="AG598" s="1697"/>
      <c r="AH598" s="1697"/>
      <c r="AI598" s="1697"/>
      <c r="AJ598" s="1697"/>
      <c r="AK598" s="1697"/>
      <c r="AZ598" s="3"/>
      <c r="BA598" s="3"/>
      <c r="BB598" s="3"/>
      <c r="BC598" s="3"/>
    </row>
    <row r="599" spans="1:55" ht="12.95" customHeight="1">
      <c r="A599" s="22"/>
      <c r="B599" t="s">
        <v>20</v>
      </c>
      <c r="N599" s="1599" t="s">
        <v>544</v>
      </c>
      <c r="O599" s="1599"/>
      <c r="T599" s="22"/>
      <c r="U599" t="s">
        <v>20</v>
      </c>
      <c r="AG599" s="1599" t="s">
        <v>544</v>
      </c>
      <c r="AH599" s="1599"/>
      <c r="AZ599" s="3"/>
      <c r="BA599" s="3"/>
      <c r="BB599" s="3"/>
      <c r="BC599" s="3"/>
    </row>
    <row r="600" spans="1:55" ht="12.95" customHeight="1">
      <c r="A600" s="22"/>
      <c r="T600" s="22"/>
      <c r="AZ600" s="3"/>
      <c r="BA600" s="3"/>
      <c r="BB600" s="3"/>
      <c r="BC600" s="3"/>
    </row>
    <row r="601" spans="1:55" ht="12.95" customHeight="1">
      <c r="A601" s="55" t="s">
        <v>454</v>
      </c>
      <c r="B601" t="s">
        <v>462</v>
      </c>
      <c r="G601" s="1695">
        <f>C568</f>
        <v>0</v>
      </c>
      <c r="H601" s="1695"/>
      <c r="I601" s="1695"/>
      <c r="J601" s="1695"/>
      <c r="K601" s="1695"/>
      <c r="L601" s="1695"/>
      <c r="M601" s="1695"/>
      <c r="N601" s="1695"/>
      <c r="O601" s="1695"/>
      <c r="P601" s="1695"/>
      <c r="Q601" s="1695"/>
      <c r="R601" s="1695"/>
      <c r="T601" s="55" t="s">
        <v>455</v>
      </c>
      <c r="U601" t="s">
        <v>462</v>
      </c>
      <c r="Z601" s="1695">
        <f>C569</f>
        <v>0</v>
      </c>
      <c r="AA601" s="1695"/>
      <c r="AB601" s="1695"/>
      <c r="AC601" s="1695"/>
      <c r="AD601" s="1695"/>
      <c r="AE601" s="1695"/>
      <c r="AF601" s="1695"/>
      <c r="AG601" s="1695"/>
      <c r="AH601" s="1695"/>
      <c r="AI601" s="1695"/>
      <c r="AJ601" s="1695"/>
      <c r="AK601" s="1695"/>
      <c r="AZ601" s="3"/>
      <c r="BA601" s="3"/>
      <c r="BB601" s="3"/>
      <c r="BC601" s="3"/>
    </row>
    <row r="602" spans="1:55" s="4" customFormat="1" ht="12.95" customHeight="1">
      <c r="A602" s="22"/>
      <c r="B602" t="s">
        <v>85</v>
      </c>
      <c r="C602"/>
      <c r="D602"/>
      <c r="E602"/>
      <c r="F602"/>
      <c r="G602" s="1697"/>
      <c r="H602" s="1697"/>
      <c r="I602" s="1697"/>
      <c r="J602" s="1697"/>
      <c r="K602" s="1697"/>
      <c r="L602" s="1697"/>
      <c r="M602" s="1697"/>
      <c r="N602" s="1697"/>
      <c r="O602" s="1697"/>
      <c r="P602" s="1697"/>
      <c r="Q602" s="1697"/>
      <c r="R602" s="1697"/>
      <c r="S602"/>
      <c r="T602" s="22"/>
      <c r="U602" t="s">
        <v>85</v>
      </c>
      <c r="V602"/>
      <c r="W602"/>
      <c r="X602"/>
      <c r="Y602"/>
      <c r="Z602" s="1697"/>
      <c r="AA602" s="1697"/>
      <c r="AB602" s="1697"/>
      <c r="AC602" s="1697"/>
      <c r="AD602" s="1697"/>
      <c r="AE602" s="1697"/>
      <c r="AF602" s="1697"/>
      <c r="AG602" s="1697"/>
      <c r="AH602" s="1697"/>
      <c r="AI602" s="1697"/>
      <c r="AJ602" s="1697"/>
      <c r="AK602" s="1697"/>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697"/>
      <c r="H603" s="1697"/>
      <c r="I603" s="1697"/>
      <c r="J603" s="1697"/>
      <c r="K603" s="1697"/>
      <c r="L603" s="1697"/>
      <c r="M603" s="1697"/>
      <c r="N603" s="1697"/>
      <c r="O603" s="1697"/>
      <c r="P603" s="1697"/>
      <c r="Q603" s="1697"/>
      <c r="R603" s="1697"/>
      <c r="S603"/>
      <c r="T603" s="22"/>
      <c r="U603" t="s">
        <v>579</v>
      </c>
      <c r="V603"/>
      <c r="W603"/>
      <c r="X603"/>
      <c r="Y603"/>
      <c r="Z603" s="1696"/>
      <c r="AA603" s="1696"/>
      <c r="AB603" s="1696"/>
      <c r="AC603" s="1696"/>
      <c r="AD603" s="1696"/>
      <c r="AE603" s="1696"/>
      <c r="AF603" s="1696"/>
      <c r="AG603" s="1696"/>
      <c r="AH603" s="1696"/>
      <c r="AI603" s="1696"/>
      <c r="AJ603" s="1696"/>
      <c r="AK603" s="1696"/>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697"/>
      <c r="H604" s="1697"/>
      <c r="I604" s="1697"/>
      <c r="J604" s="1697"/>
      <c r="K604" s="1697"/>
      <c r="L604" s="1697"/>
      <c r="M604" s="1697"/>
      <c r="N604" s="1697"/>
      <c r="O604" s="1697"/>
      <c r="P604" s="1697"/>
      <c r="Q604" s="1697"/>
      <c r="R604" s="1697"/>
      <c r="S604"/>
      <c r="T604" s="22"/>
      <c r="U604" t="s">
        <v>17</v>
      </c>
      <c r="V604"/>
      <c r="W604"/>
      <c r="X604"/>
      <c r="Y604"/>
      <c r="Z604" s="1696"/>
      <c r="AA604" s="1696"/>
      <c r="AB604" s="1696"/>
      <c r="AC604" s="1696"/>
      <c r="AD604" s="1696"/>
      <c r="AE604" s="1696"/>
      <c r="AF604" s="1696"/>
      <c r="AG604" s="1696"/>
      <c r="AH604" s="1696"/>
      <c r="AI604" s="1696"/>
      <c r="AJ604" s="1696"/>
      <c r="AK604" s="1696"/>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699"/>
      <c r="H605" s="1699"/>
      <c r="I605" s="1699"/>
      <c r="J605" s="1699"/>
      <c r="K605" s="1699"/>
      <c r="L605" s="1699"/>
      <c r="M605"/>
      <c r="N605"/>
      <c r="O605" s="33" t="s">
        <v>205</v>
      </c>
      <c r="P605" s="1753"/>
      <c r="Q605" s="1753"/>
      <c r="R605" s="1753"/>
      <c r="S605"/>
      <c r="T605" s="22"/>
      <c r="U605" t="s">
        <v>315</v>
      </c>
      <c r="V605"/>
      <c r="W605"/>
      <c r="X605"/>
      <c r="Y605"/>
      <c r="Z605" s="1699"/>
      <c r="AA605" s="1699"/>
      <c r="AB605" s="1699"/>
      <c r="AC605" s="1699"/>
      <c r="AD605" s="1699"/>
      <c r="AE605" s="1699"/>
      <c r="AF605"/>
      <c r="AG605"/>
      <c r="AH605" s="33" t="s">
        <v>205</v>
      </c>
      <c r="AI605" s="1753"/>
      <c r="AJ605" s="1753"/>
      <c r="AK605" s="1753"/>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697"/>
      <c r="I606" s="1697"/>
      <c r="J606" s="1697"/>
      <c r="K606" s="1697"/>
      <c r="L606" s="1697"/>
      <c r="M606" s="1697"/>
      <c r="N606" s="1697"/>
      <c r="O606" s="1697"/>
      <c r="P606" s="1697"/>
      <c r="Q606" s="1697"/>
      <c r="R606" s="1697"/>
      <c r="S606"/>
      <c r="T606" s="22"/>
      <c r="U606" t="s">
        <v>18</v>
      </c>
      <c r="V606"/>
      <c r="W606"/>
      <c r="X606"/>
      <c r="Y606"/>
      <c r="Z606"/>
      <c r="AA606" s="1697"/>
      <c r="AB606" s="1697"/>
      <c r="AC606" s="1697"/>
      <c r="AD606" s="1697"/>
      <c r="AE606" s="1697"/>
      <c r="AF606" s="1697"/>
      <c r="AG606" s="1697"/>
      <c r="AH606" s="1697"/>
      <c r="AI606" s="1697"/>
      <c r="AJ606" s="1697"/>
      <c r="AK606" s="1697"/>
      <c r="AL606"/>
      <c r="AM606"/>
      <c r="AN606"/>
      <c r="AO606"/>
      <c r="AP606"/>
      <c r="AQ606"/>
      <c r="AR606"/>
      <c r="AS606"/>
      <c r="AT606"/>
      <c r="AU606"/>
      <c r="AV606"/>
      <c r="AW606"/>
      <c r="AX606"/>
      <c r="AY606"/>
      <c r="BB606" s="3"/>
      <c r="BC606" s="3"/>
    </row>
    <row r="607" spans="1:55" ht="12.95" customHeight="1">
      <c r="A607" s="22"/>
      <c r="B607" t="s">
        <v>20</v>
      </c>
      <c r="N607" s="1599"/>
      <c r="O607" s="1599"/>
      <c r="T607" s="22"/>
      <c r="U607" t="s">
        <v>20</v>
      </c>
      <c r="AG607" s="1599" t="s">
        <v>668</v>
      </c>
      <c r="AH607" s="1599"/>
      <c r="BB607" s="3"/>
      <c r="BC607" s="3"/>
    </row>
    <row r="608" spans="1:55" ht="12.95" customHeight="1">
      <c r="A608" s="22"/>
      <c r="T608" s="22"/>
      <c r="BB608" s="3"/>
      <c r="BC608" s="3"/>
    </row>
    <row r="609" spans="1:55" ht="12.95" customHeight="1">
      <c r="A609" s="55" t="s">
        <v>460</v>
      </c>
      <c r="B609" t="s">
        <v>462</v>
      </c>
      <c r="G609" s="1695">
        <f>C570</f>
        <v>0</v>
      </c>
      <c r="H609" s="1695"/>
      <c r="I609" s="1695"/>
      <c r="J609" s="1695"/>
      <c r="K609" s="1695"/>
      <c r="L609" s="1695"/>
      <c r="M609" s="1695"/>
      <c r="N609" s="1695"/>
      <c r="O609" s="1695"/>
      <c r="P609" s="1695"/>
      <c r="Q609" s="1695"/>
      <c r="R609" s="1695"/>
      <c r="T609" s="55" t="s">
        <v>645</v>
      </c>
      <c r="U609" t="s">
        <v>462</v>
      </c>
      <c r="Z609" s="1695">
        <f>C571</f>
        <v>0</v>
      </c>
      <c r="AA609" s="1695"/>
      <c r="AB609" s="1695"/>
      <c r="AC609" s="1695"/>
      <c r="AD609" s="1695"/>
      <c r="AE609" s="1695"/>
      <c r="AF609" s="1695"/>
      <c r="AG609" s="1695"/>
      <c r="AH609" s="1695"/>
      <c r="AI609" s="1695"/>
      <c r="AJ609" s="1695"/>
      <c r="AK609" s="1695"/>
      <c r="BB609" s="3"/>
      <c r="BC609" s="3"/>
    </row>
    <row r="610" spans="1:55" ht="12.95" customHeight="1">
      <c r="A610" s="22"/>
      <c r="B610" t="s">
        <v>85</v>
      </c>
      <c r="G610" s="1697"/>
      <c r="H610" s="1697"/>
      <c r="I610" s="1697"/>
      <c r="J610" s="1697"/>
      <c r="K610" s="1697"/>
      <c r="L610" s="1697"/>
      <c r="M610" s="1697"/>
      <c r="N610" s="1697"/>
      <c r="O610" s="1697"/>
      <c r="P610" s="1697"/>
      <c r="Q610" s="1697"/>
      <c r="R610" s="1697"/>
      <c r="T610" s="22"/>
      <c r="U610" t="s">
        <v>85</v>
      </c>
      <c r="Z610" s="1697"/>
      <c r="AA610" s="1697"/>
      <c r="AB610" s="1697"/>
      <c r="AC610" s="1697"/>
      <c r="AD610" s="1697"/>
      <c r="AE610" s="1697"/>
      <c r="AF610" s="1697"/>
      <c r="AG610" s="1697"/>
      <c r="AH610" s="1697"/>
      <c r="AI610" s="1697"/>
      <c r="AJ610" s="1697"/>
      <c r="AK610" s="1697"/>
      <c r="AZ610" s="3"/>
      <c r="BA610" s="3"/>
      <c r="BB610" s="3"/>
      <c r="BC610" s="3"/>
    </row>
    <row r="611" spans="1:55" ht="12.95" customHeight="1">
      <c r="A611" s="22"/>
      <c r="B611" t="s">
        <v>579</v>
      </c>
      <c r="G611" s="1697"/>
      <c r="H611" s="1697"/>
      <c r="I611" s="1697"/>
      <c r="J611" s="1697"/>
      <c r="K611" s="1697"/>
      <c r="L611" s="1697"/>
      <c r="M611" s="1697"/>
      <c r="N611" s="1697"/>
      <c r="O611" s="1697"/>
      <c r="P611" s="1697"/>
      <c r="Q611" s="1697"/>
      <c r="R611" s="1697"/>
      <c r="T611" s="22"/>
      <c r="U611" t="s">
        <v>579</v>
      </c>
      <c r="Z611" s="1696"/>
      <c r="AA611" s="1696"/>
      <c r="AB611" s="1696"/>
      <c r="AC611" s="1696"/>
      <c r="AD611" s="1696"/>
      <c r="AE611" s="1696"/>
      <c r="AF611" s="1696"/>
      <c r="AG611" s="1696"/>
      <c r="AH611" s="1696"/>
      <c r="AI611" s="1696"/>
      <c r="AJ611" s="1696"/>
      <c r="AK611" s="1696"/>
      <c r="AZ611" s="3"/>
      <c r="BA611" s="3"/>
      <c r="BB611" s="3"/>
      <c r="BC611" s="3"/>
    </row>
    <row r="612" spans="1:55" ht="12.95" customHeight="1">
      <c r="A612" s="22"/>
      <c r="B612" t="s">
        <v>17</v>
      </c>
      <c r="G612" s="1697"/>
      <c r="H612" s="1697"/>
      <c r="I612" s="1697"/>
      <c r="J612" s="1697"/>
      <c r="K612" s="1697"/>
      <c r="L612" s="1697"/>
      <c r="M612" s="1697"/>
      <c r="N612" s="1697"/>
      <c r="O612" s="1697"/>
      <c r="P612" s="1697"/>
      <c r="Q612" s="1697"/>
      <c r="R612" s="1697"/>
      <c r="T612" s="22"/>
      <c r="U612" t="s">
        <v>17</v>
      </c>
      <c r="Z612" s="1696"/>
      <c r="AA612" s="1696"/>
      <c r="AB612" s="1696"/>
      <c r="AC612" s="1696"/>
      <c r="AD612" s="1696"/>
      <c r="AE612" s="1696"/>
      <c r="AF612" s="1696"/>
      <c r="AG612" s="1696"/>
      <c r="AH612" s="1696"/>
      <c r="AI612" s="1696"/>
      <c r="AJ612" s="1696"/>
      <c r="AK612" s="1696"/>
      <c r="AZ612" s="3"/>
      <c r="BA612" s="3"/>
      <c r="BB612" s="3"/>
      <c r="BC612" s="3"/>
    </row>
    <row r="613" spans="1:55" s="4" customFormat="1" ht="12.95" customHeight="1">
      <c r="A613" s="22"/>
      <c r="B613" t="s">
        <v>315</v>
      </c>
      <c r="C613"/>
      <c r="D613"/>
      <c r="E613"/>
      <c r="F613"/>
      <c r="G613" s="1699"/>
      <c r="H613" s="1699"/>
      <c r="I613" s="1699"/>
      <c r="J613" s="1699"/>
      <c r="K613" s="1699"/>
      <c r="L613" s="1699"/>
      <c r="M613"/>
      <c r="N613"/>
      <c r="O613" s="33" t="s">
        <v>205</v>
      </c>
      <c r="P613" s="1753"/>
      <c r="Q613" s="1753"/>
      <c r="R613" s="1753"/>
      <c r="S613"/>
      <c r="T613" s="22"/>
      <c r="U613" t="s">
        <v>315</v>
      </c>
      <c r="V613"/>
      <c r="W613"/>
      <c r="X613"/>
      <c r="Y613"/>
      <c r="Z613" s="1699"/>
      <c r="AA613" s="1699"/>
      <c r="AB613" s="1699"/>
      <c r="AC613" s="1699"/>
      <c r="AD613" s="1699"/>
      <c r="AE613" s="1699"/>
      <c r="AF613"/>
      <c r="AG613"/>
      <c r="AH613" s="33" t="s">
        <v>205</v>
      </c>
      <c r="AI613" s="1753"/>
      <c r="AJ613" s="1753"/>
      <c r="AK613" s="1753"/>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697"/>
      <c r="I614" s="1697"/>
      <c r="J614" s="1697"/>
      <c r="K614" s="1697"/>
      <c r="L614" s="1697"/>
      <c r="M614" s="1697"/>
      <c r="N614" s="1697"/>
      <c r="O614" s="1697"/>
      <c r="P614" s="1697"/>
      <c r="Q614" s="1697"/>
      <c r="R614" s="1697"/>
      <c r="S614"/>
      <c r="T614" s="22"/>
      <c r="U614" t="s">
        <v>18</v>
      </c>
      <c r="V614"/>
      <c r="W614"/>
      <c r="X614"/>
      <c r="Y614"/>
      <c r="Z614"/>
      <c r="AA614" s="1697"/>
      <c r="AB614" s="1697"/>
      <c r="AC614" s="1697"/>
      <c r="AD614" s="1697"/>
      <c r="AE614" s="1697"/>
      <c r="AF614" s="1697"/>
      <c r="AG614" s="1697"/>
      <c r="AH614" s="1697"/>
      <c r="AI614" s="1697"/>
      <c r="AJ614" s="1697"/>
      <c r="AK614" s="1697"/>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599" t="s">
        <v>668</v>
      </c>
      <c r="O615" s="1599"/>
      <c r="P615"/>
      <c r="Q615"/>
      <c r="R615"/>
      <c r="S615"/>
      <c r="T615" s="22"/>
      <c r="U615" t="s">
        <v>20</v>
      </c>
      <c r="V615"/>
      <c r="W615"/>
      <c r="X615"/>
      <c r="Y615"/>
      <c r="Z615"/>
      <c r="AA615"/>
      <c r="AB615"/>
      <c r="AC615"/>
      <c r="AD615"/>
      <c r="AE615"/>
      <c r="AF615"/>
      <c r="AG615" s="1599" t="s">
        <v>668</v>
      </c>
      <c r="AH615" s="159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695">
        <f>C572</f>
        <v>0</v>
      </c>
      <c r="H617" s="1695"/>
      <c r="I617" s="1695"/>
      <c r="J617" s="1695"/>
      <c r="K617" s="1695"/>
      <c r="L617" s="1695"/>
      <c r="M617" s="1695"/>
      <c r="N617" s="1695"/>
      <c r="O617" s="1695"/>
      <c r="P617" s="1695"/>
      <c r="Q617" s="1695"/>
      <c r="R617" s="1695"/>
      <c r="T617" s="55" t="s">
        <v>362</v>
      </c>
      <c r="U617" t="s">
        <v>462</v>
      </c>
      <c r="Z617" s="1695">
        <f>C573</f>
        <v>0</v>
      </c>
      <c r="AA617" s="1695"/>
      <c r="AB617" s="1695"/>
      <c r="AC617" s="1695"/>
      <c r="AD617" s="1695"/>
      <c r="AE617" s="1695"/>
      <c r="AF617" s="1695"/>
      <c r="AG617" s="1695"/>
      <c r="AH617" s="1695"/>
      <c r="AI617" s="1695"/>
      <c r="AJ617" s="1695"/>
      <c r="AK617" s="1695"/>
      <c r="AZ617" s="3"/>
      <c r="BA617" s="3"/>
      <c r="BB617" s="3"/>
      <c r="BC617" s="3"/>
    </row>
    <row r="618" spans="1:55" ht="12.95" customHeight="1">
      <c r="B618" t="s">
        <v>85</v>
      </c>
      <c r="G618" s="1697"/>
      <c r="H618" s="1697"/>
      <c r="I618" s="1697"/>
      <c r="J618" s="1697"/>
      <c r="K618" s="1697"/>
      <c r="L618" s="1697"/>
      <c r="M618" s="1697"/>
      <c r="N618" s="1697"/>
      <c r="O618" s="1697"/>
      <c r="P618" s="1697"/>
      <c r="Q618" s="1697"/>
      <c r="R618" s="1697"/>
      <c r="U618" t="s">
        <v>85</v>
      </c>
      <c r="Z618" s="1697"/>
      <c r="AA618" s="1697"/>
      <c r="AB618" s="1697"/>
      <c r="AC618" s="1697"/>
      <c r="AD618" s="1697"/>
      <c r="AE618" s="1697"/>
      <c r="AF618" s="1697"/>
      <c r="AG618" s="1697"/>
      <c r="AH618" s="1697"/>
      <c r="AI618" s="1697"/>
      <c r="AJ618" s="1697"/>
      <c r="AK618" s="1697"/>
      <c r="AZ618" s="3"/>
      <c r="BA618" s="3"/>
      <c r="BB618" s="3"/>
      <c r="BC618" s="3"/>
    </row>
    <row r="619" spans="1:55" ht="12.95" customHeight="1">
      <c r="B619" t="s">
        <v>579</v>
      </c>
      <c r="G619" s="1697"/>
      <c r="H619" s="1697"/>
      <c r="I619" s="1697"/>
      <c r="J619" s="1697"/>
      <c r="K619" s="1697"/>
      <c r="L619" s="1697"/>
      <c r="M619" s="1697"/>
      <c r="N619" s="1697"/>
      <c r="O619" s="1697"/>
      <c r="P619" s="1697"/>
      <c r="Q619" s="1697"/>
      <c r="R619" s="1697"/>
      <c r="U619" t="s">
        <v>579</v>
      </c>
      <c r="Z619" s="1696"/>
      <c r="AA619" s="1696"/>
      <c r="AB619" s="1696"/>
      <c r="AC619" s="1696"/>
      <c r="AD619" s="1696"/>
      <c r="AE619" s="1696"/>
      <c r="AF619" s="1696"/>
      <c r="AG619" s="1696"/>
      <c r="AH619" s="1696"/>
      <c r="AI619" s="1696"/>
      <c r="AJ619" s="1696"/>
      <c r="AK619" s="1696"/>
      <c r="AZ619" s="3"/>
      <c r="BA619" s="3"/>
      <c r="BB619" s="3"/>
      <c r="BC619" s="3"/>
    </row>
    <row r="620" spans="1:55" ht="12.95" customHeight="1">
      <c r="B620" t="s">
        <v>17</v>
      </c>
      <c r="G620" s="1697"/>
      <c r="H620" s="1697"/>
      <c r="I620" s="1697"/>
      <c r="J620" s="1697"/>
      <c r="K620" s="1697"/>
      <c r="L620" s="1697"/>
      <c r="M620" s="1697"/>
      <c r="N620" s="1697"/>
      <c r="O620" s="1697"/>
      <c r="P620" s="1697"/>
      <c r="Q620" s="1697"/>
      <c r="R620" s="1697"/>
      <c r="U620" t="s">
        <v>17</v>
      </c>
      <c r="Z620" s="1696"/>
      <c r="AA620" s="1696"/>
      <c r="AB620" s="1696"/>
      <c r="AC620" s="1696"/>
      <c r="AD620" s="1696"/>
      <c r="AE620" s="1696"/>
      <c r="AF620" s="1696"/>
      <c r="AG620" s="1696"/>
      <c r="AH620" s="1696"/>
      <c r="AI620" s="1696"/>
      <c r="AJ620" s="1696"/>
      <c r="AK620" s="1696"/>
      <c r="AZ620" s="3"/>
      <c r="BA620" s="3"/>
      <c r="BB620" s="3"/>
      <c r="BC620" s="3"/>
    </row>
    <row r="621" spans="1:55" ht="12.95" customHeight="1">
      <c r="B621" t="s">
        <v>315</v>
      </c>
      <c r="G621" s="1699"/>
      <c r="H621" s="1699"/>
      <c r="I621" s="1699"/>
      <c r="J621" s="1699"/>
      <c r="K621" s="1699"/>
      <c r="L621" s="1699"/>
      <c r="O621" s="33" t="s">
        <v>205</v>
      </c>
      <c r="P621" s="1753"/>
      <c r="Q621" s="1753"/>
      <c r="R621" s="1753"/>
      <c r="U621" t="s">
        <v>315</v>
      </c>
      <c r="Z621" s="1699"/>
      <c r="AA621" s="1699"/>
      <c r="AB621" s="1699"/>
      <c r="AC621" s="1699"/>
      <c r="AD621" s="1699"/>
      <c r="AE621" s="1699"/>
      <c r="AH621" s="33" t="s">
        <v>205</v>
      </c>
      <c r="AI621" s="1753"/>
      <c r="AJ621" s="1753"/>
      <c r="AK621" s="1753"/>
      <c r="AZ621" s="3"/>
      <c r="BA621" s="3"/>
      <c r="BB621" s="3"/>
      <c r="BC621" s="3"/>
    </row>
    <row r="622" spans="1:55" ht="12.95" customHeight="1">
      <c r="B622" t="s">
        <v>18</v>
      </c>
      <c r="H622" s="1697"/>
      <c r="I622" s="1697"/>
      <c r="J622" s="1697"/>
      <c r="K622" s="1697"/>
      <c r="L622" s="1697"/>
      <c r="M622" s="1697"/>
      <c r="N622" s="1697"/>
      <c r="O622" s="1697"/>
      <c r="P622" s="1697"/>
      <c r="Q622" s="1697"/>
      <c r="R622" s="1697"/>
      <c r="U622" t="s">
        <v>18</v>
      </c>
      <c r="AA622" s="1697"/>
      <c r="AB622" s="1697"/>
      <c r="AC622" s="1697"/>
      <c r="AD622" s="1697"/>
      <c r="AE622" s="1697"/>
      <c r="AF622" s="1697"/>
      <c r="AG622" s="1697"/>
      <c r="AH622" s="1697"/>
      <c r="AI622" s="1697"/>
      <c r="AJ622" s="1697"/>
      <c r="AK622" s="1697"/>
      <c r="AU622" s="893"/>
      <c r="AV622" s="893"/>
      <c r="AW622" s="893"/>
      <c r="AX622" s="893"/>
      <c r="AY622" s="893"/>
      <c r="AZ622" s="3"/>
      <c r="BA622" s="3"/>
      <c r="BB622" s="3"/>
      <c r="BC622" s="3"/>
    </row>
    <row r="623" spans="1:55" ht="12.95" customHeight="1">
      <c r="B623" t="s">
        <v>20</v>
      </c>
      <c r="N623" s="1599" t="s">
        <v>668</v>
      </c>
      <c r="O623" s="1599"/>
      <c r="U623" t="s">
        <v>20</v>
      </c>
      <c r="AG623" s="1599" t="s">
        <v>668</v>
      </c>
      <c r="AH623" s="1599"/>
      <c r="AU623" s="893"/>
      <c r="AV623" s="893"/>
      <c r="AW623" s="893"/>
      <c r="AX623" s="893"/>
      <c r="AY623" s="893"/>
      <c r="AZ623" s="3"/>
      <c r="BA623" s="3"/>
      <c r="BB623" s="3"/>
      <c r="BC623" s="3"/>
    </row>
    <row r="624" spans="1:55" ht="12.95" customHeight="1">
      <c r="AZ624" s="3"/>
      <c r="BA624" s="3"/>
      <c r="BB624" s="3"/>
      <c r="BC624" s="3"/>
    </row>
    <row r="625" spans="1:56" ht="12.95" customHeight="1">
      <c r="A625" s="1526" t="s">
        <v>543</v>
      </c>
      <c r="B625" s="1526"/>
      <c r="C625" s="1526"/>
      <c r="D625" s="1526"/>
      <c r="E625" s="1526"/>
      <c r="F625" s="1526"/>
      <c r="G625" s="1526"/>
      <c r="H625" s="1526"/>
      <c r="I625" s="1526"/>
      <c r="J625" s="1526"/>
      <c r="K625" s="1526"/>
      <c r="L625" s="1526"/>
      <c r="M625" s="1526"/>
      <c r="N625" s="1526"/>
      <c r="O625" s="1526"/>
      <c r="P625" s="1526"/>
      <c r="Q625" s="1526"/>
      <c r="R625" s="1526"/>
      <c r="S625" s="1526"/>
      <c r="T625" s="1526"/>
      <c r="U625" s="1526"/>
      <c r="V625" s="1526"/>
      <c r="W625" s="1526"/>
      <c r="X625" s="1526"/>
      <c r="Y625" s="1526"/>
      <c r="Z625" s="1526"/>
      <c r="AA625" s="1526"/>
      <c r="AB625" s="1526"/>
      <c r="AC625" s="1526"/>
      <c r="AD625" s="1526"/>
      <c r="AE625" s="1526"/>
      <c r="AF625" s="1526"/>
      <c r="AG625" s="1526"/>
      <c r="AH625" s="1526"/>
      <c r="AI625" s="1526"/>
      <c r="AJ625" s="1526"/>
      <c r="AK625" s="1526"/>
      <c r="AL625" s="1526"/>
      <c r="AM625" s="1526"/>
      <c r="AN625" s="1526"/>
      <c r="AO625" s="1526"/>
      <c r="AP625" s="1526"/>
      <c r="AQ625" s="1526"/>
      <c r="AR625" s="1526"/>
      <c r="AS625" s="1526"/>
      <c r="AT625" s="1526"/>
      <c r="AZ625" s="3"/>
      <c r="BA625" s="3"/>
      <c r="BB625" s="3"/>
      <c r="BC625" s="3"/>
    </row>
    <row r="626" spans="1:56" ht="12.95" customHeight="1">
      <c r="A626" s="1526"/>
      <c r="B626" s="1526"/>
      <c r="C626" s="1526"/>
      <c r="D626" s="1526"/>
      <c r="E626" s="1526"/>
      <c r="F626" s="1526"/>
      <c r="G626" s="1526"/>
      <c r="H626" s="1526"/>
      <c r="I626" s="1526"/>
      <c r="J626" s="1526"/>
      <c r="K626" s="1526"/>
      <c r="L626" s="1526"/>
      <c r="M626" s="1526"/>
      <c r="N626" s="1526"/>
      <c r="O626" s="1526"/>
      <c r="P626" s="1526"/>
      <c r="Q626" s="1526"/>
      <c r="R626" s="1526"/>
      <c r="S626" s="1526"/>
      <c r="T626" s="1526"/>
      <c r="U626" s="1526"/>
      <c r="V626" s="1526"/>
      <c r="W626" s="1526"/>
      <c r="X626" s="1526"/>
      <c r="Y626" s="1526"/>
      <c r="Z626" s="1526"/>
      <c r="AA626" s="1526"/>
      <c r="AB626" s="1526"/>
      <c r="AC626" s="1526"/>
      <c r="AD626" s="1526"/>
      <c r="AE626" s="1526"/>
      <c r="AF626" s="1526"/>
      <c r="AG626" s="1526"/>
      <c r="AH626" s="1526"/>
      <c r="AI626" s="1526"/>
      <c r="AJ626" s="1526"/>
      <c r="AK626" s="1526"/>
      <c r="AL626" s="1526"/>
      <c r="AM626" s="1526"/>
      <c r="AN626" s="1526"/>
      <c r="AO626" s="1526"/>
      <c r="AP626" s="1526"/>
      <c r="AQ626" s="1526"/>
      <c r="AR626" s="1526"/>
      <c r="AS626" s="1526"/>
      <c r="AT626" s="152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2052</v>
      </c>
      <c r="AZ630" s="3"/>
      <c r="BA630" s="3"/>
      <c r="BB630" s="3"/>
      <c r="BC630" s="3"/>
    </row>
    <row r="631" spans="1:56" ht="12.95" customHeight="1">
      <c r="B631" s="510"/>
      <c r="C631" s="2"/>
      <c r="AU631" s="3"/>
      <c r="AZ631" s="3"/>
      <c r="BA631" s="3"/>
      <c r="BB631" s="3"/>
      <c r="BC631" s="3"/>
    </row>
    <row r="632" spans="1:56" ht="12.95" customHeight="1">
      <c r="B632" s="1960" t="s">
        <v>2054</v>
      </c>
      <c r="C632" s="1960"/>
      <c r="D632" s="1960"/>
      <c r="E632" s="1960"/>
      <c r="F632" s="1960"/>
      <c r="G632" s="1960"/>
      <c r="H632" s="1960"/>
      <c r="I632" s="1960"/>
      <c r="J632" s="1960"/>
      <c r="K632" s="1960"/>
      <c r="L632" s="1960"/>
      <c r="M632" s="1720" t="s">
        <v>2055</v>
      </c>
      <c r="N632" s="1720"/>
      <c r="O632" s="1720"/>
      <c r="P632" s="1720"/>
      <c r="Q632" s="1720" t="s">
        <v>1825</v>
      </c>
      <c r="R632" s="1720"/>
      <c r="S632" s="1720"/>
      <c r="T632" s="1720" t="s">
        <v>1823</v>
      </c>
      <c r="U632" s="1720"/>
      <c r="V632" s="1720"/>
      <c r="W632" s="1961" t="s">
        <v>452</v>
      </c>
      <c r="X632" s="1961"/>
      <c r="Y632" s="1961"/>
      <c r="Z632" s="1747" t="s">
        <v>2084</v>
      </c>
      <c r="AA632" s="1747"/>
      <c r="AB632" s="1748"/>
      <c r="AC632" s="1760" t="s">
        <v>1662</v>
      </c>
      <c r="AD632" s="1761"/>
      <c r="AE632" s="1762"/>
      <c r="AF632" s="1950" t="s">
        <v>1900</v>
      </c>
      <c r="AG632" s="1747"/>
      <c r="AH632" s="1747"/>
      <c r="AI632" s="1747"/>
      <c r="AJ632" s="1748"/>
      <c r="AK632" s="1962" t="s">
        <v>1901</v>
      </c>
      <c r="AL632" s="1963"/>
      <c r="AM632" s="1963"/>
      <c r="AN632" s="1964"/>
      <c r="AO632" s="1720" t="s">
        <v>453</v>
      </c>
      <c r="AP632" s="1720"/>
      <c r="AQ632" s="1720"/>
      <c r="AR632" s="1720"/>
      <c r="AS632" s="1720"/>
      <c r="AU632" s="3"/>
      <c r="AZ632" s="3"/>
      <c r="BA632" s="3"/>
      <c r="BB632" s="3"/>
      <c r="BC632" s="3"/>
    </row>
    <row r="633" spans="1:56" ht="12.95" customHeight="1">
      <c r="B633" s="1960"/>
      <c r="C633" s="1960"/>
      <c r="D633" s="1960"/>
      <c r="E633" s="1960"/>
      <c r="F633" s="1960"/>
      <c r="G633" s="1960"/>
      <c r="H633" s="1960"/>
      <c r="I633" s="1960"/>
      <c r="J633" s="1960"/>
      <c r="K633" s="1960"/>
      <c r="L633" s="1960"/>
      <c r="M633" s="1720"/>
      <c r="N633" s="1720"/>
      <c r="O633" s="1720"/>
      <c r="P633" s="1720"/>
      <c r="Q633" s="1720"/>
      <c r="R633" s="1720"/>
      <c r="S633" s="1720"/>
      <c r="T633" s="1720"/>
      <c r="U633" s="1720"/>
      <c r="V633" s="1720"/>
      <c r="W633" s="1961"/>
      <c r="X633" s="1961"/>
      <c r="Y633" s="1961"/>
      <c r="Z633" s="1749"/>
      <c r="AA633" s="1749"/>
      <c r="AB633" s="1750"/>
      <c r="AC633" s="1763"/>
      <c r="AD633" s="1764"/>
      <c r="AE633" s="1765"/>
      <c r="AF633" s="1951"/>
      <c r="AG633" s="1749"/>
      <c r="AH633" s="1749"/>
      <c r="AI633" s="1749"/>
      <c r="AJ633" s="1750"/>
      <c r="AK633" s="1965"/>
      <c r="AL633" s="1966"/>
      <c r="AM633" s="1966"/>
      <c r="AN633" s="1967"/>
      <c r="AO633" s="1720"/>
      <c r="AP633" s="1720"/>
      <c r="AQ633" s="1720"/>
      <c r="AR633" s="1720"/>
      <c r="AS633" s="1720"/>
      <c r="AU633" s="3"/>
      <c r="AZ633" s="3"/>
      <c r="BA633" s="3"/>
      <c r="BB633" s="3"/>
      <c r="BC633" s="3"/>
      <c r="BD633" s="3"/>
    </row>
    <row r="634" spans="1:56" ht="12.95" customHeight="1">
      <c r="B634" s="1960"/>
      <c r="C634" s="1960"/>
      <c r="D634" s="1960"/>
      <c r="E634" s="1960"/>
      <c r="F634" s="1960"/>
      <c r="G634" s="1960"/>
      <c r="H634" s="1960"/>
      <c r="I634" s="1960"/>
      <c r="J634" s="1960"/>
      <c r="K634" s="1960"/>
      <c r="L634" s="1960"/>
      <c r="M634" s="1720"/>
      <c r="N634" s="1720"/>
      <c r="O634" s="1720"/>
      <c r="P634" s="1720"/>
      <c r="Q634" s="1720"/>
      <c r="R634" s="1720"/>
      <c r="S634" s="1720"/>
      <c r="T634" s="1720"/>
      <c r="U634" s="1720"/>
      <c r="V634" s="1720"/>
      <c r="W634" s="1961"/>
      <c r="X634" s="1961"/>
      <c r="Y634" s="1961"/>
      <c r="Z634" s="1751"/>
      <c r="AA634" s="1751"/>
      <c r="AB634" s="1752"/>
      <c r="AC634" s="1766"/>
      <c r="AD634" s="1767"/>
      <c r="AE634" s="1768"/>
      <c r="AF634" s="1952"/>
      <c r="AG634" s="1751"/>
      <c r="AH634" s="1751"/>
      <c r="AI634" s="1751"/>
      <c r="AJ634" s="1752"/>
      <c r="AK634" s="1968"/>
      <c r="AL634" s="1969"/>
      <c r="AM634" s="1969"/>
      <c r="AN634" s="1970"/>
      <c r="AO634" s="1720"/>
      <c r="AP634" s="1720"/>
      <c r="AQ634" s="1720"/>
      <c r="AR634" s="1720"/>
      <c r="AS634" s="1720"/>
      <c r="AT634" s="3"/>
      <c r="AU634" s="3"/>
      <c r="AZ634" s="3"/>
      <c r="BA634" s="3"/>
      <c r="BB634" s="3"/>
      <c r="BC634" s="3"/>
      <c r="BD634" s="3"/>
    </row>
    <row r="635" spans="1:56" ht="12.95" customHeight="1">
      <c r="B635" s="51" t="s">
        <v>112</v>
      </c>
      <c r="C635" s="1652" t="s">
        <v>2788</v>
      </c>
      <c r="D635" s="1652"/>
      <c r="E635" s="1652"/>
      <c r="F635" s="1652"/>
      <c r="G635" s="1652"/>
      <c r="H635" s="1652"/>
      <c r="I635" s="1652"/>
      <c r="J635" s="1652"/>
      <c r="K635" s="1652"/>
      <c r="L635" s="1652"/>
      <c r="M635" s="1956" t="s">
        <v>2071</v>
      </c>
      <c r="N635" s="1956"/>
      <c r="O635" s="1956"/>
      <c r="P635" s="1956"/>
      <c r="Q635" s="1706">
        <f>17*12</f>
        <v>204</v>
      </c>
      <c r="R635" s="1706"/>
      <c r="S635" s="1707"/>
      <c r="T635" s="1705">
        <f>40*12</f>
        <v>480</v>
      </c>
      <c r="U635" s="1706"/>
      <c r="V635" s="1707"/>
      <c r="W635" s="1754">
        <v>6.25E-2</v>
      </c>
      <c r="X635" s="1755"/>
      <c r="Y635" s="1756"/>
      <c r="Z635" s="1757" t="s">
        <v>2083</v>
      </c>
      <c r="AA635" s="1758"/>
      <c r="AB635" s="1759"/>
      <c r="AC635" s="1721">
        <v>1</v>
      </c>
      <c r="AD635" s="1722"/>
      <c r="AE635" s="1723"/>
      <c r="AF635" s="1708">
        <f>1115759-AF636</f>
        <v>1036919</v>
      </c>
      <c r="AG635" s="1709"/>
      <c r="AH635" s="1709"/>
      <c r="AI635" s="1709"/>
      <c r="AJ635" s="1710"/>
      <c r="AK635" s="1700"/>
      <c r="AL635" s="1701"/>
      <c r="AM635" s="1701"/>
      <c r="AN635" s="1702"/>
      <c r="AO635" s="1731">
        <v>15120000</v>
      </c>
      <c r="AP635" s="1731"/>
      <c r="AQ635" s="1731"/>
      <c r="AR635" s="1731"/>
      <c r="AS635" s="1731"/>
      <c r="AT635" s="3"/>
      <c r="AU635" s="3"/>
      <c r="AZ635" s="3"/>
      <c r="BA635" s="3"/>
      <c r="BB635" s="3"/>
      <c r="BC635" s="3"/>
      <c r="BD635" s="3"/>
    </row>
    <row r="636" spans="1:56" ht="12.95" customHeight="1">
      <c r="B636" s="52" t="s">
        <v>113</v>
      </c>
      <c r="C636" s="1652" t="s">
        <v>2788</v>
      </c>
      <c r="D636" s="1652"/>
      <c r="E636" s="1652"/>
      <c r="F636" s="1652"/>
      <c r="G636" s="1652"/>
      <c r="H636" s="1652"/>
      <c r="I636" s="1652"/>
      <c r="J636" s="1652"/>
      <c r="K636" s="1652"/>
      <c r="L636" s="1652"/>
      <c r="M636" s="1956" t="s">
        <v>2070</v>
      </c>
      <c r="N636" s="1956"/>
      <c r="O636" s="1956"/>
      <c r="P636" s="1956"/>
      <c r="Q636" s="1705">
        <v>204</v>
      </c>
      <c r="R636" s="1706"/>
      <c r="S636" s="1707"/>
      <c r="T636" s="1705">
        <v>480</v>
      </c>
      <c r="U636" s="1706"/>
      <c r="V636" s="1707"/>
      <c r="W636" s="1754">
        <v>7.0000000000000007E-2</v>
      </c>
      <c r="X636" s="1755"/>
      <c r="Y636" s="1756"/>
      <c r="Z636" s="1757" t="s">
        <v>456</v>
      </c>
      <c r="AA636" s="1758"/>
      <c r="AB636" s="1759"/>
      <c r="AC636" s="1721">
        <v>2</v>
      </c>
      <c r="AD636" s="1722"/>
      <c r="AE636" s="1723"/>
      <c r="AF636" s="1708">
        <v>78840</v>
      </c>
      <c r="AG636" s="1709"/>
      <c r="AH636" s="1709"/>
      <c r="AI636" s="1709"/>
      <c r="AJ636" s="1710"/>
      <c r="AK636" s="1700"/>
      <c r="AL636" s="1701"/>
      <c r="AM636" s="1701"/>
      <c r="AN636" s="1702"/>
      <c r="AO636" s="1717">
        <v>1150000</v>
      </c>
      <c r="AP636" s="1718"/>
      <c r="AQ636" s="1718"/>
      <c r="AR636" s="1718"/>
      <c r="AS636" s="1719"/>
      <c r="AT636" s="1137" t="str">
        <f>IF(AND(NOT(C635=""),C636="",NOT(C637="")),"!","")</f>
        <v/>
      </c>
      <c r="AU636" s="3"/>
      <c r="AZ636" s="3"/>
      <c r="BA636" s="3"/>
      <c r="BB636" s="3"/>
      <c r="BC636" s="3"/>
      <c r="BD636" s="3"/>
    </row>
    <row r="637" spans="1:56" ht="12.95" customHeight="1">
      <c r="B637" s="52" t="s">
        <v>119</v>
      </c>
      <c r="C637" s="1652" t="s">
        <v>2749</v>
      </c>
      <c r="D637" s="1652"/>
      <c r="E637" s="1652"/>
      <c r="F637" s="1652"/>
      <c r="G637" s="1652"/>
      <c r="H637" s="1652"/>
      <c r="I637" s="1652"/>
      <c r="J637" s="1652"/>
      <c r="K637" s="1652"/>
      <c r="L637" s="1652"/>
      <c r="M637" s="1956" t="s">
        <v>2073</v>
      </c>
      <c r="N637" s="1956"/>
      <c r="O637" s="1956"/>
      <c r="P637" s="1956"/>
      <c r="Q637" s="1705"/>
      <c r="R637" s="1706"/>
      <c r="S637" s="1707"/>
      <c r="T637" s="1705"/>
      <c r="U637" s="1706"/>
      <c r="V637" s="1707"/>
      <c r="W637" s="1754"/>
      <c r="X637" s="1755"/>
      <c r="Y637" s="1756"/>
      <c r="Z637" s="1757" t="s">
        <v>299</v>
      </c>
      <c r="AA637" s="1758"/>
      <c r="AB637" s="1759"/>
      <c r="AC637" s="1721"/>
      <c r="AD637" s="1722"/>
      <c r="AE637" s="1723"/>
      <c r="AF637" s="1708"/>
      <c r="AG637" s="1709"/>
      <c r="AH637" s="1709"/>
      <c r="AI637" s="1709"/>
      <c r="AJ637" s="1710"/>
      <c r="AK637" s="1700"/>
      <c r="AL637" s="1701"/>
      <c r="AM637" s="1701"/>
      <c r="AN637" s="1702"/>
      <c r="AO637" s="1717">
        <f>AM565</f>
        <v>344396</v>
      </c>
      <c r="AP637" s="1718"/>
      <c r="AQ637" s="1718"/>
      <c r="AR637" s="1718"/>
      <c r="AS637" s="1719"/>
      <c r="AT637" s="1137" t="str">
        <f t="shared" ref="AT637:AT646" si="3">IF(AND(NOT(C636=""),C637="",NOT(C638="")),"!","")</f>
        <v/>
      </c>
      <c r="AU637" s="3"/>
      <c r="AZ637" s="3"/>
      <c r="BA637" s="3"/>
      <c r="BB637" s="3"/>
      <c r="BC637" s="3"/>
      <c r="BD637" s="3"/>
    </row>
    <row r="638" spans="1:56" ht="12.95" customHeight="1">
      <c r="B638" s="52" t="s">
        <v>580</v>
      </c>
      <c r="C638" s="1653" t="s">
        <v>2257</v>
      </c>
      <c r="D638" s="1653"/>
      <c r="E638" s="1653"/>
      <c r="F638" s="1653"/>
      <c r="G638" s="1653"/>
      <c r="H638" s="1653"/>
      <c r="I638" s="1653"/>
      <c r="J638" s="1653"/>
      <c r="K638" s="1653"/>
      <c r="L638" s="1653"/>
      <c r="M638" s="1956" t="s">
        <v>2058</v>
      </c>
      <c r="N638" s="1956"/>
      <c r="O638" s="1956"/>
      <c r="P638" s="1956"/>
      <c r="Q638" s="1705"/>
      <c r="R638" s="1706"/>
      <c r="S638" s="1707"/>
      <c r="T638" s="1705"/>
      <c r="U638" s="1706"/>
      <c r="V638" s="1707"/>
      <c r="W638" s="1754"/>
      <c r="X638" s="1755"/>
      <c r="Y638" s="1756"/>
      <c r="Z638" s="1757" t="s">
        <v>456</v>
      </c>
      <c r="AA638" s="1758"/>
      <c r="AB638" s="1759"/>
      <c r="AC638" s="1721"/>
      <c r="AD638" s="1722"/>
      <c r="AE638" s="1723"/>
      <c r="AF638" s="1708"/>
      <c r="AG638" s="1709"/>
      <c r="AH638" s="1709"/>
      <c r="AI638" s="1709"/>
      <c r="AJ638" s="1710"/>
      <c r="AK638" s="1700"/>
      <c r="AL638" s="1701"/>
      <c r="AM638" s="1701"/>
      <c r="AN638" s="1702"/>
      <c r="AO638" s="1717">
        <v>3500000</v>
      </c>
      <c r="AP638" s="1718"/>
      <c r="AQ638" s="1718"/>
      <c r="AR638" s="1718"/>
      <c r="AS638" s="1719"/>
      <c r="AT638" s="1137" t="str">
        <f t="shared" si="3"/>
        <v/>
      </c>
      <c r="AU638" s="3"/>
      <c r="AZ638" s="3"/>
      <c r="BA638" s="3"/>
      <c r="BB638" s="3"/>
      <c r="BC638" s="3"/>
      <c r="BD638" s="3"/>
    </row>
    <row r="639" spans="1:56" ht="12.95" customHeight="1">
      <c r="B639" s="52" t="s">
        <v>762</v>
      </c>
      <c r="C639" s="1653"/>
      <c r="D639" s="1653"/>
      <c r="E639" s="1653"/>
      <c r="F639" s="1653"/>
      <c r="G639" s="1653"/>
      <c r="H639" s="1653"/>
      <c r="I639" s="1653"/>
      <c r="J639" s="1653"/>
      <c r="K639" s="1653"/>
      <c r="L639" s="1653"/>
      <c r="M639" s="1956" t="s">
        <v>2057</v>
      </c>
      <c r="N639" s="1956"/>
      <c r="O639" s="1956"/>
      <c r="P639" s="1956"/>
      <c r="Q639" s="1705"/>
      <c r="R639" s="1706"/>
      <c r="S639" s="1707"/>
      <c r="T639" s="1705"/>
      <c r="U639" s="1706"/>
      <c r="V639" s="1707"/>
      <c r="W639" s="1754"/>
      <c r="X639" s="1755"/>
      <c r="Y639" s="1756"/>
      <c r="Z639" s="1757" t="s">
        <v>457</v>
      </c>
      <c r="AA639" s="1758"/>
      <c r="AB639" s="1759"/>
      <c r="AC639" s="1721"/>
      <c r="AD639" s="1722"/>
      <c r="AE639" s="1723"/>
      <c r="AF639" s="1708"/>
      <c r="AG639" s="1709"/>
      <c r="AH639" s="1709"/>
      <c r="AI639" s="1709"/>
      <c r="AJ639" s="1710"/>
      <c r="AK639" s="1700"/>
      <c r="AL639" s="1701"/>
      <c r="AM639" s="1701"/>
      <c r="AN639" s="1702"/>
      <c r="AO639" s="1717"/>
      <c r="AP639" s="1718"/>
      <c r="AQ639" s="1718"/>
      <c r="AR639" s="1718"/>
      <c r="AS639" s="1719"/>
      <c r="AT639" s="1137" t="str">
        <f t="shared" si="3"/>
        <v/>
      </c>
      <c r="AU639" s="3"/>
      <c r="AZ639" s="3"/>
      <c r="BA639" s="3"/>
      <c r="BB639" s="3"/>
      <c r="BC639" s="3"/>
      <c r="BD639" s="3"/>
    </row>
    <row r="640" spans="1:56" ht="12.95" customHeight="1">
      <c r="B640" s="52" t="s">
        <v>583</v>
      </c>
      <c r="C640" s="1652"/>
      <c r="D640" s="1653"/>
      <c r="E640" s="1653"/>
      <c r="F640" s="1653"/>
      <c r="G640" s="1653"/>
      <c r="H640" s="1653"/>
      <c r="I640" s="1653"/>
      <c r="J640" s="1653"/>
      <c r="K640" s="1653"/>
      <c r="L640" s="1653"/>
      <c r="M640" s="1956" t="s">
        <v>1181</v>
      </c>
      <c r="N640" s="1956"/>
      <c r="O640" s="1956"/>
      <c r="P640" s="1956"/>
      <c r="Q640" s="1705"/>
      <c r="R640" s="1706"/>
      <c r="S640" s="1707"/>
      <c r="T640" s="1705"/>
      <c r="U640" s="1706"/>
      <c r="V640" s="1707"/>
      <c r="W640" s="1754"/>
      <c r="X640" s="1755"/>
      <c r="Y640" s="1756"/>
      <c r="Z640" s="1757" t="s">
        <v>1181</v>
      </c>
      <c r="AA640" s="1758"/>
      <c r="AB640" s="1759"/>
      <c r="AC640" s="1721"/>
      <c r="AD640" s="1722"/>
      <c r="AE640" s="1723"/>
      <c r="AF640" s="1708"/>
      <c r="AG640" s="1709"/>
      <c r="AH640" s="1709"/>
      <c r="AI640" s="1709"/>
      <c r="AJ640" s="1710"/>
      <c r="AK640" s="1700"/>
      <c r="AL640" s="1701"/>
      <c r="AM640" s="1701"/>
      <c r="AN640" s="1702"/>
      <c r="AO640" s="1717"/>
      <c r="AP640" s="1718"/>
      <c r="AQ640" s="1718"/>
      <c r="AR640" s="1718"/>
      <c r="AS640" s="1719"/>
      <c r="AT640" s="1137" t="str">
        <f t="shared" si="3"/>
        <v/>
      </c>
      <c r="AU640" s="3"/>
      <c r="AZ640" s="3"/>
      <c r="BA640" s="3"/>
      <c r="BB640" s="3"/>
      <c r="BC640" s="3"/>
      <c r="BD640" s="3"/>
    </row>
    <row r="641" spans="1:157" ht="12.95" customHeight="1">
      <c r="B641" s="52" t="s">
        <v>454</v>
      </c>
      <c r="C641" s="1653"/>
      <c r="D641" s="1653"/>
      <c r="E641" s="1653"/>
      <c r="F641" s="1653"/>
      <c r="G641" s="1653"/>
      <c r="H641" s="1653"/>
      <c r="I641" s="1653"/>
      <c r="J641" s="1653"/>
      <c r="K641" s="1653"/>
      <c r="L641" s="1653"/>
      <c r="M641" s="1956" t="s">
        <v>1181</v>
      </c>
      <c r="N641" s="1956"/>
      <c r="O641" s="1956"/>
      <c r="P641" s="1956"/>
      <c r="Q641" s="1705"/>
      <c r="R641" s="1706"/>
      <c r="S641" s="1707"/>
      <c r="T641" s="1705"/>
      <c r="U641" s="1706"/>
      <c r="V641" s="1707"/>
      <c r="W641" s="1754"/>
      <c r="X641" s="1755"/>
      <c r="Y641" s="1756"/>
      <c r="Z641" s="1757" t="s">
        <v>1181</v>
      </c>
      <c r="AA641" s="1758"/>
      <c r="AB641" s="1759"/>
      <c r="AC641" s="1721"/>
      <c r="AD641" s="1722"/>
      <c r="AE641" s="1723"/>
      <c r="AF641" s="1708"/>
      <c r="AG641" s="1709"/>
      <c r="AH641" s="1709"/>
      <c r="AI641" s="1709"/>
      <c r="AJ641" s="1710"/>
      <c r="AK641" s="1700"/>
      <c r="AL641" s="1701"/>
      <c r="AM641" s="1701"/>
      <c r="AN641" s="1702"/>
      <c r="AO641" s="1717"/>
      <c r="AP641" s="1718"/>
      <c r="AQ641" s="1718"/>
      <c r="AR641" s="1718"/>
      <c r="AS641" s="1719"/>
      <c r="AT641" s="1137" t="str">
        <f t="shared" si="3"/>
        <v/>
      </c>
      <c r="AU641" s="3"/>
      <c r="AV641" s="3"/>
      <c r="AW641" s="3"/>
      <c r="AX641" s="3"/>
      <c r="AY641" s="3"/>
      <c r="AZ641" s="3"/>
      <c r="BA641" s="3"/>
      <c r="BB641" s="3"/>
      <c r="BC641" s="3"/>
      <c r="BD641" s="3"/>
    </row>
    <row r="642" spans="1:157" ht="12.95" customHeight="1">
      <c r="B642" s="52" t="s">
        <v>455</v>
      </c>
      <c r="C642" s="1653"/>
      <c r="D642" s="1653"/>
      <c r="E642" s="1653"/>
      <c r="F642" s="1653"/>
      <c r="G642" s="1653"/>
      <c r="H642" s="1653"/>
      <c r="I642" s="1653"/>
      <c r="J642" s="1653"/>
      <c r="K642" s="1653"/>
      <c r="L642" s="1653"/>
      <c r="M642" s="1956" t="s">
        <v>1181</v>
      </c>
      <c r="N642" s="1956"/>
      <c r="O642" s="1956"/>
      <c r="P642" s="1956"/>
      <c r="Q642" s="1705"/>
      <c r="R642" s="1706"/>
      <c r="S642" s="1707"/>
      <c r="T642" s="1705"/>
      <c r="U642" s="1706"/>
      <c r="V642" s="1707"/>
      <c r="W642" s="1754"/>
      <c r="X642" s="1755"/>
      <c r="Y642" s="1756"/>
      <c r="Z642" s="1757" t="s">
        <v>1181</v>
      </c>
      <c r="AA642" s="1758"/>
      <c r="AB642" s="1759"/>
      <c r="AC642" s="1721"/>
      <c r="AD642" s="1722"/>
      <c r="AE642" s="1723"/>
      <c r="AF642" s="1708"/>
      <c r="AG642" s="1709"/>
      <c r="AH642" s="1709"/>
      <c r="AI642" s="1709"/>
      <c r="AJ642" s="1710"/>
      <c r="AK642" s="1700"/>
      <c r="AL642" s="1701"/>
      <c r="AM642" s="1701"/>
      <c r="AN642" s="1702"/>
      <c r="AO642" s="1717"/>
      <c r="AP642" s="1718"/>
      <c r="AQ642" s="1718"/>
      <c r="AR642" s="1718"/>
      <c r="AS642" s="1719"/>
      <c r="AT642" s="1137" t="str">
        <f t="shared" si="3"/>
        <v/>
      </c>
      <c r="AU642" s="3"/>
      <c r="AV642" s="3"/>
      <c r="AW642" s="3"/>
      <c r="AX642" s="3"/>
      <c r="AY642" s="3"/>
      <c r="AZ642" s="3"/>
      <c r="BA642" s="3" t="s">
        <v>1181</v>
      </c>
      <c r="BB642" s="3"/>
      <c r="BC642" s="3"/>
      <c r="BD642" s="3"/>
    </row>
    <row r="643" spans="1:157" ht="12.95" customHeight="1">
      <c r="B643" s="52" t="s">
        <v>460</v>
      </c>
      <c r="C643" s="1653"/>
      <c r="D643" s="1653"/>
      <c r="E643" s="1653"/>
      <c r="F643" s="1653"/>
      <c r="G643" s="1653"/>
      <c r="H643" s="1653"/>
      <c r="I643" s="1653"/>
      <c r="J643" s="1653"/>
      <c r="K643" s="1653"/>
      <c r="L643" s="1653"/>
      <c r="M643" s="1956" t="s">
        <v>1181</v>
      </c>
      <c r="N643" s="1956"/>
      <c r="O643" s="1956"/>
      <c r="P643" s="1956"/>
      <c r="Q643" s="1705"/>
      <c r="R643" s="1706"/>
      <c r="S643" s="1707"/>
      <c r="T643" s="1705"/>
      <c r="U643" s="1706"/>
      <c r="V643" s="1707"/>
      <c r="W643" s="1754"/>
      <c r="X643" s="1755"/>
      <c r="Y643" s="1756"/>
      <c r="Z643" s="1757" t="s">
        <v>1181</v>
      </c>
      <c r="AA643" s="1758"/>
      <c r="AB643" s="1759"/>
      <c r="AC643" s="1721"/>
      <c r="AD643" s="1722"/>
      <c r="AE643" s="1723"/>
      <c r="AF643" s="1708"/>
      <c r="AG643" s="1709"/>
      <c r="AH643" s="1709"/>
      <c r="AI643" s="1709"/>
      <c r="AJ643" s="1710"/>
      <c r="AK643" s="1700"/>
      <c r="AL643" s="1701"/>
      <c r="AM643" s="1701"/>
      <c r="AN643" s="1702"/>
      <c r="AO643" s="1717"/>
      <c r="AP643" s="1718"/>
      <c r="AQ643" s="1718"/>
      <c r="AR643" s="1718"/>
      <c r="AS643" s="1719"/>
      <c r="AT643" s="1137"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773" t="e">
        <f t="shared" ref="DX643:DX677" si="4">EZ726*(CP726/$CP$761)</f>
        <v>#VALUE!</v>
      </c>
      <c r="DY643" s="1773"/>
      <c r="DZ643" s="1773"/>
      <c r="EA643" s="1773"/>
      <c r="EB643" s="1773"/>
      <c r="EC643" s="1773">
        <f t="shared" ref="EC643:EC677" si="5">FE726*(CU726/$CU$761)</f>
        <v>74.035714285714278</v>
      </c>
      <c r="ED643" s="1773"/>
      <c r="EE643" s="1773"/>
      <c r="EF643" s="1773"/>
      <c r="EG643" s="1773"/>
      <c r="EH643" s="1773" t="e">
        <f t="shared" ref="EH643:EH677" si="6">FJ726*(CZ726/$CZ$761)</f>
        <v>#VALUE!</v>
      </c>
      <c r="EI643" s="1773"/>
      <c r="EJ643" s="1773"/>
      <c r="EK643" s="1773"/>
      <c r="EL643" s="1773"/>
      <c r="EM643" s="1773" t="e">
        <f t="shared" ref="EM643:EM677" si="7">FO726*(DE726/$DE$761)</f>
        <v>#VALUE!</v>
      </c>
      <c r="EN643" s="1773"/>
      <c r="EO643" s="1773"/>
      <c r="EP643" s="1773"/>
      <c r="EQ643" s="1773"/>
      <c r="ER643" s="1773" t="e">
        <f t="shared" ref="ER643:ER677" si="8">FT726*(DJ726/$DJ$761)</f>
        <v>#VALUE!</v>
      </c>
      <c r="ES643" s="1773"/>
      <c r="ET643" s="1773"/>
      <c r="EU643" s="1773"/>
      <c r="EV643" s="1773"/>
      <c r="EW643" s="1773" t="e">
        <f t="shared" ref="EW643:EW677" si="9">FY726*(DO726/$DO$761)</f>
        <v>#VALUE!</v>
      </c>
      <c r="EX643" s="1773"/>
      <c r="EY643" s="1773"/>
      <c r="EZ643" s="1773"/>
      <c r="FA643" s="1773"/>
    </row>
    <row r="644" spans="1:157" ht="12.95" customHeight="1">
      <c r="B644" s="52" t="s">
        <v>645</v>
      </c>
      <c r="C644" s="1653"/>
      <c r="D644" s="1653"/>
      <c r="E644" s="1653"/>
      <c r="F644" s="1653"/>
      <c r="G644" s="1653"/>
      <c r="H644" s="1653"/>
      <c r="I644" s="1653"/>
      <c r="J644" s="1653"/>
      <c r="K644" s="1653"/>
      <c r="L644" s="1653"/>
      <c r="M644" s="1956" t="s">
        <v>1181</v>
      </c>
      <c r="N644" s="1956"/>
      <c r="O644" s="1956"/>
      <c r="P644" s="1956"/>
      <c r="Q644" s="1705"/>
      <c r="R644" s="1706"/>
      <c r="S644" s="1707"/>
      <c r="T644" s="1705"/>
      <c r="U644" s="1706"/>
      <c r="V644" s="1707"/>
      <c r="W644" s="1754"/>
      <c r="X644" s="1755"/>
      <c r="Y644" s="1756"/>
      <c r="Z644" s="1757" t="s">
        <v>1181</v>
      </c>
      <c r="AA644" s="1758"/>
      <c r="AB644" s="1759"/>
      <c r="AC644" s="1721"/>
      <c r="AD644" s="1722"/>
      <c r="AE644" s="1723"/>
      <c r="AF644" s="1708"/>
      <c r="AG644" s="1709"/>
      <c r="AH644" s="1709"/>
      <c r="AI644" s="1709"/>
      <c r="AJ644" s="1710"/>
      <c r="AK644" s="1700"/>
      <c r="AL644" s="1701"/>
      <c r="AM644" s="1701"/>
      <c r="AN644" s="1702"/>
      <c r="AO644" s="1717"/>
      <c r="AP644" s="1718"/>
      <c r="AQ644" s="1718"/>
      <c r="AR644" s="1718"/>
      <c r="AS644" s="1719"/>
      <c r="AT644" s="1137"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773" t="e">
        <f t="shared" si="4"/>
        <v>#VALUE!</v>
      </c>
      <c r="DY644" s="1773"/>
      <c r="DZ644" s="1773"/>
      <c r="EA644" s="1773"/>
      <c r="EB644" s="1773"/>
      <c r="EC644" s="1773">
        <f t="shared" si="5"/>
        <v>230.60714285714286</v>
      </c>
      <c r="ED644" s="1773"/>
      <c r="EE644" s="1773"/>
      <c r="EF644" s="1773"/>
      <c r="EG644" s="1773"/>
      <c r="EH644" s="1773" t="e">
        <f t="shared" si="6"/>
        <v>#VALUE!</v>
      </c>
      <c r="EI644" s="1773"/>
      <c r="EJ644" s="1773"/>
      <c r="EK644" s="1773"/>
      <c r="EL644" s="1773"/>
      <c r="EM644" s="1773" t="e">
        <f t="shared" si="7"/>
        <v>#VALUE!</v>
      </c>
      <c r="EN644" s="1773"/>
      <c r="EO644" s="1773"/>
      <c r="EP644" s="1773"/>
      <c r="EQ644" s="1773"/>
      <c r="ER644" s="1773" t="e">
        <f t="shared" si="8"/>
        <v>#VALUE!</v>
      </c>
      <c r="ES644" s="1773"/>
      <c r="ET644" s="1773"/>
      <c r="EU644" s="1773"/>
      <c r="EV644" s="1773"/>
      <c r="EW644" s="1773" t="e">
        <f t="shared" si="9"/>
        <v>#VALUE!</v>
      </c>
      <c r="EX644" s="1773"/>
      <c r="EY644" s="1773"/>
      <c r="EZ644" s="1773"/>
      <c r="FA644" s="1773"/>
    </row>
    <row r="645" spans="1:157" ht="12.95" customHeight="1">
      <c r="B645" s="52" t="s">
        <v>361</v>
      </c>
      <c r="C645" s="1653"/>
      <c r="D645" s="1653"/>
      <c r="E645" s="1653"/>
      <c r="F645" s="1653"/>
      <c r="G645" s="1653"/>
      <c r="H645" s="1653"/>
      <c r="I645" s="1653"/>
      <c r="J645" s="1653"/>
      <c r="K645" s="1653"/>
      <c r="L645" s="1653"/>
      <c r="M645" s="1956" t="s">
        <v>1181</v>
      </c>
      <c r="N645" s="1956"/>
      <c r="O645" s="1956"/>
      <c r="P645" s="1956"/>
      <c r="Q645" s="1705"/>
      <c r="R645" s="1706"/>
      <c r="S645" s="1707"/>
      <c r="T645" s="1705"/>
      <c r="U645" s="1706"/>
      <c r="V645" s="1707"/>
      <c r="W645" s="1754"/>
      <c r="X645" s="1755"/>
      <c r="Y645" s="1756"/>
      <c r="Z645" s="1757" t="s">
        <v>1181</v>
      </c>
      <c r="AA645" s="1758"/>
      <c r="AB645" s="1759"/>
      <c r="AC645" s="1721"/>
      <c r="AD645" s="1722"/>
      <c r="AE645" s="1723"/>
      <c r="AF645" s="1708"/>
      <c r="AG645" s="1709"/>
      <c r="AH645" s="1709"/>
      <c r="AI645" s="1709"/>
      <c r="AJ645" s="1710"/>
      <c r="AK645" s="1700"/>
      <c r="AL645" s="1701"/>
      <c r="AM645" s="1701"/>
      <c r="AN645" s="1702"/>
      <c r="AO645" s="1717"/>
      <c r="AP645" s="1718"/>
      <c r="AQ645" s="1718"/>
      <c r="AR645" s="1718"/>
      <c r="AS645" s="1719"/>
      <c r="AT645" s="1137" t="str">
        <f t="shared" si="3"/>
        <v/>
      </c>
      <c r="AV645" s="3"/>
      <c r="AW645" s="3"/>
      <c r="AX645" s="3"/>
      <c r="AY645" s="3"/>
      <c r="AZ645" s="34"/>
      <c r="BA645" s="3" t="s">
        <v>2083</v>
      </c>
      <c r="BB645" s="34"/>
      <c r="BC645" s="34"/>
      <c r="BD645" s="34"/>
      <c r="BE645" s="34"/>
      <c r="BF645" s="34"/>
      <c r="BG645" s="34"/>
      <c r="BH645" s="34"/>
      <c r="BI645" s="34"/>
      <c r="BJ645" s="34"/>
      <c r="BK645" s="34"/>
      <c r="BL645" s="34"/>
      <c r="BM645" s="34"/>
      <c r="DA645" s="3"/>
      <c r="DB645" s="3"/>
      <c r="DC645" s="3"/>
      <c r="DD645" s="3"/>
      <c r="DE645" s="3"/>
      <c r="DF645" s="3"/>
      <c r="DX645" s="1773" t="e">
        <f t="shared" si="4"/>
        <v>#VALUE!</v>
      </c>
      <c r="DY645" s="1773"/>
      <c r="DZ645" s="1773"/>
      <c r="EA645" s="1773"/>
      <c r="EB645" s="1773"/>
      <c r="EC645" s="1773">
        <f t="shared" si="5"/>
        <v>732.76785714285722</v>
      </c>
      <c r="ED645" s="1773"/>
      <c r="EE645" s="1773"/>
      <c r="EF645" s="1773"/>
      <c r="EG645" s="1773"/>
      <c r="EH645" s="1773" t="e">
        <f t="shared" si="6"/>
        <v>#VALUE!</v>
      </c>
      <c r="EI645" s="1773"/>
      <c r="EJ645" s="1773"/>
      <c r="EK645" s="1773"/>
      <c r="EL645" s="1773"/>
      <c r="EM645" s="1773" t="e">
        <f t="shared" si="7"/>
        <v>#VALUE!</v>
      </c>
      <c r="EN645" s="1773"/>
      <c r="EO645" s="1773"/>
      <c r="EP645" s="1773"/>
      <c r="EQ645" s="1773"/>
      <c r="ER645" s="1773" t="e">
        <f t="shared" si="8"/>
        <v>#VALUE!</v>
      </c>
      <c r="ES645" s="1773"/>
      <c r="ET645" s="1773"/>
      <c r="EU645" s="1773"/>
      <c r="EV645" s="1773"/>
      <c r="EW645" s="1773" t="e">
        <f t="shared" si="9"/>
        <v>#VALUE!</v>
      </c>
      <c r="EX645" s="1773"/>
      <c r="EY645" s="1773"/>
      <c r="EZ645" s="1773"/>
      <c r="FA645" s="1773"/>
    </row>
    <row r="646" spans="1:157" ht="12.95" customHeight="1">
      <c r="B646" s="52" t="s">
        <v>362</v>
      </c>
      <c r="C646" s="1653"/>
      <c r="D646" s="1653"/>
      <c r="E646" s="1653"/>
      <c r="F646" s="1653"/>
      <c r="G646" s="1653"/>
      <c r="H646" s="1653"/>
      <c r="I646" s="1653"/>
      <c r="J646" s="1653"/>
      <c r="K646" s="1653"/>
      <c r="L646" s="1653"/>
      <c r="M646" s="1956" t="s">
        <v>1181</v>
      </c>
      <c r="N646" s="1956"/>
      <c r="O646" s="1956"/>
      <c r="P646" s="1956"/>
      <c r="Q646" s="1705"/>
      <c r="R646" s="1706"/>
      <c r="S646" s="1707"/>
      <c r="T646" s="1705"/>
      <c r="U646" s="1706"/>
      <c r="V646" s="1707"/>
      <c r="W646" s="1754"/>
      <c r="X646" s="1755"/>
      <c r="Y646" s="1756"/>
      <c r="Z646" s="1757" t="s">
        <v>1181</v>
      </c>
      <c r="AA646" s="1758"/>
      <c r="AB646" s="1759"/>
      <c r="AC646" s="1721"/>
      <c r="AD646" s="1722"/>
      <c r="AE646" s="1723"/>
      <c r="AF646" s="1708"/>
      <c r="AG646" s="1709"/>
      <c r="AH646" s="1709"/>
      <c r="AI646" s="1709"/>
      <c r="AJ646" s="1710"/>
      <c r="AK646" s="1700"/>
      <c r="AL646" s="1701"/>
      <c r="AM646" s="1701"/>
      <c r="AN646" s="1702"/>
      <c r="AO646" s="1717"/>
      <c r="AP646" s="1718"/>
      <c r="AQ646" s="1718"/>
      <c r="AR646" s="1718"/>
      <c r="AS646" s="1719"/>
      <c r="AT646" s="1137"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773" t="e">
        <f t="shared" si="4"/>
        <v>#VALUE!</v>
      </c>
      <c r="DY646" s="1773"/>
      <c r="DZ646" s="1773"/>
      <c r="EA646" s="1773"/>
      <c r="EB646" s="1773"/>
      <c r="EC646" s="1773">
        <f t="shared" si="5"/>
        <v>295.71428571428572</v>
      </c>
      <c r="ED646" s="1773"/>
      <c r="EE646" s="1773"/>
      <c r="EF646" s="1773"/>
      <c r="EG646" s="1773"/>
      <c r="EH646" s="1773" t="e">
        <f t="shared" si="6"/>
        <v>#VALUE!</v>
      </c>
      <c r="EI646" s="1773"/>
      <c r="EJ646" s="1773"/>
      <c r="EK646" s="1773"/>
      <c r="EL646" s="1773"/>
      <c r="EM646" s="1773" t="e">
        <f t="shared" si="7"/>
        <v>#VALUE!</v>
      </c>
      <c r="EN646" s="1773"/>
      <c r="EO646" s="1773"/>
      <c r="EP646" s="1773"/>
      <c r="EQ646" s="1773"/>
      <c r="ER646" s="1773" t="e">
        <f t="shared" si="8"/>
        <v>#VALUE!</v>
      </c>
      <c r="ES646" s="1773"/>
      <c r="ET646" s="1773"/>
      <c r="EU646" s="1773"/>
      <c r="EV646" s="1773"/>
      <c r="EW646" s="1773" t="e">
        <f t="shared" si="9"/>
        <v>#VALUE!</v>
      </c>
      <c r="EX646" s="1773"/>
      <c r="EY646" s="1773"/>
      <c r="EZ646" s="1773"/>
      <c r="FA646" s="1773"/>
    </row>
    <row r="647" spans="1:157" ht="12.95" customHeight="1">
      <c r="B647" s="1774" t="s">
        <v>128</v>
      </c>
      <c r="C647" s="1775"/>
      <c r="D647" s="1775"/>
      <c r="E647" s="1775"/>
      <c r="F647" s="1775"/>
      <c r="G647" s="1775"/>
      <c r="H647" s="1775"/>
      <c r="I647" s="1775"/>
      <c r="J647" s="1775"/>
      <c r="K647" s="1775"/>
      <c r="L647" s="1775"/>
      <c r="M647" s="1775"/>
      <c r="N647" s="1775"/>
      <c r="O647" s="1775"/>
      <c r="P647" s="1775"/>
      <c r="Q647" s="1775"/>
      <c r="R647" s="1775"/>
      <c r="S647" s="1775"/>
      <c r="T647" s="1775"/>
      <c r="U647" s="1775"/>
      <c r="V647" s="1775"/>
      <c r="W647" s="1775"/>
      <c r="X647" s="1775"/>
      <c r="Y647" s="1775"/>
      <c r="Z647" s="1775"/>
      <c r="AA647" s="1775"/>
      <c r="AB647" s="1775"/>
      <c r="AC647" s="1775"/>
      <c r="AD647" s="1775"/>
      <c r="AE647" s="1775"/>
      <c r="AF647" s="1775"/>
      <c r="AG647" s="1775"/>
      <c r="AH647" s="1775"/>
      <c r="AI647" s="1775"/>
      <c r="AJ647" s="1775"/>
      <c r="AK647" s="1775"/>
      <c r="AL647" s="1775"/>
      <c r="AM647" s="1775"/>
      <c r="AN647" s="1776"/>
      <c r="AO647" s="1770">
        <f>SUM(AO635:AR646)</f>
        <v>20114396</v>
      </c>
      <c r="AP647" s="1771"/>
      <c r="AQ647" s="1771"/>
      <c r="AR647" s="1771"/>
      <c r="AS647" s="177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773" t="e">
        <f t="shared" si="4"/>
        <v>#VALUE!</v>
      </c>
      <c r="DY647" s="1773"/>
      <c r="DZ647" s="1773"/>
      <c r="EA647" s="1773"/>
      <c r="EB647" s="1773"/>
      <c r="EC647" s="1773" t="e">
        <f t="shared" si="5"/>
        <v>#VALUE!</v>
      </c>
      <c r="ED647" s="1773"/>
      <c r="EE647" s="1773"/>
      <c r="EF647" s="1773"/>
      <c r="EG647" s="1773"/>
      <c r="EH647" s="1773">
        <f t="shared" si="6"/>
        <v>83.4</v>
      </c>
      <c r="EI647" s="1773"/>
      <c r="EJ647" s="1773"/>
      <c r="EK647" s="1773"/>
      <c r="EL647" s="1773"/>
      <c r="EM647" s="1773" t="e">
        <f t="shared" si="7"/>
        <v>#VALUE!</v>
      </c>
      <c r="EN647" s="1773"/>
      <c r="EO647" s="1773"/>
      <c r="EP647" s="1773"/>
      <c r="EQ647" s="1773"/>
      <c r="ER647" s="1773" t="e">
        <f t="shared" si="8"/>
        <v>#VALUE!</v>
      </c>
      <c r="ES647" s="1773"/>
      <c r="ET647" s="1773"/>
      <c r="EU647" s="1773"/>
      <c r="EV647" s="1773"/>
      <c r="EW647" s="1773" t="e">
        <f t="shared" si="9"/>
        <v>#VALUE!</v>
      </c>
      <c r="EX647" s="1773"/>
      <c r="EY647" s="1773"/>
      <c r="EZ647" s="1773"/>
      <c r="FA647" s="1773"/>
    </row>
    <row r="648" spans="1:157" ht="12.95" customHeight="1">
      <c r="B648" s="1774" t="s">
        <v>266</v>
      </c>
      <c r="C648" s="1775"/>
      <c r="D648" s="1775"/>
      <c r="E648" s="1775"/>
      <c r="F648" s="1775"/>
      <c r="G648" s="1775"/>
      <c r="H648" s="1775"/>
      <c r="I648" s="1775"/>
      <c r="J648" s="1775"/>
      <c r="K648" s="1775"/>
      <c r="L648" s="1775"/>
      <c r="M648" s="1775"/>
      <c r="N648" s="1775"/>
      <c r="O648" s="1775"/>
      <c r="P648" s="1775"/>
      <c r="Q648" s="1775"/>
      <c r="R648" s="1775"/>
      <c r="S648" s="1775"/>
      <c r="T648" s="1775"/>
      <c r="U648" s="1775"/>
      <c r="V648" s="1775"/>
      <c r="W648" s="1775"/>
      <c r="X648" s="1775"/>
      <c r="Y648" s="1775"/>
      <c r="Z648" s="1775"/>
      <c r="AA648" s="1775"/>
      <c r="AB648" s="1775"/>
      <c r="AC648" s="1775"/>
      <c r="AD648" s="1775"/>
      <c r="AE648" s="1775"/>
      <c r="AF648" s="1775"/>
      <c r="AG648" s="1775"/>
      <c r="AH648" s="1775"/>
      <c r="AI648" s="1775"/>
      <c r="AJ648" s="1775"/>
      <c r="AK648" s="1775"/>
      <c r="AL648" s="1775"/>
      <c r="AM648" s="1775"/>
      <c r="AN648" s="1776"/>
      <c r="AO648" s="1717">
        <f>38026653+23</f>
        <v>38026676</v>
      </c>
      <c r="AP648" s="1718"/>
      <c r="AQ648" s="1718"/>
      <c r="AR648" s="1718"/>
      <c r="AS648" s="171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773" t="e">
        <f t="shared" si="4"/>
        <v>#VALUE!</v>
      </c>
      <c r="DY648" s="1773"/>
      <c r="DZ648" s="1773"/>
      <c r="EA648" s="1773"/>
      <c r="EB648" s="1773"/>
      <c r="EC648" s="1773" t="e">
        <f t="shared" si="5"/>
        <v>#VALUE!</v>
      </c>
      <c r="ED648" s="1773"/>
      <c r="EE648" s="1773"/>
      <c r="EF648" s="1773"/>
      <c r="EG648" s="1773"/>
      <c r="EH648" s="1773">
        <f t="shared" si="6"/>
        <v>282.60000000000002</v>
      </c>
      <c r="EI648" s="1773"/>
      <c r="EJ648" s="1773"/>
      <c r="EK648" s="1773"/>
      <c r="EL648" s="1773"/>
      <c r="EM648" s="1773" t="e">
        <f t="shared" si="7"/>
        <v>#VALUE!</v>
      </c>
      <c r="EN648" s="1773"/>
      <c r="EO648" s="1773"/>
      <c r="EP648" s="1773"/>
      <c r="EQ648" s="1773"/>
      <c r="ER648" s="1773" t="e">
        <f t="shared" si="8"/>
        <v>#VALUE!</v>
      </c>
      <c r="ES648" s="1773"/>
      <c r="ET648" s="1773"/>
      <c r="EU648" s="1773"/>
      <c r="EV648" s="1773"/>
      <c r="EW648" s="1773" t="e">
        <f t="shared" si="9"/>
        <v>#VALUE!</v>
      </c>
      <c r="EX648" s="1773"/>
      <c r="EY648" s="1773"/>
      <c r="EZ648" s="1773"/>
      <c r="FA648" s="1773"/>
    </row>
    <row r="649" spans="1:157" ht="12.95" customHeight="1">
      <c r="B649" s="1953" t="s">
        <v>267</v>
      </c>
      <c r="C649" s="1954"/>
      <c r="D649" s="1954"/>
      <c r="E649" s="1954"/>
      <c r="F649" s="1954"/>
      <c r="G649" s="1954"/>
      <c r="H649" s="1954"/>
      <c r="I649" s="1954"/>
      <c r="J649" s="1954"/>
      <c r="K649" s="1954"/>
      <c r="L649" s="1954"/>
      <c r="M649" s="1954"/>
      <c r="N649" s="1954"/>
      <c r="O649" s="1954"/>
      <c r="P649" s="1954"/>
      <c r="Q649" s="1954"/>
      <c r="R649" s="1954"/>
      <c r="S649" s="1954"/>
      <c r="T649" s="1954"/>
      <c r="U649" s="1954"/>
      <c r="V649" s="1954"/>
      <c r="W649" s="1954"/>
      <c r="X649" s="1954"/>
      <c r="Y649" s="1954"/>
      <c r="Z649" s="1954"/>
      <c r="AA649" s="1954"/>
      <c r="AB649" s="1954"/>
      <c r="AC649" s="1954"/>
      <c r="AD649" s="1954"/>
      <c r="AE649" s="1954"/>
      <c r="AF649" s="1954"/>
      <c r="AG649" s="1954"/>
      <c r="AH649" s="1954"/>
      <c r="AI649" s="1954"/>
      <c r="AJ649" s="1954"/>
      <c r="AK649" s="1954"/>
      <c r="AL649" s="1954"/>
      <c r="AM649" s="1954"/>
      <c r="AN649" s="1955"/>
      <c r="AO649" s="1770">
        <f>AO647+AO648</f>
        <v>58141072</v>
      </c>
      <c r="AP649" s="1771"/>
      <c r="AQ649" s="1771"/>
      <c r="AR649" s="1771"/>
      <c r="AS649" s="177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773" t="e">
        <f t="shared" si="4"/>
        <v>#VALUE!</v>
      </c>
      <c r="DY649" s="1773"/>
      <c r="DZ649" s="1773"/>
      <c r="EA649" s="1773"/>
      <c r="EB649" s="1773"/>
      <c r="EC649" s="1773" t="e">
        <f t="shared" si="5"/>
        <v>#VALUE!</v>
      </c>
      <c r="ED649" s="1773"/>
      <c r="EE649" s="1773"/>
      <c r="EF649" s="1773"/>
      <c r="EG649" s="1773"/>
      <c r="EH649" s="1773">
        <f t="shared" si="6"/>
        <v>851.5</v>
      </c>
      <c r="EI649" s="1773"/>
      <c r="EJ649" s="1773"/>
      <c r="EK649" s="1773"/>
      <c r="EL649" s="1773"/>
      <c r="EM649" s="1773" t="e">
        <f t="shared" si="7"/>
        <v>#VALUE!</v>
      </c>
      <c r="EN649" s="1773"/>
      <c r="EO649" s="1773"/>
      <c r="EP649" s="1773"/>
      <c r="EQ649" s="1773"/>
      <c r="ER649" s="1773" t="e">
        <f t="shared" si="8"/>
        <v>#VALUE!</v>
      </c>
      <c r="ES649" s="1773"/>
      <c r="ET649" s="1773"/>
      <c r="EU649" s="1773"/>
      <c r="EV649" s="1773"/>
      <c r="EW649" s="1773" t="e">
        <f t="shared" si="9"/>
        <v>#VALUE!</v>
      </c>
      <c r="EX649" s="1773"/>
      <c r="EY649" s="1773"/>
      <c r="EZ649" s="1773"/>
      <c r="FA649" s="1773"/>
    </row>
    <row r="650" spans="1:157" ht="12.95" customHeight="1">
      <c r="B650" s="510"/>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773" t="e">
        <f t="shared" si="4"/>
        <v>#VALUE!</v>
      </c>
      <c r="DY650" s="1773"/>
      <c r="DZ650" s="1773"/>
      <c r="EA650" s="1773"/>
      <c r="EB650" s="1773"/>
      <c r="EC650" s="1773" t="e">
        <f t="shared" si="5"/>
        <v>#VALUE!</v>
      </c>
      <c r="ED650" s="1773"/>
      <c r="EE650" s="1773"/>
      <c r="EF650" s="1773"/>
      <c r="EG650" s="1773"/>
      <c r="EH650" s="1773">
        <f t="shared" si="6"/>
        <v>398.40000000000003</v>
      </c>
      <c r="EI650" s="1773"/>
      <c r="EJ650" s="1773"/>
      <c r="EK650" s="1773"/>
      <c r="EL650" s="1773"/>
      <c r="EM650" s="1773" t="e">
        <f t="shared" si="7"/>
        <v>#VALUE!</v>
      </c>
      <c r="EN650" s="1773"/>
      <c r="EO650" s="1773"/>
      <c r="EP650" s="1773"/>
      <c r="EQ650" s="1773"/>
      <c r="ER650" s="1773" t="e">
        <f t="shared" si="8"/>
        <v>#VALUE!</v>
      </c>
      <c r="ES650" s="1773"/>
      <c r="ET650" s="1773"/>
      <c r="EU650" s="1773"/>
      <c r="EV650" s="1773"/>
      <c r="EW650" s="1773" t="e">
        <f t="shared" si="9"/>
        <v>#VALUE!</v>
      </c>
      <c r="EX650" s="1773"/>
      <c r="EY650" s="1773"/>
      <c r="EZ650" s="1773"/>
      <c r="FA650" s="1773"/>
    </row>
    <row r="651" spans="1:157" ht="12.95" customHeight="1">
      <c r="A651" s="55" t="s">
        <v>112</v>
      </c>
      <c r="B651" t="s">
        <v>462</v>
      </c>
      <c r="G651" s="1695" t="str">
        <f>C635</f>
        <v>Citibank</v>
      </c>
      <c r="H651" s="1695"/>
      <c r="I651" s="1695"/>
      <c r="J651" s="1695"/>
      <c r="K651" s="1695"/>
      <c r="L651" s="1695"/>
      <c r="M651" s="1695"/>
      <c r="N651" s="1695"/>
      <c r="O651" s="1695"/>
      <c r="P651" s="1695"/>
      <c r="Q651" s="1695"/>
      <c r="R651" s="1695"/>
      <c r="S651" s="8"/>
      <c r="T651" s="55" t="s">
        <v>113</v>
      </c>
      <c r="U651" t="s">
        <v>462</v>
      </c>
      <c r="Z651" s="1695" t="str">
        <f>C636</f>
        <v>Citibank</v>
      </c>
      <c r="AA651" s="1695"/>
      <c r="AB651" s="1695"/>
      <c r="AC651" s="1695"/>
      <c r="AD651" s="1695"/>
      <c r="AE651" s="1695"/>
      <c r="AF651" s="1695"/>
      <c r="AG651" s="1695"/>
      <c r="AH651" s="1695"/>
      <c r="AI651" s="1695"/>
      <c r="AJ651" s="1695"/>
      <c r="AK651" s="169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773" t="e">
        <f t="shared" si="4"/>
        <v>#VALUE!</v>
      </c>
      <c r="DY651" s="1773"/>
      <c r="DZ651" s="1773"/>
      <c r="EA651" s="1773"/>
      <c r="EB651" s="1773"/>
      <c r="EC651" s="1773" t="e">
        <f t="shared" si="5"/>
        <v>#VALUE!</v>
      </c>
      <c r="ED651" s="1773"/>
      <c r="EE651" s="1773"/>
      <c r="EF651" s="1773"/>
      <c r="EG651" s="1773"/>
      <c r="EH651" s="1773" t="e">
        <f t="shared" si="6"/>
        <v>#VALUE!</v>
      </c>
      <c r="EI651" s="1773"/>
      <c r="EJ651" s="1773"/>
      <c r="EK651" s="1773"/>
      <c r="EL651" s="1773"/>
      <c r="EM651" s="1773">
        <f t="shared" si="7"/>
        <v>90.75</v>
      </c>
      <c r="EN651" s="1773"/>
      <c r="EO651" s="1773"/>
      <c r="EP651" s="1773"/>
      <c r="EQ651" s="1773"/>
      <c r="ER651" s="1773" t="e">
        <f t="shared" si="8"/>
        <v>#VALUE!</v>
      </c>
      <c r="ES651" s="1773"/>
      <c r="ET651" s="1773"/>
      <c r="EU651" s="1773"/>
      <c r="EV651" s="1773"/>
      <c r="EW651" s="1773" t="e">
        <f t="shared" si="9"/>
        <v>#VALUE!</v>
      </c>
      <c r="EX651" s="1773"/>
      <c r="EY651" s="1773"/>
      <c r="EZ651" s="1773"/>
      <c r="FA651" s="1773"/>
    </row>
    <row r="652" spans="1:157" ht="12.95" customHeight="1">
      <c r="A652" s="22"/>
      <c r="B652" t="s">
        <v>85</v>
      </c>
      <c r="G652" s="1697" t="s">
        <v>2738</v>
      </c>
      <c r="H652" s="1697"/>
      <c r="I652" s="1697"/>
      <c r="J652" s="1697"/>
      <c r="K652" s="1697"/>
      <c r="L652" s="1697"/>
      <c r="M652" s="1697"/>
      <c r="N652" s="1697"/>
      <c r="O652" s="1697"/>
      <c r="P652" s="1697"/>
      <c r="Q652" s="1697"/>
      <c r="R652" s="1697"/>
      <c r="S652" s="8"/>
      <c r="T652" s="22"/>
      <c r="U652" t="s">
        <v>85</v>
      </c>
      <c r="Z652" s="1697" t="s">
        <v>2738</v>
      </c>
      <c r="AA652" s="1697"/>
      <c r="AB652" s="1697"/>
      <c r="AC652" s="1697"/>
      <c r="AD652" s="1697"/>
      <c r="AE652" s="1697"/>
      <c r="AF652" s="1697"/>
      <c r="AG652" s="1697"/>
      <c r="AH652" s="1697"/>
      <c r="AI652" s="1697"/>
      <c r="AJ652" s="1697"/>
      <c r="AK652" s="1697"/>
      <c r="AV652" s="3"/>
      <c r="AW652" s="3"/>
      <c r="AX652" s="3"/>
      <c r="AY652" s="3"/>
      <c r="AZ652" s="3"/>
      <c r="BA652" s="3"/>
      <c r="BB652" s="3"/>
      <c r="BC652" s="3"/>
      <c r="BD652" s="3"/>
      <c r="BE652" s="3"/>
      <c r="BF652" s="3"/>
      <c r="BG652" s="3"/>
      <c r="BH652" s="3"/>
      <c r="BI652" s="3"/>
      <c r="BJ652" s="3"/>
      <c r="BK652" s="3"/>
      <c r="BL652" s="3"/>
      <c r="BM652" s="3"/>
      <c r="DX652" s="1773" t="e">
        <f t="shared" si="4"/>
        <v>#VALUE!</v>
      </c>
      <c r="DY652" s="1773"/>
      <c r="DZ652" s="1773"/>
      <c r="EA652" s="1773"/>
      <c r="EB652" s="1773"/>
      <c r="EC652" s="1773" t="e">
        <f t="shared" si="5"/>
        <v>#VALUE!</v>
      </c>
      <c r="ED652" s="1773"/>
      <c r="EE652" s="1773"/>
      <c r="EF652" s="1773"/>
      <c r="EG652" s="1773"/>
      <c r="EH652" s="1773" t="e">
        <f t="shared" si="6"/>
        <v>#VALUE!</v>
      </c>
      <c r="EI652" s="1773"/>
      <c r="EJ652" s="1773"/>
      <c r="EK652" s="1773"/>
      <c r="EL652" s="1773"/>
      <c r="EM652" s="1773">
        <f t="shared" si="7"/>
        <v>357.76781249999999</v>
      </c>
      <c r="EN652" s="1773"/>
      <c r="EO652" s="1773"/>
      <c r="EP652" s="1773"/>
      <c r="EQ652" s="1773"/>
      <c r="ER652" s="1773" t="e">
        <f t="shared" si="8"/>
        <v>#VALUE!</v>
      </c>
      <c r="ES652" s="1773"/>
      <c r="ET652" s="1773"/>
      <c r="EU652" s="1773"/>
      <c r="EV652" s="1773"/>
      <c r="EW652" s="1773" t="e">
        <f t="shared" si="9"/>
        <v>#VALUE!</v>
      </c>
      <c r="EX652" s="1773"/>
      <c r="EY652" s="1773"/>
      <c r="EZ652" s="1773"/>
      <c r="FA652" s="1773"/>
    </row>
    <row r="653" spans="1:157" ht="12.95" customHeight="1">
      <c r="A653" s="22"/>
      <c r="B653" t="s">
        <v>579</v>
      </c>
      <c r="G653" s="1697" t="s">
        <v>2673</v>
      </c>
      <c r="H653" s="1697"/>
      <c r="I653" s="1697"/>
      <c r="J653" s="1697"/>
      <c r="K653" s="1697"/>
      <c r="L653" s="1697"/>
      <c r="M653" s="1697"/>
      <c r="N653" s="1697"/>
      <c r="O653" s="1697"/>
      <c r="P653" s="1697"/>
      <c r="Q653" s="1697"/>
      <c r="R653" s="1697"/>
      <c r="T653" s="22"/>
      <c r="U653" t="s">
        <v>579</v>
      </c>
      <c r="Z653" s="1696" t="s">
        <v>2673</v>
      </c>
      <c r="AA653" s="1696"/>
      <c r="AB653" s="1696"/>
      <c r="AC653" s="1696"/>
      <c r="AD653" s="1696"/>
      <c r="AE653" s="1696"/>
      <c r="AF653" s="1696"/>
      <c r="AG653" s="1696"/>
      <c r="AH653" s="1696"/>
      <c r="AI653" s="1696"/>
      <c r="AJ653" s="1696"/>
      <c r="AK653" s="1696"/>
      <c r="AV653" s="3"/>
      <c r="AW653" s="3"/>
      <c r="AX653" s="3"/>
      <c r="AY653" s="3"/>
      <c r="AZ653" s="3"/>
      <c r="BA653" s="3"/>
      <c r="BB653" s="3"/>
      <c r="BC653" s="3"/>
      <c r="BD653" s="3"/>
      <c r="BE653" s="3"/>
      <c r="BF653" s="3"/>
      <c r="BG653" s="3"/>
      <c r="BH653" s="3"/>
      <c r="BI653" s="3"/>
      <c r="BJ653" s="3"/>
      <c r="BK653" s="3"/>
      <c r="BL653" s="3"/>
      <c r="BM653" s="3"/>
      <c r="DX653" s="1773" t="e">
        <f t="shared" si="4"/>
        <v>#VALUE!</v>
      </c>
      <c r="DY653" s="1773"/>
      <c r="DZ653" s="1773"/>
      <c r="EA653" s="1773"/>
      <c r="EB653" s="1773"/>
      <c r="EC653" s="1773" t="e">
        <f t="shared" si="5"/>
        <v>#VALUE!</v>
      </c>
      <c r="ED653" s="1773"/>
      <c r="EE653" s="1773"/>
      <c r="EF653" s="1773"/>
      <c r="EG653" s="1773"/>
      <c r="EH653" s="1773" t="e">
        <f t="shared" si="6"/>
        <v>#VALUE!</v>
      </c>
      <c r="EI653" s="1773"/>
      <c r="EJ653" s="1773"/>
      <c r="EK653" s="1773"/>
      <c r="EL653" s="1773"/>
      <c r="EM653" s="1773">
        <f t="shared" si="7"/>
        <v>985.255</v>
      </c>
      <c r="EN653" s="1773"/>
      <c r="EO653" s="1773"/>
      <c r="EP653" s="1773"/>
      <c r="EQ653" s="1773"/>
      <c r="ER653" s="1773" t="e">
        <f t="shared" si="8"/>
        <v>#VALUE!</v>
      </c>
      <c r="ES653" s="1773"/>
      <c r="ET653" s="1773"/>
      <c r="EU653" s="1773"/>
      <c r="EV653" s="1773"/>
      <c r="EW653" s="1773" t="e">
        <f t="shared" si="9"/>
        <v>#VALUE!</v>
      </c>
      <c r="EX653" s="1773"/>
      <c r="EY653" s="1773"/>
      <c r="EZ653" s="1773"/>
      <c r="FA653" s="1773"/>
    </row>
    <row r="654" spans="1:157" ht="12.95" customHeight="1">
      <c r="A654" s="22"/>
      <c r="B654" t="s">
        <v>17</v>
      </c>
      <c r="G654" s="1697" t="s">
        <v>2739</v>
      </c>
      <c r="H654" s="1697"/>
      <c r="I654" s="1697"/>
      <c r="J654" s="1697"/>
      <c r="K654" s="1697"/>
      <c r="L654" s="1697"/>
      <c r="M654" s="1697"/>
      <c r="N654" s="1697"/>
      <c r="O654" s="1697"/>
      <c r="P654" s="1697"/>
      <c r="Q654" s="1697"/>
      <c r="R654" s="1697"/>
      <c r="S654" s="8"/>
      <c r="T654" s="22"/>
      <c r="U654" t="s">
        <v>17</v>
      </c>
      <c r="Z654" s="1696" t="s">
        <v>2739</v>
      </c>
      <c r="AA654" s="1696"/>
      <c r="AB654" s="1696"/>
      <c r="AC654" s="1696"/>
      <c r="AD654" s="1696"/>
      <c r="AE654" s="1696"/>
      <c r="AF654" s="1696"/>
      <c r="AG654" s="1696"/>
      <c r="AH654" s="1696"/>
      <c r="AI654" s="1696"/>
      <c r="AJ654" s="1696"/>
      <c r="AK654" s="1696"/>
      <c r="AZ654" s="3"/>
      <c r="BA654" s="3"/>
      <c r="BB654" s="3"/>
      <c r="BC654" s="3"/>
      <c r="BD654" s="3"/>
      <c r="BE654" s="3"/>
      <c r="BF654" s="3"/>
      <c r="BG654" s="3"/>
      <c r="BH654" s="3"/>
      <c r="BI654" s="3"/>
      <c r="BJ654" s="3"/>
      <c r="BK654" s="3"/>
      <c r="BL654" s="3"/>
      <c r="BM654" s="3"/>
      <c r="DX654" s="1773" t="e">
        <f t="shared" si="4"/>
        <v>#VALUE!</v>
      </c>
      <c r="DY654" s="1773"/>
      <c r="DZ654" s="1773"/>
      <c r="EA654" s="1773"/>
      <c r="EB654" s="1773"/>
      <c r="EC654" s="1773" t="e">
        <f t="shared" si="5"/>
        <v>#VALUE!</v>
      </c>
      <c r="ED654" s="1773"/>
      <c r="EE654" s="1773"/>
      <c r="EF654" s="1773"/>
      <c r="EG654" s="1773"/>
      <c r="EH654" s="1773" t="e">
        <f t="shared" si="6"/>
        <v>#VALUE!</v>
      </c>
      <c r="EI654" s="1773"/>
      <c r="EJ654" s="1773"/>
      <c r="EK654" s="1773"/>
      <c r="EL654" s="1773"/>
      <c r="EM654" s="1773">
        <f t="shared" si="7"/>
        <v>432.09562500000004</v>
      </c>
      <c r="EN654" s="1773"/>
      <c r="EO654" s="1773"/>
      <c r="EP654" s="1773"/>
      <c r="EQ654" s="1773"/>
      <c r="ER654" s="1773" t="e">
        <f t="shared" si="8"/>
        <v>#VALUE!</v>
      </c>
      <c r="ES654" s="1773"/>
      <c r="ET654" s="1773"/>
      <c r="EU654" s="1773"/>
      <c r="EV654" s="1773"/>
      <c r="EW654" s="1773" t="e">
        <f t="shared" si="9"/>
        <v>#VALUE!</v>
      </c>
      <c r="EX654" s="1773"/>
      <c r="EY654" s="1773"/>
      <c r="EZ654" s="1773"/>
      <c r="FA654" s="1773"/>
    </row>
    <row r="655" spans="1:157" ht="12.95" customHeight="1">
      <c r="A655" s="22"/>
      <c r="B655" t="s">
        <v>315</v>
      </c>
      <c r="G655" s="1698" t="s">
        <v>2740</v>
      </c>
      <c r="H655" s="1699"/>
      <c r="I655" s="1699"/>
      <c r="J655" s="1699"/>
      <c r="K655" s="1699"/>
      <c r="L655" s="1699"/>
      <c r="O655" s="33" t="s">
        <v>205</v>
      </c>
      <c r="P655" s="1753"/>
      <c r="Q655" s="1753"/>
      <c r="R655" s="1753"/>
      <c r="S655" s="10"/>
      <c r="T655" s="22"/>
      <c r="U655" t="s">
        <v>315</v>
      </c>
      <c r="Z655" s="1699" t="s">
        <v>2740</v>
      </c>
      <c r="AA655" s="1699"/>
      <c r="AB655" s="1699"/>
      <c r="AC655" s="1699"/>
      <c r="AD655" s="1699"/>
      <c r="AE655" s="1699"/>
      <c r="AH655" s="33" t="s">
        <v>205</v>
      </c>
      <c r="AI655" s="1753"/>
      <c r="AJ655" s="1753"/>
      <c r="AK655" s="1753"/>
      <c r="AZ655" s="34"/>
      <c r="BA655" s="34"/>
      <c r="BB655" s="34"/>
      <c r="BC655" s="34"/>
      <c r="BD655" s="34"/>
      <c r="BE655" s="34"/>
      <c r="BF655" s="34"/>
      <c r="BG655" s="34"/>
      <c r="BH655" s="34"/>
      <c r="BI655" s="34"/>
      <c r="BJ655" s="34"/>
      <c r="BK655" s="34"/>
      <c r="BL655" s="34"/>
      <c r="BM655" s="34"/>
      <c r="DX655" s="1773" t="e">
        <f t="shared" si="4"/>
        <v>#VALUE!</v>
      </c>
      <c r="DY655" s="1773"/>
      <c r="DZ655" s="1773"/>
      <c r="EA655" s="1773"/>
      <c r="EB655" s="1773"/>
      <c r="EC655" s="1773" t="e">
        <f t="shared" si="5"/>
        <v>#VALUE!</v>
      </c>
      <c r="ED655" s="1773"/>
      <c r="EE655" s="1773"/>
      <c r="EF655" s="1773"/>
      <c r="EG655" s="1773"/>
      <c r="EH655" s="1773" t="e">
        <f t="shared" si="6"/>
        <v>#VALUE!</v>
      </c>
      <c r="EI655" s="1773"/>
      <c r="EJ655" s="1773"/>
      <c r="EK655" s="1773"/>
      <c r="EL655" s="1773"/>
      <c r="EM655" s="1773" t="e">
        <f t="shared" si="7"/>
        <v>#VALUE!</v>
      </c>
      <c r="EN655" s="1773"/>
      <c r="EO655" s="1773"/>
      <c r="EP655" s="1773"/>
      <c r="EQ655" s="1773"/>
      <c r="ER655" s="1773" t="e">
        <f t="shared" si="8"/>
        <v>#VALUE!</v>
      </c>
      <c r="ES655" s="1773"/>
      <c r="ET655" s="1773"/>
      <c r="EU655" s="1773"/>
      <c r="EV655" s="1773"/>
      <c r="EW655" s="1773" t="e">
        <f t="shared" si="9"/>
        <v>#VALUE!</v>
      </c>
      <c r="EX655" s="1773"/>
      <c r="EY655" s="1773"/>
      <c r="EZ655" s="1773"/>
      <c r="FA655" s="1773"/>
    </row>
    <row r="656" spans="1:157" ht="12.95" customHeight="1">
      <c r="A656" s="22"/>
      <c r="B656" t="s">
        <v>18</v>
      </c>
      <c r="H656" s="1703" t="s">
        <v>2789</v>
      </c>
      <c r="I656" s="1697"/>
      <c r="J656" s="1697"/>
      <c r="K656" s="1697"/>
      <c r="L656" s="1697"/>
      <c r="M656" s="1697"/>
      <c r="N656" s="1697"/>
      <c r="O656" s="1697"/>
      <c r="P656" s="1697"/>
      <c r="Q656" s="1697"/>
      <c r="R656" s="1697"/>
      <c r="S656" s="8"/>
      <c r="T656" s="22"/>
      <c r="U656" t="s">
        <v>18</v>
      </c>
      <c r="AA656" s="1703" t="s">
        <v>2790</v>
      </c>
      <c r="AB656" s="1697"/>
      <c r="AC656" s="1697"/>
      <c r="AD656" s="1697"/>
      <c r="AE656" s="1697"/>
      <c r="AF656" s="1697"/>
      <c r="AG656" s="1697"/>
      <c r="AH656" s="1697"/>
      <c r="AI656" s="1697"/>
      <c r="AJ656" s="1697"/>
      <c r="AK656" s="1697"/>
      <c r="AZ656" s="34"/>
      <c r="BA656" s="34"/>
      <c r="BB656" s="34"/>
      <c r="BC656" s="34"/>
      <c r="BD656" s="34"/>
      <c r="BE656" s="34"/>
      <c r="BF656" s="34"/>
      <c r="BG656" s="34"/>
      <c r="BH656" s="34"/>
      <c r="BI656" s="34"/>
      <c r="BJ656" s="34"/>
      <c r="BK656" s="34"/>
      <c r="BL656" s="34"/>
      <c r="BM656" s="34"/>
      <c r="DX656" s="1773" t="e">
        <f t="shared" si="4"/>
        <v>#VALUE!</v>
      </c>
      <c r="DY656" s="1773"/>
      <c r="DZ656" s="1773"/>
      <c r="EA656" s="1773"/>
      <c r="EB656" s="1773"/>
      <c r="EC656" s="1773" t="e">
        <f t="shared" si="5"/>
        <v>#VALUE!</v>
      </c>
      <c r="ED656" s="1773"/>
      <c r="EE656" s="1773"/>
      <c r="EF656" s="1773"/>
      <c r="EG656" s="1773"/>
      <c r="EH656" s="1773" t="e">
        <f t="shared" si="6"/>
        <v>#VALUE!</v>
      </c>
      <c r="EI656" s="1773"/>
      <c r="EJ656" s="1773"/>
      <c r="EK656" s="1773"/>
      <c r="EL656" s="1773"/>
      <c r="EM656" s="1773" t="e">
        <f t="shared" si="7"/>
        <v>#VALUE!</v>
      </c>
      <c r="EN656" s="1773"/>
      <c r="EO656" s="1773"/>
      <c r="EP656" s="1773"/>
      <c r="EQ656" s="1773"/>
      <c r="ER656" s="1773" t="e">
        <f t="shared" si="8"/>
        <v>#VALUE!</v>
      </c>
      <c r="ES656" s="1773"/>
      <c r="ET656" s="1773"/>
      <c r="EU656" s="1773"/>
      <c r="EV656" s="1773"/>
      <c r="EW656" s="1773" t="e">
        <f t="shared" si="9"/>
        <v>#VALUE!</v>
      </c>
      <c r="EX656" s="1773"/>
      <c r="EY656" s="1773"/>
      <c r="EZ656" s="1773"/>
      <c r="FA656" s="1773"/>
    </row>
    <row r="657" spans="1:157" ht="12.95" customHeight="1">
      <c r="A657" s="22"/>
      <c r="B657" t="s">
        <v>20</v>
      </c>
      <c r="N657" s="1599" t="s">
        <v>544</v>
      </c>
      <c r="O657" s="1599"/>
      <c r="T657" s="22"/>
      <c r="U657" t="s">
        <v>20</v>
      </c>
      <c r="AG657" s="1599" t="s">
        <v>544</v>
      </c>
      <c r="AH657" s="1599"/>
      <c r="AZ657" s="34"/>
      <c r="BA657" s="34"/>
      <c r="BB657" s="34"/>
      <c r="BC657" s="34"/>
      <c r="BD657" s="34"/>
      <c r="BE657" s="34"/>
      <c r="BF657" s="34"/>
      <c r="BG657" s="34"/>
      <c r="BH657" s="34"/>
      <c r="BI657" s="34"/>
      <c r="BJ657" s="34"/>
      <c r="BK657" s="34"/>
      <c r="BL657" s="34"/>
      <c r="BM657" s="34"/>
      <c r="DX657" s="1773" t="e">
        <f t="shared" si="4"/>
        <v>#VALUE!</v>
      </c>
      <c r="DY657" s="1773"/>
      <c r="DZ657" s="1773"/>
      <c r="EA657" s="1773"/>
      <c r="EB657" s="1773"/>
      <c r="EC657" s="1773" t="e">
        <f t="shared" si="5"/>
        <v>#VALUE!</v>
      </c>
      <c r="ED657" s="1773"/>
      <c r="EE657" s="1773"/>
      <c r="EF657" s="1773"/>
      <c r="EG657" s="1773"/>
      <c r="EH657" s="1773" t="e">
        <f t="shared" si="6"/>
        <v>#VALUE!</v>
      </c>
      <c r="EI657" s="1773"/>
      <c r="EJ657" s="1773"/>
      <c r="EK657" s="1773"/>
      <c r="EL657" s="1773"/>
      <c r="EM657" s="1773" t="e">
        <f t="shared" si="7"/>
        <v>#VALUE!</v>
      </c>
      <c r="EN657" s="1773"/>
      <c r="EO657" s="1773"/>
      <c r="EP657" s="1773"/>
      <c r="EQ657" s="1773"/>
      <c r="ER657" s="1773" t="e">
        <f t="shared" si="8"/>
        <v>#VALUE!</v>
      </c>
      <c r="ES657" s="1773"/>
      <c r="ET657" s="1773"/>
      <c r="EU657" s="1773"/>
      <c r="EV657" s="1773"/>
      <c r="EW657" s="1773" t="e">
        <f t="shared" si="9"/>
        <v>#VALUE!</v>
      </c>
      <c r="EX657" s="1773"/>
      <c r="EY657" s="1773"/>
      <c r="EZ657" s="1773"/>
      <c r="FA657" s="1773"/>
    </row>
    <row r="658" spans="1:157" ht="12.95" customHeight="1">
      <c r="A658" s="22"/>
      <c r="T658" s="22"/>
      <c r="AZ658" s="34"/>
      <c r="BA658" s="34"/>
      <c r="BB658" s="34"/>
      <c r="BC658" s="34"/>
      <c r="BD658" s="34"/>
      <c r="BE658" s="34"/>
      <c r="BF658" s="34"/>
      <c r="BG658" s="34"/>
      <c r="BH658" s="34"/>
      <c r="BI658" s="34"/>
      <c r="BJ658" s="34"/>
      <c r="BK658" s="34"/>
      <c r="BL658" s="34"/>
      <c r="BM658" s="34"/>
      <c r="DX658" s="1773" t="e">
        <f t="shared" si="4"/>
        <v>#VALUE!</v>
      </c>
      <c r="DY658" s="1773"/>
      <c r="DZ658" s="1773"/>
      <c r="EA658" s="1773"/>
      <c r="EB658" s="1773"/>
      <c r="EC658" s="1773" t="e">
        <f t="shared" si="5"/>
        <v>#VALUE!</v>
      </c>
      <c r="ED658" s="1773"/>
      <c r="EE658" s="1773"/>
      <c r="EF658" s="1773"/>
      <c r="EG658" s="1773"/>
      <c r="EH658" s="1773" t="e">
        <f t="shared" si="6"/>
        <v>#VALUE!</v>
      </c>
      <c r="EI658" s="1773"/>
      <c r="EJ658" s="1773"/>
      <c r="EK658" s="1773"/>
      <c r="EL658" s="1773"/>
      <c r="EM658" s="1773" t="e">
        <f t="shared" si="7"/>
        <v>#VALUE!</v>
      </c>
      <c r="EN658" s="1773"/>
      <c r="EO658" s="1773"/>
      <c r="EP658" s="1773"/>
      <c r="EQ658" s="1773"/>
      <c r="ER658" s="1773" t="e">
        <f t="shared" si="8"/>
        <v>#VALUE!</v>
      </c>
      <c r="ES658" s="1773"/>
      <c r="ET658" s="1773"/>
      <c r="EU658" s="1773"/>
      <c r="EV658" s="1773"/>
      <c r="EW658" s="1773" t="e">
        <f t="shared" si="9"/>
        <v>#VALUE!</v>
      </c>
      <c r="EX658" s="1773"/>
      <c r="EY658" s="1773"/>
      <c r="EZ658" s="1773"/>
      <c r="FA658" s="1773"/>
    </row>
    <row r="659" spans="1:157" ht="12.95" customHeight="1">
      <c r="A659" s="55" t="s">
        <v>119</v>
      </c>
      <c r="B659" t="s">
        <v>462</v>
      </c>
      <c r="G659" s="1695" t="str">
        <f>C637</f>
        <v>NOI During Lease Up</v>
      </c>
      <c r="H659" s="1695"/>
      <c r="I659" s="1695"/>
      <c r="J659" s="1695"/>
      <c r="K659" s="1695"/>
      <c r="L659" s="1695"/>
      <c r="M659" s="1695"/>
      <c r="N659" s="1695"/>
      <c r="O659" s="1695"/>
      <c r="P659" s="1695"/>
      <c r="Q659" s="1695"/>
      <c r="R659" s="1695"/>
      <c r="T659" s="55" t="s">
        <v>580</v>
      </c>
      <c r="U659" t="s">
        <v>462</v>
      </c>
      <c r="Z659" s="1695" t="str">
        <f>C638</f>
        <v>Deferred Developer Fee</v>
      </c>
      <c r="AA659" s="1695"/>
      <c r="AB659" s="1695"/>
      <c r="AC659" s="1695"/>
      <c r="AD659" s="1695"/>
      <c r="AE659" s="1695"/>
      <c r="AF659" s="1695"/>
      <c r="AG659" s="1695"/>
      <c r="AH659" s="1695"/>
      <c r="AI659" s="1695"/>
      <c r="AJ659" s="1695"/>
      <c r="AK659" s="1695"/>
      <c r="AZ659" s="34"/>
      <c r="BA659" s="34"/>
      <c r="BB659" s="34"/>
      <c r="BC659" s="34"/>
      <c r="BD659" s="34"/>
      <c r="BE659" s="34"/>
      <c r="BF659" s="34"/>
      <c r="BG659" s="34"/>
      <c r="BH659" s="34"/>
      <c r="BI659" s="34"/>
      <c r="BJ659" s="34"/>
      <c r="BK659" s="34"/>
      <c r="BL659" s="34"/>
      <c r="BM659" s="34"/>
      <c r="DX659" s="1773" t="e">
        <f t="shared" si="4"/>
        <v>#VALUE!</v>
      </c>
      <c r="DY659" s="1773"/>
      <c r="DZ659" s="1773"/>
      <c r="EA659" s="1773"/>
      <c r="EB659" s="1773"/>
      <c r="EC659" s="1773" t="e">
        <f t="shared" si="5"/>
        <v>#VALUE!</v>
      </c>
      <c r="ED659" s="1773"/>
      <c r="EE659" s="1773"/>
      <c r="EF659" s="1773"/>
      <c r="EG659" s="1773"/>
      <c r="EH659" s="1773" t="e">
        <f t="shared" si="6"/>
        <v>#VALUE!</v>
      </c>
      <c r="EI659" s="1773"/>
      <c r="EJ659" s="1773"/>
      <c r="EK659" s="1773"/>
      <c r="EL659" s="1773"/>
      <c r="EM659" s="1773" t="e">
        <f t="shared" si="7"/>
        <v>#VALUE!</v>
      </c>
      <c r="EN659" s="1773"/>
      <c r="EO659" s="1773"/>
      <c r="EP659" s="1773"/>
      <c r="EQ659" s="1773"/>
      <c r="ER659" s="1773" t="e">
        <f t="shared" si="8"/>
        <v>#VALUE!</v>
      </c>
      <c r="ES659" s="1773"/>
      <c r="ET659" s="1773"/>
      <c r="EU659" s="1773"/>
      <c r="EV659" s="1773"/>
      <c r="EW659" s="1773" t="e">
        <f t="shared" si="9"/>
        <v>#VALUE!</v>
      </c>
      <c r="EX659" s="1773"/>
      <c r="EY659" s="1773"/>
      <c r="EZ659" s="1773"/>
      <c r="FA659" s="1773"/>
    </row>
    <row r="660" spans="1:157" ht="12.95" customHeight="1">
      <c r="A660" s="22"/>
      <c r="B660" t="s">
        <v>85</v>
      </c>
      <c r="G660" s="1262" t="s">
        <v>2662</v>
      </c>
      <c r="H660" s="1261"/>
      <c r="I660" s="1261"/>
      <c r="J660" s="1261"/>
      <c r="K660" s="1261"/>
      <c r="L660" s="1261"/>
      <c r="M660" s="1261"/>
      <c r="N660" s="1261"/>
      <c r="O660" s="1261"/>
      <c r="P660" s="1261"/>
      <c r="Q660" s="1261"/>
      <c r="R660" s="1261"/>
      <c r="T660" s="22"/>
      <c r="U660" t="s">
        <v>85</v>
      </c>
      <c r="Z660" s="1697" t="s">
        <v>2662</v>
      </c>
      <c r="AA660" s="1697"/>
      <c r="AB660" s="1697"/>
      <c r="AC660" s="1697"/>
      <c r="AD660" s="1697"/>
      <c r="AE660" s="1697"/>
      <c r="AF660" s="1697"/>
      <c r="AG660" s="1697"/>
      <c r="AH660" s="1697"/>
      <c r="AI660" s="1697"/>
      <c r="AJ660" s="1697"/>
      <c r="AK660" s="1697"/>
      <c r="AZ660" s="34"/>
      <c r="BA660" s="34"/>
      <c r="BB660" s="34"/>
      <c r="BC660" s="34"/>
      <c r="BD660" s="34"/>
      <c r="BE660" s="34"/>
      <c r="BF660" s="34"/>
      <c r="BG660" s="34"/>
      <c r="BH660" s="34"/>
      <c r="BI660" s="34"/>
      <c r="BJ660" s="34"/>
      <c r="BK660" s="34"/>
      <c r="BL660" s="34"/>
      <c r="BM660" s="34"/>
      <c r="DX660" s="1773" t="e">
        <f t="shared" si="4"/>
        <v>#VALUE!</v>
      </c>
      <c r="DY660" s="1773"/>
      <c r="DZ660" s="1773"/>
      <c r="EA660" s="1773"/>
      <c r="EB660" s="1773"/>
      <c r="EC660" s="1773" t="e">
        <f t="shared" si="5"/>
        <v>#VALUE!</v>
      </c>
      <c r="ED660" s="1773"/>
      <c r="EE660" s="1773"/>
      <c r="EF660" s="1773"/>
      <c r="EG660" s="1773"/>
      <c r="EH660" s="1773" t="e">
        <f t="shared" si="6"/>
        <v>#VALUE!</v>
      </c>
      <c r="EI660" s="1773"/>
      <c r="EJ660" s="1773"/>
      <c r="EK660" s="1773"/>
      <c r="EL660" s="1773"/>
      <c r="EM660" s="1773" t="e">
        <f t="shared" si="7"/>
        <v>#VALUE!</v>
      </c>
      <c r="EN660" s="1773"/>
      <c r="EO660" s="1773"/>
      <c r="EP660" s="1773"/>
      <c r="EQ660" s="1773"/>
      <c r="ER660" s="1773" t="e">
        <f t="shared" si="8"/>
        <v>#VALUE!</v>
      </c>
      <c r="ES660" s="1773"/>
      <c r="ET660" s="1773"/>
      <c r="EU660" s="1773"/>
      <c r="EV660" s="1773"/>
      <c r="EW660" s="1773" t="e">
        <f t="shared" si="9"/>
        <v>#VALUE!</v>
      </c>
      <c r="EX660" s="1773"/>
      <c r="EY660" s="1773"/>
      <c r="EZ660" s="1773"/>
      <c r="FA660" s="1773"/>
    </row>
    <row r="661" spans="1:157" ht="12.95" customHeight="1">
      <c r="A661" s="22"/>
      <c r="B661" t="s">
        <v>579</v>
      </c>
      <c r="G661" s="1263" t="s">
        <v>2663</v>
      </c>
      <c r="H661" s="249"/>
      <c r="I661" s="249"/>
      <c r="J661" s="249"/>
      <c r="K661" s="249"/>
      <c r="L661" s="249"/>
      <c r="M661" s="249"/>
      <c r="N661" s="249"/>
      <c r="O661" s="249"/>
      <c r="P661" s="249"/>
      <c r="Q661" s="249"/>
      <c r="R661" s="249"/>
      <c r="T661" s="22"/>
      <c r="U661" t="s">
        <v>579</v>
      </c>
      <c r="Z661" s="1696" t="s">
        <v>2663</v>
      </c>
      <c r="AA661" s="1696"/>
      <c r="AB661" s="1696"/>
      <c r="AC661" s="1696"/>
      <c r="AD661" s="1696"/>
      <c r="AE661" s="1696"/>
      <c r="AF661" s="1696"/>
      <c r="AG661" s="1696"/>
      <c r="AH661" s="1696"/>
      <c r="AI661" s="1696"/>
      <c r="AJ661" s="1696"/>
      <c r="AK661" s="1696"/>
      <c r="AZ661" s="34"/>
      <c r="BA661" s="34"/>
      <c r="BB661" s="34"/>
      <c r="BC661" s="34"/>
      <c r="BD661" s="34"/>
      <c r="BE661" s="34"/>
      <c r="BF661" s="34"/>
      <c r="BG661" s="34"/>
      <c r="BH661" s="34"/>
      <c r="BI661" s="34"/>
      <c r="BJ661" s="34"/>
      <c r="BK661" s="34"/>
      <c r="BL661" s="34"/>
      <c r="BM661" s="34"/>
      <c r="DX661" s="1773" t="e">
        <f t="shared" si="4"/>
        <v>#VALUE!</v>
      </c>
      <c r="DY661" s="1773"/>
      <c r="DZ661" s="1773"/>
      <c r="EA661" s="1773"/>
      <c r="EB661" s="1773"/>
      <c r="EC661" s="1773" t="e">
        <f t="shared" si="5"/>
        <v>#VALUE!</v>
      </c>
      <c r="ED661" s="1773"/>
      <c r="EE661" s="1773"/>
      <c r="EF661" s="1773"/>
      <c r="EG661" s="1773"/>
      <c r="EH661" s="1773" t="e">
        <f t="shared" si="6"/>
        <v>#VALUE!</v>
      </c>
      <c r="EI661" s="1773"/>
      <c r="EJ661" s="1773"/>
      <c r="EK661" s="1773"/>
      <c r="EL661" s="1773"/>
      <c r="EM661" s="1773" t="e">
        <f t="shared" si="7"/>
        <v>#VALUE!</v>
      </c>
      <c r="EN661" s="1773"/>
      <c r="EO661" s="1773"/>
      <c r="EP661" s="1773"/>
      <c r="EQ661" s="1773"/>
      <c r="ER661" s="1773" t="e">
        <f t="shared" si="8"/>
        <v>#VALUE!</v>
      </c>
      <c r="ES661" s="1773"/>
      <c r="ET661" s="1773"/>
      <c r="EU661" s="1773"/>
      <c r="EV661" s="1773"/>
      <c r="EW661" s="1773" t="e">
        <f t="shared" si="9"/>
        <v>#VALUE!</v>
      </c>
      <c r="EX661" s="1773"/>
      <c r="EY661" s="1773"/>
      <c r="EZ661" s="1773"/>
      <c r="FA661" s="1773"/>
    </row>
    <row r="662" spans="1:157" ht="12.95" customHeight="1">
      <c r="A662" s="22"/>
      <c r="B662" t="s">
        <v>17</v>
      </c>
      <c r="G662" s="1263" t="s">
        <v>2641</v>
      </c>
      <c r="H662" s="249"/>
      <c r="I662" s="249"/>
      <c r="J662" s="249"/>
      <c r="K662" s="249"/>
      <c r="L662" s="249"/>
      <c r="M662" s="249"/>
      <c r="N662" s="249"/>
      <c r="O662" s="249"/>
      <c r="P662" s="249"/>
      <c r="Q662" s="249"/>
      <c r="R662" s="249"/>
      <c r="T662" s="22"/>
      <c r="U662" t="s">
        <v>17</v>
      </c>
      <c r="Z662" s="1696" t="s">
        <v>2747</v>
      </c>
      <c r="AA662" s="1696"/>
      <c r="AB662" s="1696"/>
      <c r="AC662" s="1696"/>
      <c r="AD662" s="1696"/>
      <c r="AE662" s="1696"/>
      <c r="AF662" s="1696"/>
      <c r="AG662" s="1696"/>
      <c r="AH662" s="1696"/>
      <c r="AI662" s="1696"/>
      <c r="AJ662" s="1696"/>
      <c r="AK662" s="1696"/>
      <c r="AZ662" s="34"/>
      <c r="BA662" s="34"/>
      <c r="BB662" s="34"/>
      <c r="BC662" s="34"/>
      <c r="BD662" s="34"/>
      <c r="BE662" s="34"/>
      <c r="BF662" s="34"/>
      <c r="BG662" s="34"/>
      <c r="BH662" s="34"/>
      <c r="BI662" s="34"/>
      <c r="BJ662" s="34"/>
      <c r="BK662" s="34"/>
      <c r="BL662" s="34"/>
      <c r="BM662" s="34"/>
      <c r="DX662" s="1773" t="e">
        <f t="shared" si="4"/>
        <v>#VALUE!</v>
      </c>
      <c r="DY662" s="1773"/>
      <c r="DZ662" s="1773"/>
      <c r="EA662" s="1773"/>
      <c r="EB662" s="1773"/>
      <c r="EC662" s="1773" t="e">
        <f t="shared" si="5"/>
        <v>#VALUE!</v>
      </c>
      <c r="ED662" s="1773"/>
      <c r="EE662" s="1773"/>
      <c r="EF662" s="1773"/>
      <c r="EG662" s="1773"/>
      <c r="EH662" s="1773" t="e">
        <f t="shared" si="6"/>
        <v>#VALUE!</v>
      </c>
      <c r="EI662" s="1773"/>
      <c r="EJ662" s="1773"/>
      <c r="EK662" s="1773"/>
      <c r="EL662" s="1773"/>
      <c r="EM662" s="1773" t="e">
        <f t="shared" si="7"/>
        <v>#VALUE!</v>
      </c>
      <c r="EN662" s="1773"/>
      <c r="EO662" s="1773"/>
      <c r="EP662" s="1773"/>
      <c r="EQ662" s="1773"/>
      <c r="ER662" s="1773" t="e">
        <f t="shared" si="8"/>
        <v>#VALUE!</v>
      </c>
      <c r="ES662" s="1773"/>
      <c r="ET662" s="1773"/>
      <c r="EU662" s="1773"/>
      <c r="EV662" s="1773"/>
      <c r="EW662" s="1773" t="e">
        <f t="shared" si="9"/>
        <v>#VALUE!</v>
      </c>
      <c r="EX662" s="1773"/>
      <c r="EY662" s="1773"/>
      <c r="EZ662" s="1773"/>
      <c r="FA662" s="1773"/>
    </row>
    <row r="663" spans="1:157" ht="12.95" customHeight="1">
      <c r="A663" s="22"/>
      <c r="B663" t="s">
        <v>315</v>
      </c>
      <c r="G663" s="1698" t="s">
        <v>2647</v>
      </c>
      <c r="H663" s="1699"/>
      <c r="I663" s="1699"/>
      <c r="J663" s="1699"/>
      <c r="K663" s="1699"/>
      <c r="L663" s="1699"/>
      <c r="O663" s="33" t="s">
        <v>205</v>
      </c>
      <c r="P663" s="1753"/>
      <c r="Q663" s="1753"/>
      <c r="R663" s="1753"/>
      <c r="T663" s="22"/>
      <c r="U663" t="s">
        <v>315</v>
      </c>
      <c r="Z663" s="1698" t="s">
        <v>2647</v>
      </c>
      <c r="AA663" s="1699"/>
      <c r="AB663" s="1699"/>
      <c r="AC663" s="1699"/>
      <c r="AD663" s="1699"/>
      <c r="AE663" s="1699"/>
      <c r="AH663" s="33" t="s">
        <v>205</v>
      </c>
      <c r="AI663" s="1753"/>
      <c r="AJ663" s="1753"/>
      <c r="AK663" s="1753"/>
      <c r="AZ663" s="34"/>
      <c r="BA663" s="34"/>
      <c r="BB663" s="34"/>
      <c r="BC663" s="34"/>
      <c r="BD663" s="34"/>
      <c r="BE663" s="34"/>
      <c r="BF663" s="34"/>
      <c r="BG663" s="34"/>
      <c r="BH663" s="34"/>
      <c r="BI663" s="34"/>
      <c r="BJ663" s="34"/>
      <c r="BK663" s="34"/>
      <c r="BL663" s="34"/>
      <c r="BM663" s="34"/>
      <c r="DX663" s="1773" t="e">
        <f t="shared" si="4"/>
        <v>#VALUE!</v>
      </c>
      <c r="DY663" s="1773"/>
      <c r="DZ663" s="1773"/>
      <c r="EA663" s="1773"/>
      <c r="EB663" s="1773"/>
      <c r="EC663" s="1773" t="e">
        <f t="shared" si="5"/>
        <v>#VALUE!</v>
      </c>
      <c r="ED663" s="1773"/>
      <c r="EE663" s="1773"/>
      <c r="EF663" s="1773"/>
      <c r="EG663" s="1773"/>
      <c r="EH663" s="1773" t="e">
        <f t="shared" si="6"/>
        <v>#VALUE!</v>
      </c>
      <c r="EI663" s="1773"/>
      <c r="EJ663" s="1773"/>
      <c r="EK663" s="1773"/>
      <c r="EL663" s="1773"/>
      <c r="EM663" s="1773" t="e">
        <f t="shared" si="7"/>
        <v>#VALUE!</v>
      </c>
      <c r="EN663" s="1773"/>
      <c r="EO663" s="1773"/>
      <c r="EP663" s="1773"/>
      <c r="EQ663" s="1773"/>
      <c r="ER663" s="1773" t="e">
        <f t="shared" si="8"/>
        <v>#VALUE!</v>
      </c>
      <c r="ES663" s="1773"/>
      <c r="ET663" s="1773"/>
      <c r="EU663" s="1773"/>
      <c r="EV663" s="1773"/>
      <c r="EW663" s="1773" t="e">
        <f t="shared" si="9"/>
        <v>#VALUE!</v>
      </c>
      <c r="EX663" s="1773"/>
      <c r="EY663" s="1773"/>
      <c r="EZ663" s="1773"/>
      <c r="FA663" s="1773"/>
    </row>
    <row r="664" spans="1:157" ht="12.95" customHeight="1">
      <c r="A664" s="22"/>
      <c r="B664" t="s">
        <v>18</v>
      </c>
      <c r="H664" s="1703" t="s">
        <v>2754</v>
      </c>
      <c r="I664" s="1697"/>
      <c r="J664" s="1697"/>
      <c r="K664" s="1697"/>
      <c r="L664" s="1697"/>
      <c r="M664" s="1697"/>
      <c r="N664" s="1697"/>
      <c r="O664" s="1697"/>
      <c r="P664" s="1697"/>
      <c r="Q664" s="1697"/>
      <c r="R664" s="1697"/>
      <c r="T664" s="22"/>
      <c r="U664" t="s">
        <v>18</v>
      </c>
      <c r="AA664" s="1703" t="s">
        <v>2749</v>
      </c>
      <c r="AB664" s="1697"/>
      <c r="AC664" s="1697"/>
      <c r="AD664" s="1697"/>
      <c r="AE664" s="1697"/>
      <c r="AF664" s="1697"/>
      <c r="AG664" s="1697"/>
      <c r="AH664" s="1697"/>
      <c r="AI664" s="1697"/>
      <c r="AJ664" s="1697"/>
      <c r="AK664" s="1697"/>
      <c r="AZ664" s="34"/>
      <c r="BA664" s="34"/>
      <c r="BB664" s="34"/>
      <c r="BC664" s="34"/>
      <c r="BD664" s="34"/>
      <c r="BE664" s="34"/>
      <c r="BF664" s="34"/>
      <c r="BG664" s="34"/>
      <c r="BH664" s="34"/>
      <c r="BI664" s="34"/>
      <c r="BJ664" s="34"/>
      <c r="BK664" s="34"/>
      <c r="BL664" s="34"/>
      <c r="BM664" s="34"/>
      <c r="DX664" s="1773" t="e">
        <f t="shared" si="4"/>
        <v>#VALUE!</v>
      </c>
      <c r="DY664" s="1773"/>
      <c r="DZ664" s="1773"/>
      <c r="EA664" s="1773"/>
      <c r="EB664" s="1773"/>
      <c r="EC664" s="1773" t="e">
        <f t="shared" si="5"/>
        <v>#VALUE!</v>
      </c>
      <c r="ED664" s="1773"/>
      <c r="EE664" s="1773"/>
      <c r="EF664" s="1773"/>
      <c r="EG664" s="1773"/>
      <c r="EH664" s="1773" t="e">
        <f t="shared" si="6"/>
        <v>#VALUE!</v>
      </c>
      <c r="EI664" s="1773"/>
      <c r="EJ664" s="1773"/>
      <c r="EK664" s="1773"/>
      <c r="EL664" s="1773"/>
      <c r="EM664" s="1773" t="e">
        <f t="shared" si="7"/>
        <v>#VALUE!</v>
      </c>
      <c r="EN664" s="1773"/>
      <c r="EO664" s="1773"/>
      <c r="EP664" s="1773"/>
      <c r="EQ664" s="1773"/>
      <c r="ER664" s="1773" t="e">
        <f t="shared" si="8"/>
        <v>#VALUE!</v>
      </c>
      <c r="ES664" s="1773"/>
      <c r="ET664" s="1773"/>
      <c r="EU664" s="1773"/>
      <c r="EV664" s="1773"/>
      <c r="EW664" s="1773" t="e">
        <f t="shared" si="9"/>
        <v>#VALUE!</v>
      </c>
      <c r="EX664" s="1773"/>
      <c r="EY664" s="1773"/>
      <c r="EZ664" s="1773"/>
      <c r="FA664" s="1773"/>
    </row>
    <row r="665" spans="1:157" ht="12.95" customHeight="1">
      <c r="A665" s="22"/>
      <c r="B665" t="s">
        <v>20</v>
      </c>
      <c r="N665" s="1599" t="s">
        <v>544</v>
      </c>
      <c r="O665" s="1599"/>
      <c r="T665" s="22"/>
      <c r="U665" t="s">
        <v>20</v>
      </c>
      <c r="AG665" s="1599" t="s">
        <v>544</v>
      </c>
      <c r="AH665" s="1599"/>
      <c r="AZ665" s="34"/>
      <c r="BA665" s="34"/>
      <c r="BB665" s="34"/>
      <c r="BC665" s="34"/>
      <c r="BD665" s="34"/>
      <c r="BE665" s="34"/>
      <c r="BF665" s="34"/>
      <c r="BG665" s="34"/>
      <c r="BH665" s="34"/>
      <c r="BI665" s="34"/>
      <c r="BJ665" s="34"/>
      <c r="BK665" s="34"/>
      <c r="BL665" s="34"/>
      <c r="BM665" s="34"/>
      <c r="DX665" s="1773" t="e">
        <f t="shared" si="4"/>
        <v>#VALUE!</v>
      </c>
      <c r="DY665" s="1773"/>
      <c r="DZ665" s="1773"/>
      <c r="EA665" s="1773"/>
      <c r="EB665" s="1773"/>
      <c r="EC665" s="1773" t="e">
        <f t="shared" si="5"/>
        <v>#VALUE!</v>
      </c>
      <c r="ED665" s="1773"/>
      <c r="EE665" s="1773"/>
      <c r="EF665" s="1773"/>
      <c r="EG665" s="1773"/>
      <c r="EH665" s="1773" t="e">
        <f t="shared" si="6"/>
        <v>#VALUE!</v>
      </c>
      <c r="EI665" s="1773"/>
      <c r="EJ665" s="1773"/>
      <c r="EK665" s="1773"/>
      <c r="EL665" s="1773"/>
      <c r="EM665" s="1773" t="e">
        <f t="shared" si="7"/>
        <v>#VALUE!</v>
      </c>
      <c r="EN665" s="1773"/>
      <c r="EO665" s="1773"/>
      <c r="EP665" s="1773"/>
      <c r="EQ665" s="1773"/>
      <c r="ER665" s="1773" t="e">
        <f t="shared" si="8"/>
        <v>#VALUE!</v>
      </c>
      <c r="ES665" s="1773"/>
      <c r="ET665" s="1773"/>
      <c r="EU665" s="1773"/>
      <c r="EV665" s="1773"/>
      <c r="EW665" s="1773" t="e">
        <f t="shared" si="9"/>
        <v>#VALUE!</v>
      </c>
      <c r="EX665" s="1773"/>
      <c r="EY665" s="1773"/>
      <c r="EZ665" s="1773"/>
      <c r="FA665" s="1773"/>
    </row>
    <row r="666" spans="1:157" ht="12.95" customHeight="1">
      <c r="A666" s="22"/>
      <c r="T666" s="22"/>
      <c r="AZ666" s="34"/>
      <c r="BA666" s="34"/>
      <c r="BB666" s="34"/>
      <c r="BC666" s="34"/>
      <c r="BD666" s="34"/>
      <c r="BE666" s="34"/>
      <c r="BF666" s="34"/>
      <c r="BG666" s="34"/>
      <c r="BH666" s="34"/>
      <c r="BI666" s="34"/>
      <c r="BJ666" s="34"/>
      <c r="BK666" s="34"/>
      <c r="BL666" s="34"/>
      <c r="BM666" s="34"/>
      <c r="DX666" s="1773" t="e">
        <f t="shared" si="4"/>
        <v>#VALUE!</v>
      </c>
      <c r="DY666" s="1773"/>
      <c r="DZ666" s="1773"/>
      <c r="EA666" s="1773"/>
      <c r="EB666" s="1773"/>
      <c r="EC666" s="1773" t="e">
        <f t="shared" si="5"/>
        <v>#VALUE!</v>
      </c>
      <c r="ED666" s="1773"/>
      <c r="EE666" s="1773"/>
      <c r="EF666" s="1773"/>
      <c r="EG666" s="1773"/>
      <c r="EH666" s="1773" t="e">
        <f t="shared" si="6"/>
        <v>#VALUE!</v>
      </c>
      <c r="EI666" s="1773"/>
      <c r="EJ666" s="1773"/>
      <c r="EK666" s="1773"/>
      <c r="EL666" s="1773"/>
      <c r="EM666" s="1773" t="e">
        <f t="shared" si="7"/>
        <v>#VALUE!</v>
      </c>
      <c r="EN666" s="1773"/>
      <c r="EO666" s="1773"/>
      <c r="EP666" s="1773"/>
      <c r="EQ666" s="1773"/>
      <c r="ER666" s="1773" t="e">
        <f t="shared" si="8"/>
        <v>#VALUE!</v>
      </c>
      <c r="ES666" s="1773"/>
      <c r="ET666" s="1773"/>
      <c r="EU666" s="1773"/>
      <c r="EV666" s="1773"/>
      <c r="EW666" s="1773" t="e">
        <f t="shared" si="9"/>
        <v>#VALUE!</v>
      </c>
      <c r="EX666" s="1773"/>
      <c r="EY666" s="1773"/>
      <c r="EZ666" s="1773"/>
      <c r="FA666" s="1773"/>
    </row>
    <row r="667" spans="1:157" ht="12.95" customHeight="1">
      <c r="A667" s="55" t="s">
        <v>762</v>
      </c>
      <c r="B667" t="s">
        <v>462</v>
      </c>
      <c r="G667" s="1695">
        <f>C639</f>
        <v>0</v>
      </c>
      <c r="H667" s="1695"/>
      <c r="I667" s="1695"/>
      <c r="J667" s="1695"/>
      <c r="K667" s="1695"/>
      <c r="L667" s="1695"/>
      <c r="M667" s="1695"/>
      <c r="N667" s="1695"/>
      <c r="O667" s="1695"/>
      <c r="P667" s="1695"/>
      <c r="Q667" s="1695"/>
      <c r="R667" s="1695"/>
      <c r="T667" s="55" t="s">
        <v>583</v>
      </c>
      <c r="U667" t="s">
        <v>462</v>
      </c>
      <c r="Z667" s="1695">
        <f>C640</f>
        <v>0</v>
      </c>
      <c r="AA667" s="1695"/>
      <c r="AB667" s="1695"/>
      <c r="AC667" s="1695"/>
      <c r="AD667" s="1695"/>
      <c r="AE667" s="1695"/>
      <c r="AF667" s="1695"/>
      <c r="AG667" s="1695"/>
      <c r="AH667" s="1695"/>
      <c r="AI667" s="1695"/>
      <c r="AJ667" s="1695"/>
      <c r="AK667" s="1695"/>
      <c r="AZ667" s="34"/>
      <c r="BA667" s="34"/>
      <c r="BB667" s="34"/>
      <c r="BC667" s="34"/>
      <c r="BD667" s="34"/>
      <c r="BE667" s="34"/>
      <c r="BF667" s="34"/>
      <c r="BG667" s="34"/>
      <c r="BH667" s="34"/>
      <c r="BI667" s="34"/>
      <c r="BJ667" s="34"/>
      <c r="BK667" s="34"/>
      <c r="BL667" s="34"/>
      <c r="BM667" s="34"/>
      <c r="DX667" s="1773" t="e">
        <f t="shared" si="4"/>
        <v>#VALUE!</v>
      </c>
      <c r="DY667" s="1773"/>
      <c r="DZ667" s="1773"/>
      <c r="EA667" s="1773"/>
      <c r="EB667" s="1773"/>
      <c r="EC667" s="1773" t="e">
        <f t="shared" si="5"/>
        <v>#VALUE!</v>
      </c>
      <c r="ED667" s="1773"/>
      <c r="EE667" s="1773"/>
      <c r="EF667" s="1773"/>
      <c r="EG667" s="1773"/>
      <c r="EH667" s="1773" t="e">
        <f t="shared" si="6"/>
        <v>#VALUE!</v>
      </c>
      <c r="EI667" s="1773"/>
      <c r="EJ667" s="1773"/>
      <c r="EK667" s="1773"/>
      <c r="EL667" s="1773"/>
      <c r="EM667" s="1773" t="e">
        <f t="shared" si="7"/>
        <v>#VALUE!</v>
      </c>
      <c r="EN667" s="1773"/>
      <c r="EO667" s="1773"/>
      <c r="EP667" s="1773"/>
      <c r="EQ667" s="1773"/>
      <c r="ER667" s="1773" t="e">
        <f t="shared" si="8"/>
        <v>#VALUE!</v>
      </c>
      <c r="ES667" s="1773"/>
      <c r="ET667" s="1773"/>
      <c r="EU667" s="1773"/>
      <c r="EV667" s="1773"/>
      <c r="EW667" s="1773" t="e">
        <f t="shared" si="9"/>
        <v>#VALUE!</v>
      </c>
      <c r="EX667" s="1773"/>
      <c r="EY667" s="1773"/>
      <c r="EZ667" s="1773"/>
      <c r="FA667" s="1773"/>
    </row>
    <row r="668" spans="1:157" ht="12.95" customHeight="1">
      <c r="A668" s="22"/>
      <c r="B668" t="s">
        <v>85</v>
      </c>
      <c r="G668" s="1697"/>
      <c r="H668" s="1697"/>
      <c r="I668" s="1697"/>
      <c r="J668" s="1697"/>
      <c r="K668" s="1697"/>
      <c r="L668" s="1697"/>
      <c r="M668" s="1697"/>
      <c r="N668" s="1697"/>
      <c r="O668" s="1697"/>
      <c r="P668" s="1697"/>
      <c r="Q668" s="1697"/>
      <c r="R668" s="1697"/>
      <c r="T668" s="22"/>
      <c r="U668" t="s">
        <v>85</v>
      </c>
      <c r="Z668" s="1703"/>
      <c r="AA668" s="1697"/>
      <c r="AB668" s="1697"/>
      <c r="AC668" s="1697"/>
      <c r="AD668" s="1697"/>
      <c r="AE668" s="1697"/>
      <c r="AF668" s="1697"/>
      <c r="AG668" s="1697"/>
      <c r="AH668" s="1697"/>
      <c r="AI668" s="1697"/>
      <c r="AJ668" s="1697"/>
      <c r="AK668" s="1697"/>
      <c r="AZ668" s="34"/>
      <c r="BA668" s="34"/>
      <c r="BB668" s="34"/>
      <c r="BC668" s="34"/>
      <c r="BD668" s="34"/>
      <c r="BE668" s="34"/>
      <c r="BF668" s="34"/>
      <c r="BG668" s="34"/>
      <c r="BH668" s="34"/>
      <c r="BI668" s="34"/>
      <c r="BJ668" s="34"/>
      <c r="BK668" s="34"/>
      <c r="BL668" s="34"/>
      <c r="BM668" s="34"/>
      <c r="DX668" s="1773" t="e">
        <f t="shared" si="4"/>
        <v>#VALUE!</v>
      </c>
      <c r="DY668" s="1773"/>
      <c r="DZ668" s="1773"/>
      <c r="EA668" s="1773"/>
      <c r="EB668" s="1773"/>
      <c r="EC668" s="1773" t="e">
        <f t="shared" si="5"/>
        <v>#VALUE!</v>
      </c>
      <c r="ED668" s="1773"/>
      <c r="EE668" s="1773"/>
      <c r="EF668" s="1773"/>
      <c r="EG668" s="1773"/>
      <c r="EH668" s="1773" t="e">
        <f t="shared" si="6"/>
        <v>#VALUE!</v>
      </c>
      <c r="EI668" s="1773"/>
      <c r="EJ668" s="1773"/>
      <c r="EK668" s="1773"/>
      <c r="EL668" s="1773"/>
      <c r="EM668" s="1773" t="e">
        <f t="shared" si="7"/>
        <v>#VALUE!</v>
      </c>
      <c r="EN668" s="1773"/>
      <c r="EO668" s="1773"/>
      <c r="EP668" s="1773"/>
      <c r="EQ668" s="1773"/>
      <c r="ER668" s="1773" t="e">
        <f t="shared" si="8"/>
        <v>#VALUE!</v>
      </c>
      <c r="ES668" s="1773"/>
      <c r="ET668" s="1773"/>
      <c r="EU668" s="1773"/>
      <c r="EV668" s="1773"/>
      <c r="EW668" s="1773" t="e">
        <f t="shared" si="9"/>
        <v>#VALUE!</v>
      </c>
      <c r="EX668" s="1773"/>
      <c r="EY668" s="1773"/>
      <c r="EZ668" s="1773"/>
      <c r="FA668" s="1773"/>
    </row>
    <row r="669" spans="1:157" ht="12.95" customHeight="1">
      <c r="A669" s="22"/>
      <c r="B669" t="s">
        <v>579</v>
      </c>
      <c r="G669" s="1697"/>
      <c r="H669" s="1697"/>
      <c r="I669" s="1697"/>
      <c r="J669" s="1697"/>
      <c r="K669" s="1697"/>
      <c r="L669" s="1697"/>
      <c r="M669" s="1697"/>
      <c r="N669" s="1697"/>
      <c r="O669" s="1697"/>
      <c r="P669" s="1697"/>
      <c r="Q669" s="1697"/>
      <c r="R669" s="1697"/>
      <c r="T669" s="22"/>
      <c r="U669" t="s">
        <v>579</v>
      </c>
      <c r="Z669" s="1643"/>
      <c r="AA669" s="1643"/>
      <c r="AB669" s="1643"/>
      <c r="AC669" s="1643"/>
      <c r="AD669" s="1643"/>
      <c r="AE669" s="1643"/>
      <c r="AF669" s="1643"/>
      <c r="AG669" s="1643"/>
      <c r="AH669" s="1643"/>
      <c r="AI669" s="1643"/>
      <c r="AJ669" s="1643"/>
      <c r="AK669" s="1643"/>
      <c r="AZ669" s="34"/>
      <c r="BA669" s="34"/>
      <c r="BB669" s="34"/>
      <c r="BC669" s="34"/>
      <c r="BD669" s="34"/>
      <c r="BE669" s="34"/>
      <c r="BF669" s="34"/>
      <c r="BG669" s="34"/>
      <c r="BH669" s="34"/>
      <c r="BI669" s="34"/>
      <c r="BJ669" s="34"/>
      <c r="BK669" s="34"/>
      <c r="BL669" s="34"/>
      <c r="BM669" s="34"/>
      <c r="DX669" s="1773" t="e">
        <f t="shared" si="4"/>
        <v>#VALUE!</v>
      </c>
      <c r="DY669" s="1773"/>
      <c r="DZ669" s="1773"/>
      <c r="EA669" s="1773"/>
      <c r="EB669" s="1773"/>
      <c r="EC669" s="1773" t="e">
        <f t="shared" si="5"/>
        <v>#VALUE!</v>
      </c>
      <c r="ED669" s="1773"/>
      <c r="EE669" s="1773"/>
      <c r="EF669" s="1773"/>
      <c r="EG669" s="1773"/>
      <c r="EH669" s="1773" t="e">
        <f t="shared" si="6"/>
        <v>#VALUE!</v>
      </c>
      <c r="EI669" s="1773"/>
      <c r="EJ669" s="1773"/>
      <c r="EK669" s="1773"/>
      <c r="EL669" s="1773"/>
      <c r="EM669" s="1773" t="e">
        <f t="shared" si="7"/>
        <v>#VALUE!</v>
      </c>
      <c r="EN669" s="1773"/>
      <c r="EO669" s="1773"/>
      <c r="EP669" s="1773"/>
      <c r="EQ669" s="1773"/>
      <c r="ER669" s="1773" t="e">
        <f t="shared" si="8"/>
        <v>#VALUE!</v>
      </c>
      <c r="ES669" s="1773"/>
      <c r="ET669" s="1773"/>
      <c r="EU669" s="1773"/>
      <c r="EV669" s="1773"/>
      <c r="EW669" s="1773" t="e">
        <f t="shared" si="9"/>
        <v>#VALUE!</v>
      </c>
      <c r="EX669" s="1773"/>
      <c r="EY669" s="1773"/>
      <c r="EZ669" s="1773"/>
      <c r="FA669" s="1773"/>
    </row>
    <row r="670" spans="1:157" ht="12.95" customHeight="1">
      <c r="A670" s="22"/>
      <c r="B670" t="s">
        <v>17</v>
      </c>
      <c r="G670" s="1697"/>
      <c r="H670" s="1697"/>
      <c r="I670" s="1697"/>
      <c r="J670" s="1697"/>
      <c r="K670" s="1697"/>
      <c r="L670" s="1697"/>
      <c r="M670" s="1697"/>
      <c r="N670" s="1697"/>
      <c r="O670" s="1697"/>
      <c r="P670" s="1697"/>
      <c r="Q670" s="1697"/>
      <c r="R670" s="1697"/>
      <c r="T670" s="22"/>
      <c r="U670" t="s">
        <v>17</v>
      </c>
      <c r="Z670" s="1643"/>
      <c r="AA670" s="1696"/>
      <c r="AB670" s="1696"/>
      <c r="AC670" s="1696"/>
      <c r="AD670" s="1696"/>
      <c r="AE670" s="1696"/>
      <c r="AF670" s="1696"/>
      <c r="AG670" s="1696"/>
      <c r="AH670" s="1696"/>
      <c r="AI670" s="1696"/>
      <c r="AJ670" s="1696"/>
      <c r="AK670" s="169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773" t="e">
        <f t="shared" si="4"/>
        <v>#VALUE!</v>
      </c>
      <c r="DY670" s="1773"/>
      <c r="DZ670" s="1773"/>
      <c r="EA670" s="1773"/>
      <c r="EB670" s="1773"/>
      <c r="EC670" s="1773" t="e">
        <f t="shared" si="5"/>
        <v>#VALUE!</v>
      </c>
      <c r="ED670" s="1773"/>
      <c r="EE670" s="1773"/>
      <c r="EF670" s="1773"/>
      <c r="EG670" s="1773"/>
      <c r="EH670" s="1773" t="e">
        <f t="shared" si="6"/>
        <v>#VALUE!</v>
      </c>
      <c r="EI670" s="1773"/>
      <c r="EJ670" s="1773"/>
      <c r="EK670" s="1773"/>
      <c r="EL670" s="1773"/>
      <c r="EM670" s="1773" t="e">
        <f t="shared" si="7"/>
        <v>#VALUE!</v>
      </c>
      <c r="EN670" s="1773"/>
      <c r="EO670" s="1773"/>
      <c r="EP670" s="1773"/>
      <c r="EQ670" s="1773"/>
      <c r="ER670" s="1773" t="e">
        <f t="shared" si="8"/>
        <v>#VALUE!</v>
      </c>
      <c r="ES670" s="1773"/>
      <c r="ET670" s="1773"/>
      <c r="EU670" s="1773"/>
      <c r="EV670" s="1773"/>
      <c r="EW670" s="1773" t="e">
        <f t="shared" si="9"/>
        <v>#VALUE!</v>
      </c>
      <c r="EX670" s="1773"/>
      <c r="EY670" s="1773"/>
      <c r="EZ670" s="1773"/>
      <c r="FA670" s="1773"/>
    </row>
    <row r="671" spans="1:157" ht="12.95" customHeight="1">
      <c r="A671" s="22"/>
      <c r="B671" t="s">
        <v>315</v>
      </c>
      <c r="G671" s="1699"/>
      <c r="H671" s="1699"/>
      <c r="I671" s="1699"/>
      <c r="J671" s="1699"/>
      <c r="K671" s="1699"/>
      <c r="L671" s="1699"/>
      <c r="O671" s="33" t="s">
        <v>205</v>
      </c>
      <c r="P671" s="1753"/>
      <c r="Q671" s="1753"/>
      <c r="R671" s="1753"/>
      <c r="T671" s="22"/>
      <c r="U671" t="s">
        <v>315</v>
      </c>
      <c r="Z671" s="1698"/>
      <c r="AA671" s="1699"/>
      <c r="AB671" s="1699"/>
      <c r="AC671" s="1699"/>
      <c r="AD671" s="1699"/>
      <c r="AE671" s="1699"/>
      <c r="AH671" s="33" t="s">
        <v>205</v>
      </c>
      <c r="AI671" s="1753"/>
      <c r="AJ671" s="1753"/>
      <c r="AK671" s="175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773" t="e">
        <f t="shared" si="4"/>
        <v>#VALUE!</v>
      </c>
      <c r="DY671" s="1773"/>
      <c r="DZ671" s="1773"/>
      <c r="EA671" s="1773"/>
      <c r="EB671" s="1773"/>
      <c r="EC671" s="1773" t="e">
        <f t="shared" si="5"/>
        <v>#VALUE!</v>
      </c>
      <c r="ED671" s="1773"/>
      <c r="EE671" s="1773"/>
      <c r="EF671" s="1773"/>
      <c r="EG671" s="1773"/>
      <c r="EH671" s="1773" t="e">
        <f t="shared" si="6"/>
        <v>#VALUE!</v>
      </c>
      <c r="EI671" s="1773"/>
      <c r="EJ671" s="1773"/>
      <c r="EK671" s="1773"/>
      <c r="EL671" s="1773"/>
      <c r="EM671" s="1773" t="e">
        <f t="shared" si="7"/>
        <v>#VALUE!</v>
      </c>
      <c r="EN671" s="1773"/>
      <c r="EO671" s="1773"/>
      <c r="EP671" s="1773"/>
      <c r="EQ671" s="1773"/>
      <c r="ER671" s="1773" t="e">
        <f t="shared" si="8"/>
        <v>#VALUE!</v>
      </c>
      <c r="ES671" s="1773"/>
      <c r="ET671" s="1773"/>
      <c r="EU671" s="1773"/>
      <c r="EV671" s="1773"/>
      <c r="EW671" s="1773" t="e">
        <f t="shared" si="9"/>
        <v>#VALUE!</v>
      </c>
      <c r="EX671" s="1773"/>
      <c r="EY671" s="1773"/>
      <c r="EZ671" s="1773"/>
      <c r="FA671" s="1773"/>
    </row>
    <row r="672" spans="1:157" ht="12.95" customHeight="1">
      <c r="A672" s="22"/>
      <c r="B672" t="s">
        <v>18</v>
      </c>
      <c r="H672" s="1703"/>
      <c r="I672" s="1697"/>
      <c r="J672" s="1697"/>
      <c r="K672" s="1697"/>
      <c r="L672" s="1697"/>
      <c r="M672" s="1697"/>
      <c r="N672" s="1697"/>
      <c r="O672" s="1697"/>
      <c r="P672" s="1697"/>
      <c r="Q672" s="1697"/>
      <c r="R672" s="1697"/>
      <c r="T672" s="22"/>
      <c r="U672" t="s">
        <v>18</v>
      </c>
      <c r="AA672" s="1703"/>
      <c r="AB672" s="1697"/>
      <c r="AC672" s="1697"/>
      <c r="AD672" s="1697"/>
      <c r="AE672" s="1697"/>
      <c r="AF672" s="1697"/>
      <c r="AG672" s="1697"/>
      <c r="AH672" s="1697"/>
      <c r="AI672" s="1697"/>
      <c r="AJ672" s="1697"/>
      <c r="AK672" s="169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773" t="e">
        <f t="shared" si="4"/>
        <v>#VALUE!</v>
      </c>
      <c r="DY672" s="1773"/>
      <c r="DZ672" s="1773"/>
      <c r="EA672" s="1773"/>
      <c r="EB672" s="1773"/>
      <c r="EC672" s="1773" t="e">
        <f t="shared" si="5"/>
        <v>#VALUE!</v>
      </c>
      <c r="ED672" s="1773"/>
      <c r="EE672" s="1773"/>
      <c r="EF672" s="1773"/>
      <c r="EG672" s="1773"/>
      <c r="EH672" s="1773" t="e">
        <f t="shared" si="6"/>
        <v>#VALUE!</v>
      </c>
      <c r="EI672" s="1773"/>
      <c r="EJ672" s="1773"/>
      <c r="EK672" s="1773"/>
      <c r="EL672" s="1773"/>
      <c r="EM672" s="1773" t="e">
        <f t="shared" si="7"/>
        <v>#VALUE!</v>
      </c>
      <c r="EN672" s="1773"/>
      <c r="EO672" s="1773"/>
      <c r="EP672" s="1773"/>
      <c r="EQ672" s="1773"/>
      <c r="ER672" s="1773" t="e">
        <f t="shared" si="8"/>
        <v>#VALUE!</v>
      </c>
      <c r="ES672" s="1773"/>
      <c r="ET672" s="1773"/>
      <c r="EU672" s="1773"/>
      <c r="EV672" s="1773"/>
      <c r="EW672" s="1773" t="e">
        <f t="shared" si="9"/>
        <v>#VALUE!</v>
      </c>
      <c r="EX672" s="1773"/>
      <c r="EY672" s="1773"/>
      <c r="EZ672" s="1773"/>
      <c r="FA672" s="1773"/>
    </row>
    <row r="673" spans="1:157" ht="12.95" customHeight="1">
      <c r="A673" s="22"/>
      <c r="B673" t="s">
        <v>20</v>
      </c>
      <c r="N673" s="1599"/>
      <c r="O673" s="1599"/>
      <c r="T673" s="22"/>
      <c r="U673" t="s">
        <v>20</v>
      </c>
      <c r="AG673" s="1599"/>
      <c r="AH673" s="159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773" t="e">
        <f t="shared" si="4"/>
        <v>#VALUE!</v>
      </c>
      <c r="DY673" s="1773"/>
      <c r="DZ673" s="1773"/>
      <c r="EA673" s="1773"/>
      <c r="EB673" s="1773"/>
      <c r="EC673" s="1773" t="e">
        <f t="shared" si="5"/>
        <v>#VALUE!</v>
      </c>
      <c r="ED673" s="1773"/>
      <c r="EE673" s="1773"/>
      <c r="EF673" s="1773"/>
      <c r="EG673" s="1773"/>
      <c r="EH673" s="1773" t="e">
        <f t="shared" si="6"/>
        <v>#VALUE!</v>
      </c>
      <c r="EI673" s="1773"/>
      <c r="EJ673" s="1773"/>
      <c r="EK673" s="1773"/>
      <c r="EL673" s="1773"/>
      <c r="EM673" s="1773" t="e">
        <f t="shared" si="7"/>
        <v>#VALUE!</v>
      </c>
      <c r="EN673" s="1773"/>
      <c r="EO673" s="1773"/>
      <c r="EP673" s="1773"/>
      <c r="EQ673" s="1773"/>
      <c r="ER673" s="1773" t="e">
        <f t="shared" si="8"/>
        <v>#VALUE!</v>
      </c>
      <c r="ES673" s="1773"/>
      <c r="ET673" s="1773"/>
      <c r="EU673" s="1773"/>
      <c r="EV673" s="1773"/>
      <c r="EW673" s="1773" t="e">
        <f t="shared" si="9"/>
        <v>#VALUE!</v>
      </c>
      <c r="EX673" s="1773"/>
      <c r="EY673" s="1773"/>
      <c r="EZ673" s="1773"/>
      <c r="FA673" s="177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773" t="e">
        <f t="shared" si="4"/>
        <v>#VALUE!</v>
      </c>
      <c r="DY674" s="1773"/>
      <c r="DZ674" s="1773"/>
      <c r="EA674" s="1773"/>
      <c r="EB674" s="1773"/>
      <c r="EC674" s="1773" t="e">
        <f t="shared" si="5"/>
        <v>#VALUE!</v>
      </c>
      <c r="ED674" s="1773"/>
      <c r="EE674" s="1773"/>
      <c r="EF674" s="1773"/>
      <c r="EG674" s="1773"/>
      <c r="EH674" s="1773" t="e">
        <f t="shared" si="6"/>
        <v>#VALUE!</v>
      </c>
      <c r="EI674" s="1773"/>
      <c r="EJ674" s="1773"/>
      <c r="EK674" s="1773"/>
      <c r="EL674" s="1773"/>
      <c r="EM674" s="1773" t="e">
        <f t="shared" si="7"/>
        <v>#VALUE!</v>
      </c>
      <c r="EN674" s="1773"/>
      <c r="EO674" s="1773"/>
      <c r="EP674" s="1773"/>
      <c r="EQ674" s="1773"/>
      <c r="ER674" s="1773" t="e">
        <f t="shared" si="8"/>
        <v>#VALUE!</v>
      </c>
      <c r="ES674" s="1773"/>
      <c r="ET674" s="1773"/>
      <c r="EU674" s="1773"/>
      <c r="EV674" s="1773"/>
      <c r="EW674" s="1773" t="e">
        <f t="shared" si="9"/>
        <v>#VALUE!</v>
      </c>
      <c r="EX674" s="1773"/>
      <c r="EY674" s="1773"/>
      <c r="EZ674" s="1773"/>
      <c r="FA674" s="1773"/>
    </row>
    <row r="675" spans="1:157" ht="12.95" customHeight="1">
      <c r="A675" s="55" t="s">
        <v>454</v>
      </c>
      <c r="B675" t="s">
        <v>462</v>
      </c>
      <c r="G675" s="1695">
        <f>C641</f>
        <v>0</v>
      </c>
      <c r="H675" s="1695"/>
      <c r="I675" s="1695"/>
      <c r="J675" s="1695"/>
      <c r="K675" s="1695"/>
      <c r="L675" s="1695"/>
      <c r="M675" s="1695"/>
      <c r="N675" s="1695"/>
      <c r="O675" s="1695"/>
      <c r="P675" s="1695"/>
      <c r="Q675" s="1695"/>
      <c r="R675" s="1695"/>
      <c r="T675" s="55" t="s">
        <v>455</v>
      </c>
      <c r="U675" t="s">
        <v>462</v>
      </c>
      <c r="Z675" s="1695">
        <f>C642</f>
        <v>0</v>
      </c>
      <c r="AA675" s="1695"/>
      <c r="AB675" s="1695"/>
      <c r="AC675" s="1695"/>
      <c r="AD675" s="1695"/>
      <c r="AE675" s="1695"/>
      <c r="AF675" s="1695"/>
      <c r="AG675" s="1695"/>
      <c r="AH675" s="1695"/>
      <c r="AI675" s="1695"/>
      <c r="AJ675" s="1695"/>
      <c r="AK675" s="169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773" t="e">
        <f t="shared" si="4"/>
        <v>#VALUE!</v>
      </c>
      <c r="DY675" s="1773"/>
      <c r="DZ675" s="1773"/>
      <c r="EA675" s="1773"/>
      <c r="EB675" s="1773"/>
      <c r="EC675" s="1773" t="e">
        <f t="shared" si="5"/>
        <v>#VALUE!</v>
      </c>
      <c r="ED675" s="1773"/>
      <c r="EE675" s="1773"/>
      <c r="EF675" s="1773"/>
      <c r="EG675" s="1773"/>
      <c r="EH675" s="1773" t="e">
        <f t="shared" si="6"/>
        <v>#VALUE!</v>
      </c>
      <c r="EI675" s="1773"/>
      <c r="EJ675" s="1773"/>
      <c r="EK675" s="1773"/>
      <c r="EL675" s="1773"/>
      <c r="EM675" s="1773" t="e">
        <f t="shared" si="7"/>
        <v>#VALUE!</v>
      </c>
      <c r="EN675" s="1773"/>
      <c r="EO675" s="1773"/>
      <c r="EP675" s="1773"/>
      <c r="EQ675" s="1773"/>
      <c r="ER675" s="1773" t="e">
        <f t="shared" si="8"/>
        <v>#VALUE!</v>
      </c>
      <c r="ES675" s="1773"/>
      <c r="ET675" s="1773"/>
      <c r="EU675" s="1773"/>
      <c r="EV675" s="1773"/>
      <c r="EW675" s="1773" t="e">
        <f t="shared" si="9"/>
        <v>#VALUE!</v>
      </c>
      <c r="EX675" s="1773"/>
      <c r="EY675" s="1773"/>
      <c r="EZ675" s="1773"/>
      <c r="FA675" s="1773"/>
    </row>
    <row r="676" spans="1:157" ht="12.95" customHeight="1">
      <c r="A676" s="22"/>
      <c r="B676" t="s">
        <v>85</v>
      </c>
      <c r="G676" s="1697"/>
      <c r="H676" s="1697"/>
      <c r="I676" s="1697"/>
      <c r="J676" s="1697"/>
      <c r="K676" s="1697"/>
      <c r="L676" s="1697"/>
      <c r="M676" s="1697"/>
      <c r="N676" s="1697"/>
      <c r="O676" s="1697"/>
      <c r="P676" s="1697"/>
      <c r="Q676" s="1697"/>
      <c r="R676" s="1697"/>
      <c r="T676" s="22"/>
      <c r="U676" t="s">
        <v>85</v>
      </c>
      <c r="Z676" s="1697"/>
      <c r="AA676" s="1697"/>
      <c r="AB676" s="1697"/>
      <c r="AC676" s="1697"/>
      <c r="AD676" s="1697"/>
      <c r="AE676" s="1697"/>
      <c r="AF676" s="1697"/>
      <c r="AG676" s="1697"/>
      <c r="AH676" s="1697"/>
      <c r="AI676" s="1697"/>
      <c r="AJ676" s="1697"/>
      <c r="AK676" s="169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773" t="e">
        <f t="shared" si="4"/>
        <v>#VALUE!</v>
      </c>
      <c r="DY676" s="1773"/>
      <c r="DZ676" s="1773"/>
      <c r="EA676" s="1773"/>
      <c r="EB676" s="1773"/>
      <c r="EC676" s="1773" t="e">
        <f t="shared" si="5"/>
        <v>#VALUE!</v>
      </c>
      <c r="ED676" s="1773"/>
      <c r="EE676" s="1773"/>
      <c r="EF676" s="1773"/>
      <c r="EG676" s="1773"/>
      <c r="EH676" s="1773" t="e">
        <f t="shared" si="6"/>
        <v>#VALUE!</v>
      </c>
      <c r="EI676" s="1773"/>
      <c r="EJ676" s="1773"/>
      <c r="EK676" s="1773"/>
      <c r="EL676" s="1773"/>
      <c r="EM676" s="1773" t="e">
        <f t="shared" si="7"/>
        <v>#VALUE!</v>
      </c>
      <c r="EN676" s="1773"/>
      <c r="EO676" s="1773"/>
      <c r="EP676" s="1773"/>
      <c r="EQ676" s="1773"/>
      <c r="ER676" s="1773" t="e">
        <f t="shared" si="8"/>
        <v>#VALUE!</v>
      </c>
      <c r="ES676" s="1773"/>
      <c r="ET676" s="1773"/>
      <c r="EU676" s="1773"/>
      <c r="EV676" s="1773"/>
      <c r="EW676" s="1773" t="e">
        <f t="shared" si="9"/>
        <v>#VALUE!</v>
      </c>
      <c r="EX676" s="1773"/>
      <c r="EY676" s="1773"/>
      <c r="EZ676" s="1773"/>
      <c r="FA676" s="1773"/>
    </row>
    <row r="677" spans="1:157" ht="12.95" customHeight="1">
      <c r="A677" s="22"/>
      <c r="B677" t="s">
        <v>579</v>
      </c>
      <c r="G677" s="1697"/>
      <c r="H677" s="1697"/>
      <c r="I677" s="1697"/>
      <c r="J677" s="1697"/>
      <c r="K677" s="1697"/>
      <c r="L677" s="1697"/>
      <c r="M677" s="1697"/>
      <c r="N677" s="1697"/>
      <c r="O677" s="1697"/>
      <c r="P677" s="1697"/>
      <c r="Q677" s="1697"/>
      <c r="R677" s="1697"/>
      <c r="T677" s="22"/>
      <c r="U677" t="s">
        <v>579</v>
      </c>
      <c r="Z677" s="1696"/>
      <c r="AA677" s="1696"/>
      <c r="AB677" s="1696"/>
      <c r="AC677" s="1696"/>
      <c r="AD677" s="1696"/>
      <c r="AE677" s="1696"/>
      <c r="AF677" s="1696"/>
      <c r="AG677" s="1696"/>
      <c r="AH677" s="1696"/>
      <c r="AI677" s="1696"/>
      <c r="AJ677" s="1696"/>
      <c r="AK677" s="169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773" t="e">
        <f t="shared" si="4"/>
        <v>#VALUE!</v>
      </c>
      <c r="DY677" s="1773"/>
      <c r="DZ677" s="1773"/>
      <c r="EA677" s="1773"/>
      <c r="EB677" s="1773"/>
      <c r="EC677" s="1773" t="e">
        <f t="shared" si="5"/>
        <v>#VALUE!</v>
      </c>
      <c r="ED677" s="1773"/>
      <c r="EE677" s="1773"/>
      <c r="EF677" s="1773"/>
      <c r="EG677" s="1773"/>
      <c r="EH677" s="1773" t="e">
        <f t="shared" si="6"/>
        <v>#VALUE!</v>
      </c>
      <c r="EI677" s="1773"/>
      <c r="EJ677" s="1773"/>
      <c r="EK677" s="1773"/>
      <c r="EL677" s="1773"/>
      <c r="EM677" s="1773" t="e">
        <f t="shared" si="7"/>
        <v>#VALUE!</v>
      </c>
      <c r="EN677" s="1773"/>
      <c r="EO677" s="1773"/>
      <c r="EP677" s="1773"/>
      <c r="EQ677" s="1773"/>
      <c r="ER677" s="1773" t="e">
        <f t="shared" si="8"/>
        <v>#VALUE!</v>
      </c>
      <c r="ES677" s="1773"/>
      <c r="ET677" s="1773"/>
      <c r="EU677" s="1773"/>
      <c r="EV677" s="1773"/>
      <c r="EW677" s="1773" t="e">
        <f t="shared" si="9"/>
        <v>#VALUE!</v>
      </c>
      <c r="EX677" s="1773"/>
      <c r="EY677" s="1773"/>
      <c r="EZ677" s="1773"/>
      <c r="FA677" s="1773"/>
    </row>
    <row r="678" spans="1:157" ht="12.95" customHeight="1">
      <c r="A678" s="22"/>
      <c r="B678" t="s">
        <v>17</v>
      </c>
      <c r="G678" s="1697"/>
      <c r="H678" s="1697"/>
      <c r="I678" s="1697"/>
      <c r="J678" s="1697"/>
      <c r="K678" s="1697"/>
      <c r="L678" s="1697"/>
      <c r="M678" s="1697"/>
      <c r="N678" s="1697"/>
      <c r="O678" s="1697"/>
      <c r="P678" s="1697"/>
      <c r="Q678" s="1697"/>
      <c r="R678" s="1697"/>
      <c r="T678" s="22"/>
      <c r="U678" t="s">
        <v>17</v>
      </c>
      <c r="Z678" s="1696"/>
      <c r="AA678" s="1696"/>
      <c r="AB678" s="1696"/>
      <c r="AC678" s="1696"/>
      <c r="AD678" s="1696"/>
      <c r="AE678" s="1696"/>
      <c r="AF678" s="1696"/>
      <c r="AG678" s="1696"/>
      <c r="AH678" s="1696"/>
      <c r="AI678" s="1696"/>
      <c r="AJ678" s="1696"/>
      <c r="AK678" s="169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773">
        <f>SUMIF(DX643:EB677,"&gt;0")</f>
        <v>0</v>
      </c>
      <c r="DY678" s="1773"/>
      <c r="DZ678" s="1773"/>
      <c r="EA678" s="1773"/>
      <c r="EB678" s="1773"/>
      <c r="EC678" s="1773">
        <f>SUMIF(EC643:EG677,"&gt;0")</f>
        <v>1333.125</v>
      </c>
      <c r="ED678" s="1773"/>
      <c r="EE678" s="1773"/>
      <c r="EF678" s="1773"/>
      <c r="EG678" s="1773"/>
      <c r="EH678" s="1773">
        <f>SUMIF(EH643:EL677,"&gt;0")</f>
        <v>1615.9</v>
      </c>
      <c r="EI678" s="1773"/>
      <c r="EJ678" s="1773"/>
      <c r="EK678" s="1773"/>
      <c r="EL678" s="1773"/>
      <c r="EM678" s="1773">
        <f>SUMIF(EM643:EQ677,"&gt;0")</f>
        <v>1865.8684374999998</v>
      </c>
      <c r="EN678" s="1773"/>
      <c r="EO678" s="1773"/>
      <c r="EP678" s="1773"/>
      <c r="EQ678" s="1773"/>
      <c r="ER678" s="1773">
        <f>SUMIF(ER643:EV677,"&gt;0")</f>
        <v>0</v>
      </c>
      <c r="ES678" s="1773"/>
      <c r="ET678" s="1773"/>
      <c r="EU678" s="1773"/>
      <c r="EV678" s="1773"/>
      <c r="EW678" s="1773">
        <f>SUMIF(EW643:FA677,"&gt;0")</f>
        <v>0</v>
      </c>
      <c r="EX678" s="1773"/>
      <c r="EY678" s="1773"/>
      <c r="EZ678" s="1773"/>
      <c r="FA678" s="1773"/>
    </row>
    <row r="679" spans="1:157" ht="12.95" customHeight="1">
      <c r="A679" s="22"/>
      <c r="B679" t="s">
        <v>315</v>
      </c>
      <c r="G679" s="1699"/>
      <c r="H679" s="1699"/>
      <c r="I679" s="1699"/>
      <c r="J679" s="1699"/>
      <c r="K679" s="1699"/>
      <c r="L679" s="1699"/>
      <c r="O679" s="33" t="s">
        <v>205</v>
      </c>
      <c r="P679" s="1753"/>
      <c r="Q679" s="1753"/>
      <c r="R679" s="1753"/>
      <c r="T679" s="22"/>
      <c r="U679" t="s">
        <v>315</v>
      </c>
      <c r="Z679" s="1699"/>
      <c r="AA679" s="1699"/>
      <c r="AB679" s="1699"/>
      <c r="AC679" s="1699"/>
      <c r="AD679" s="1699"/>
      <c r="AE679" s="1699"/>
      <c r="AH679" s="33" t="s">
        <v>205</v>
      </c>
      <c r="AI679" s="1753"/>
      <c r="AJ679" s="1753"/>
      <c r="AK679" s="175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697"/>
      <c r="I680" s="1697"/>
      <c r="J680" s="1697"/>
      <c r="K680" s="1697"/>
      <c r="L680" s="1697"/>
      <c r="M680" s="1697"/>
      <c r="N680" s="1697"/>
      <c r="O680" s="1697"/>
      <c r="P680" s="1697"/>
      <c r="Q680" s="1697"/>
      <c r="R680" s="1697"/>
      <c r="T680" s="22"/>
      <c r="U680" t="s">
        <v>18</v>
      </c>
      <c r="AA680" s="1697"/>
      <c r="AB680" s="1697"/>
      <c r="AC680" s="1697"/>
      <c r="AD680" s="1697"/>
      <c r="AE680" s="1697"/>
      <c r="AF680" s="1697"/>
      <c r="AG680" s="1697"/>
      <c r="AH680" s="1697"/>
      <c r="AI680" s="1697"/>
      <c r="AJ680" s="1697"/>
      <c r="AK680" s="169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599" t="s">
        <v>668</v>
      </c>
      <c r="O681" s="1599"/>
      <c r="T681" s="22"/>
      <c r="U681" t="s">
        <v>20</v>
      </c>
      <c r="AG681" s="1599" t="s">
        <v>668</v>
      </c>
      <c r="AH681" s="1599"/>
      <c r="AZ681" s="3"/>
    </row>
    <row r="682" spans="1:157" ht="12.95" customHeight="1">
      <c r="A682" s="22"/>
      <c r="T682" s="22"/>
      <c r="AZ682" s="3"/>
    </row>
    <row r="683" spans="1:157" ht="12.95" customHeight="1">
      <c r="A683" s="55" t="s">
        <v>460</v>
      </c>
      <c r="B683" t="s">
        <v>462</v>
      </c>
      <c r="G683" s="1695">
        <f>C643</f>
        <v>0</v>
      </c>
      <c r="H683" s="1695"/>
      <c r="I683" s="1695"/>
      <c r="J683" s="1695"/>
      <c r="K683" s="1695"/>
      <c r="L683" s="1695"/>
      <c r="M683" s="1695"/>
      <c r="N683" s="1695"/>
      <c r="O683" s="1695"/>
      <c r="P683" s="1695"/>
      <c r="Q683" s="1695"/>
      <c r="R683" s="1695"/>
      <c r="T683" s="55" t="s">
        <v>645</v>
      </c>
      <c r="U683" t="s">
        <v>462</v>
      </c>
      <c r="Z683" s="1695">
        <f>C644</f>
        <v>0</v>
      </c>
      <c r="AA683" s="1695"/>
      <c r="AB683" s="1695"/>
      <c r="AC683" s="1695"/>
      <c r="AD683" s="1695"/>
      <c r="AE683" s="1695"/>
      <c r="AF683" s="1695"/>
      <c r="AG683" s="1695"/>
      <c r="AH683" s="1695"/>
      <c r="AI683" s="1695"/>
      <c r="AJ683" s="1695"/>
      <c r="AK683" s="1695"/>
      <c r="AZ683" s="3"/>
    </row>
    <row r="684" spans="1:157" ht="12.95" customHeight="1">
      <c r="A684" s="22"/>
      <c r="B684" t="s">
        <v>85</v>
      </c>
      <c r="G684" s="1697"/>
      <c r="H684" s="1697"/>
      <c r="I684" s="1697"/>
      <c r="J684" s="1697"/>
      <c r="K684" s="1697"/>
      <c r="L684" s="1697"/>
      <c r="M684" s="1697"/>
      <c r="N684" s="1697"/>
      <c r="O684" s="1697"/>
      <c r="P684" s="1697"/>
      <c r="Q684" s="1697"/>
      <c r="R684" s="1697"/>
      <c r="T684" s="22"/>
      <c r="U684" t="s">
        <v>85</v>
      </c>
      <c r="Z684" s="1697"/>
      <c r="AA684" s="1697"/>
      <c r="AB684" s="1697"/>
      <c r="AC684" s="1697"/>
      <c r="AD684" s="1697"/>
      <c r="AE684" s="1697"/>
      <c r="AF684" s="1697"/>
      <c r="AG684" s="1697"/>
      <c r="AH684" s="1697"/>
      <c r="AI684" s="1697"/>
      <c r="AJ684" s="1697"/>
      <c r="AK684" s="1697"/>
      <c r="AZ684" s="3"/>
    </row>
    <row r="685" spans="1:157" ht="12.95" customHeight="1">
      <c r="A685" s="22"/>
      <c r="B685" t="s">
        <v>579</v>
      </c>
      <c r="G685" s="1697"/>
      <c r="H685" s="1697"/>
      <c r="I685" s="1697"/>
      <c r="J685" s="1697"/>
      <c r="K685" s="1697"/>
      <c r="L685" s="1697"/>
      <c r="M685" s="1697"/>
      <c r="N685" s="1697"/>
      <c r="O685" s="1697"/>
      <c r="P685" s="1697"/>
      <c r="Q685" s="1697"/>
      <c r="R685" s="1697"/>
      <c r="T685" s="22"/>
      <c r="U685" t="s">
        <v>579</v>
      </c>
      <c r="Z685" s="1696"/>
      <c r="AA685" s="1696"/>
      <c r="AB685" s="1696"/>
      <c r="AC685" s="1696"/>
      <c r="AD685" s="1696"/>
      <c r="AE685" s="1696"/>
      <c r="AF685" s="1696"/>
      <c r="AG685" s="1696"/>
      <c r="AH685" s="1696"/>
      <c r="AI685" s="1696"/>
      <c r="AJ685" s="1696"/>
      <c r="AK685" s="1696"/>
      <c r="AZ685" s="3"/>
    </row>
    <row r="686" spans="1:157" ht="12.95" customHeight="1">
      <c r="A686" s="22"/>
      <c r="B686" t="s">
        <v>17</v>
      </c>
      <c r="G686" s="1697"/>
      <c r="H686" s="1697"/>
      <c r="I686" s="1697"/>
      <c r="J686" s="1697"/>
      <c r="K686" s="1697"/>
      <c r="L686" s="1697"/>
      <c r="M686" s="1697"/>
      <c r="N686" s="1697"/>
      <c r="O686" s="1697"/>
      <c r="P686" s="1697"/>
      <c r="Q686" s="1697"/>
      <c r="R686" s="1697"/>
      <c r="T686" s="22"/>
      <c r="U686" t="s">
        <v>17</v>
      </c>
      <c r="Z686" s="1696"/>
      <c r="AA686" s="1696"/>
      <c r="AB686" s="1696"/>
      <c r="AC686" s="1696"/>
      <c r="AD686" s="1696"/>
      <c r="AE686" s="1696"/>
      <c r="AF686" s="1696"/>
      <c r="AG686" s="1696"/>
      <c r="AH686" s="1696"/>
      <c r="AI686" s="1696"/>
      <c r="AJ686" s="1696"/>
      <c r="AK686" s="1696"/>
      <c r="AZ686" s="3"/>
    </row>
    <row r="687" spans="1:157" ht="12.95" customHeight="1">
      <c r="A687" s="22"/>
      <c r="B687" t="s">
        <v>315</v>
      </c>
      <c r="G687" s="1699"/>
      <c r="H687" s="1699"/>
      <c r="I687" s="1699"/>
      <c r="J687" s="1699"/>
      <c r="K687" s="1699"/>
      <c r="L687" s="1699"/>
      <c r="O687" s="33" t="s">
        <v>205</v>
      </c>
      <c r="P687" s="1753"/>
      <c r="Q687" s="1753"/>
      <c r="R687" s="1753"/>
      <c r="T687" s="22"/>
      <c r="U687" t="s">
        <v>315</v>
      </c>
      <c r="Z687" s="1699"/>
      <c r="AA687" s="1699"/>
      <c r="AB687" s="1699"/>
      <c r="AC687" s="1699"/>
      <c r="AD687" s="1699"/>
      <c r="AE687" s="1699"/>
      <c r="AH687" s="33" t="s">
        <v>205</v>
      </c>
      <c r="AI687" s="1753"/>
      <c r="AJ687" s="1753"/>
      <c r="AK687" s="1753"/>
      <c r="AZ687" s="3"/>
    </row>
    <row r="688" spans="1:157" ht="12.95" customHeight="1">
      <c r="A688" s="22"/>
      <c r="B688" t="s">
        <v>18</v>
      </c>
      <c r="H688" s="1697"/>
      <c r="I688" s="1697"/>
      <c r="J688" s="1697"/>
      <c r="K688" s="1697"/>
      <c r="L688" s="1697"/>
      <c r="M688" s="1697"/>
      <c r="N688" s="1697"/>
      <c r="O688" s="1697"/>
      <c r="P688" s="1697"/>
      <c r="Q688" s="1697"/>
      <c r="R688" s="1697"/>
      <c r="T688" s="22"/>
      <c r="U688" t="s">
        <v>18</v>
      </c>
      <c r="AA688" s="1697"/>
      <c r="AB688" s="1697"/>
      <c r="AC688" s="1697"/>
      <c r="AD688" s="1697"/>
      <c r="AE688" s="1697"/>
      <c r="AF688" s="1697"/>
      <c r="AG688" s="1697"/>
      <c r="AH688" s="1697"/>
      <c r="AI688" s="1697"/>
      <c r="AJ688" s="1697"/>
      <c r="AK688" s="1697"/>
      <c r="AZ688" s="3"/>
    </row>
    <row r="689" spans="1:52" ht="12.95" customHeight="1">
      <c r="A689" s="22"/>
      <c r="B689" t="s">
        <v>20</v>
      </c>
      <c r="N689" s="1599" t="s">
        <v>668</v>
      </c>
      <c r="O689" s="1599"/>
      <c r="T689" s="22"/>
      <c r="U689" t="s">
        <v>20</v>
      </c>
      <c r="AG689" s="1599" t="s">
        <v>668</v>
      </c>
      <c r="AH689" s="1599"/>
      <c r="AZ689" s="3"/>
    </row>
    <row r="690" spans="1:52" ht="12.95" customHeight="1">
      <c r="A690" s="22"/>
      <c r="T690" s="22"/>
      <c r="AZ690" s="3"/>
    </row>
    <row r="691" spans="1:52" ht="12.95" customHeight="1">
      <c r="A691" s="55" t="s">
        <v>361</v>
      </c>
      <c r="B691" t="s">
        <v>462</v>
      </c>
      <c r="G691" s="1695">
        <f>C645</f>
        <v>0</v>
      </c>
      <c r="H691" s="1695"/>
      <c r="I691" s="1695"/>
      <c r="J691" s="1695"/>
      <c r="K691" s="1695"/>
      <c r="L691" s="1695"/>
      <c r="M691" s="1695"/>
      <c r="N691" s="1695"/>
      <c r="O691" s="1695"/>
      <c r="P691" s="1695"/>
      <c r="Q691" s="1695"/>
      <c r="R691" s="1695"/>
      <c r="T691" s="55" t="s">
        <v>362</v>
      </c>
      <c r="U691" t="s">
        <v>462</v>
      </c>
      <c r="Z691" s="1695">
        <f>C646</f>
        <v>0</v>
      </c>
      <c r="AA691" s="1695"/>
      <c r="AB691" s="1695"/>
      <c r="AC691" s="1695"/>
      <c r="AD691" s="1695"/>
      <c r="AE691" s="1695"/>
      <c r="AF691" s="1695"/>
      <c r="AG691" s="1695"/>
      <c r="AH691" s="1695"/>
      <c r="AI691" s="1695"/>
      <c r="AJ691" s="1695"/>
      <c r="AK691" s="1695"/>
      <c r="AZ691" s="3"/>
    </row>
    <row r="692" spans="1:52" ht="12.95" customHeight="1">
      <c r="B692" t="s">
        <v>85</v>
      </c>
      <c r="G692" s="1697"/>
      <c r="H692" s="1697"/>
      <c r="I692" s="1697"/>
      <c r="J692" s="1697"/>
      <c r="K692" s="1697"/>
      <c r="L692" s="1697"/>
      <c r="M692" s="1697"/>
      <c r="N692" s="1697"/>
      <c r="O692" s="1697"/>
      <c r="P692" s="1697"/>
      <c r="Q692" s="1697"/>
      <c r="R692" s="1697"/>
      <c r="T692" s="22"/>
      <c r="U692" t="s">
        <v>85</v>
      </c>
      <c r="Z692" s="1697"/>
      <c r="AA692" s="1697"/>
      <c r="AB692" s="1697"/>
      <c r="AC692" s="1697"/>
      <c r="AD692" s="1697"/>
      <c r="AE692" s="1697"/>
      <c r="AF692" s="1697"/>
      <c r="AG692" s="1697"/>
      <c r="AH692" s="1697"/>
      <c r="AI692" s="1697"/>
      <c r="AJ692" s="1697"/>
      <c r="AK692" s="1697"/>
      <c r="AZ692" s="3"/>
    </row>
    <row r="693" spans="1:52" ht="12.95" customHeight="1">
      <c r="B693" t="s">
        <v>579</v>
      </c>
      <c r="G693" s="1697"/>
      <c r="H693" s="1697"/>
      <c r="I693" s="1697"/>
      <c r="J693" s="1697"/>
      <c r="K693" s="1697"/>
      <c r="L693" s="1697"/>
      <c r="M693" s="1697"/>
      <c r="N693" s="1697"/>
      <c r="O693" s="1697"/>
      <c r="P693" s="1697"/>
      <c r="Q693" s="1697"/>
      <c r="R693" s="1697"/>
      <c r="U693" t="s">
        <v>579</v>
      </c>
      <c r="Z693" s="1696"/>
      <c r="AA693" s="1696"/>
      <c r="AB693" s="1696"/>
      <c r="AC693" s="1696"/>
      <c r="AD693" s="1696"/>
      <c r="AE693" s="1696"/>
      <c r="AF693" s="1696"/>
      <c r="AG693" s="1696"/>
      <c r="AH693" s="1696"/>
      <c r="AI693" s="1696"/>
      <c r="AJ693" s="1696"/>
      <c r="AK693" s="1696"/>
      <c r="AZ693" s="3"/>
    </row>
    <row r="694" spans="1:52" ht="12.95" customHeight="1">
      <c r="B694" t="s">
        <v>17</v>
      </c>
      <c r="G694" s="1697"/>
      <c r="H694" s="1697"/>
      <c r="I694" s="1697"/>
      <c r="J694" s="1697"/>
      <c r="K694" s="1697"/>
      <c r="L694" s="1697"/>
      <c r="M694" s="1697"/>
      <c r="N694" s="1697"/>
      <c r="O694" s="1697"/>
      <c r="P694" s="1697"/>
      <c r="Q694" s="1697"/>
      <c r="R694" s="1697"/>
      <c r="U694" t="s">
        <v>17</v>
      </c>
      <c r="Z694" s="1696"/>
      <c r="AA694" s="1696"/>
      <c r="AB694" s="1696"/>
      <c r="AC694" s="1696"/>
      <c r="AD694" s="1696"/>
      <c r="AE694" s="1696"/>
      <c r="AF694" s="1696"/>
      <c r="AG694" s="1696"/>
      <c r="AH694" s="1696"/>
      <c r="AI694" s="1696"/>
      <c r="AJ694" s="1696"/>
      <c r="AK694" s="1696"/>
      <c r="AZ694" s="3"/>
    </row>
    <row r="695" spans="1:52" ht="12.95" customHeight="1">
      <c r="B695" t="s">
        <v>315</v>
      </c>
      <c r="G695" s="1699"/>
      <c r="H695" s="1699"/>
      <c r="I695" s="1699"/>
      <c r="J695" s="1699"/>
      <c r="K695" s="1699"/>
      <c r="L695" s="1699"/>
      <c r="O695" s="33" t="s">
        <v>205</v>
      </c>
      <c r="P695" s="1753"/>
      <c r="Q695" s="1753"/>
      <c r="R695" s="1753"/>
      <c r="U695" t="s">
        <v>315</v>
      </c>
      <c r="Z695" s="1699"/>
      <c r="AA695" s="1699"/>
      <c r="AB695" s="1699"/>
      <c r="AC695" s="1699"/>
      <c r="AD695" s="1699"/>
      <c r="AE695" s="1699"/>
      <c r="AH695" s="33" t="s">
        <v>205</v>
      </c>
      <c r="AI695" s="1753"/>
      <c r="AJ695" s="1753"/>
      <c r="AK695" s="1753"/>
      <c r="AZ695" s="3"/>
    </row>
    <row r="696" spans="1:52" ht="12.95" customHeight="1">
      <c r="B696" t="s">
        <v>18</v>
      </c>
      <c r="H696" s="1697"/>
      <c r="I696" s="1697"/>
      <c r="J696" s="1697"/>
      <c r="K696" s="1697"/>
      <c r="L696" s="1697"/>
      <c r="M696" s="1697"/>
      <c r="N696" s="1697"/>
      <c r="O696" s="1697"/>
      <c r="P696" s="1697"/>
      <c r="Q696" s="1697"/>
      <c r="R696" s="1697"/>
      <c r="U696" t="s">
        <v>18</v>
      </c>
      <c r="AA696" s="1697"/>
      <c r="AB696" s="1697"/>
      <c r="AC696" s="1697"/>
      <c r="AD696" s="1697"/>
      <c r="AE696" s="1697"/>
      <c r="AF696" s="1697"/>
      <c r="AG696" s="1697"/>
      <c r="AH696" s="1697"/>
      <c r="AI696" s="1697"/>
      <c r="AJ696" s="1697"/>
      <c r="AK696" s="1697"/>
      <c r="AZ696" s="3"/>
    </row>
    <row r="697" spans="1:52" ht="12.95" customHeight="1">
      <c r="B697" t="s">
        <v>20</v>
      </c>
      <c r="N697" s="1599" t="s">
        <v>668</v>
      </c>
      <c r="O697" s="1599"/>
      <c r="U697" t="s">
        <v>20</v>
      </c>
      <c r="AG697" s="1599" t="s">
        <v>668</v>
      </c>
      <c r="AH697" s="1599"/>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27" t="s">
        <v>2598</v>
      </c>
      <c r="E700" s="135"/>
      <c r="F700" s="135"/>
      <c r="G700" s="135"/>
      <c r="H700" s="135"/>
      <c r="AZ700" s="3"/>
    </row>
    <row r="701" spans="1:52" ht="12.95" customHeight="1">
      <c r="B701" s="135"/>
      <c r="C701" s="135"/>
      <c r="E701" s="136" t="s">
        <v>433</v>
      </c>
      <c r="F701" s="135"/>
      <c r="G701" s="135"/>
      <c r="H701" s="135"/>
      <c r="AE701" s="1599" t="s">
        <v>544</v>
      </c>
      <c r="AF701" s="1599"/>
      <c r="AZ701" s="3"/>
    </row>
    <row r="702" spans="1:52" ht="12.95" customHeight="1">
      <c r="B702" s="135"/>
      <c r="C702" s="135"/>
      <c r="D702" s="136" t="s">
        <v>436</v>
      </c>
      <c r="E702" s="135"/>
      <c r="F702" s="135"/>
      <c r="G702" s="135"/>
      <c r="H702" s="135"/>
      <c r="AE702" s="1599" t="s">
        <v>544</v>
      </c>
      <c r="AF702" s="1599"/>
      <c r="AZ702" s="3"/>
    </row>
    <row r="703" spans="1:52" ht="12.95" customHeight="1">
      <c r="B703" s="135"/>
      <c r="C703" s="135"/>
      <c r="D703" s="136" t="s">
        <v>917</v>
      </c>
      <c r="E703" s="135"/>
      <c r="F703" s="135"/>
      <c r="G703" s="135"/>
      <c r="H703" s="135"/>
      <c r="AE703" s="1971">
        <v>46161</v>
      </c>
      <c r="AF703" s="1971"/>
      <c r="AG703" s="1971"/>
      <c r="AH703" s="1971"/>
      <c r="AI703" s="1971"/>
    </row>
    <row r="704" spans="1:52" ht="12.95" customHeight="1">
      <c r="B704" s="135"/>
      <c r="C704" s="135"/>
      <c r="D704" s="315" t="s">
        <v>980</v>
      </c>
      <c r="E704" s="135"/>
      <c r="F704" s="135"/>
      <c r="G704" s="135"/>
      <c r="H704" s="135"/>
      <c r="AE704" s="2096">
        <v>46252</v>
      </c>
      <c r="AF704" s="2096"/>
      <c r="AG704" s="2096"/>
      <c r="AH704" s="2096"/>
      <c r="AI704" s="2096"/>
    </row>
    <row r="705" spans="1:110" ht="12.95" customHeight="1">
      <c r="B705" s="135"/>
      <c r="C705" s="135"/>
    </row>
    <row r="706" spans="1:110" ht="12.95" customHeight="1">
      <c r="B706" s="135"/>
      <c r="C706" s="135"/>
      <c r="D706" s="136" t="s">
        <v>815</v>
      </c>
      <c r="E706" s="135"/>
      <c r="F706" s="135"/>
      <c r="G706" s="135"/>
      <c r="H706" s="135"/>
      <c r="AE706" s="1971">
        <v>46388</v>
      </c>
      <c r="AF706" s="1971"/>
      <c r="AG706" s="1971"/>
      <c r="AH706" s="1971"/>
      <c r="AI706" s="1971"/>
    </row>
    <row r="707" spans="1:110" ht="12.95" customHeight="1">
      <c r="B707" s="135"/>
      <c r="C707" s="135"/>
      <c r="D707" s="136" t="s">
        <v>434</v>
      </c>
      <c r="E707" s="135"/>
      <c r="F707" s="135"/>
      <c r="G707" s="135"/>
      <c r="H707" s="135"/>
      <c r="AE707" s="1704">
        <v>0.27500000000000002</v>
      </c>
      <c r="AF707" s="1704"/>
      <c r="AG707" s="1704"/>
      <c r="AH707" s="1704"/>
      <c r="AI707" s="1704"/>
    </row>
    <row r="708" spans="1:110" ht="12.95" customHeight="1">
      <c r="B708" s="135"/>
      <c r="C708" s="135"/>
      <c r="D708" s="136" t="s">
        <v>435</v>
      </c>
      <c r="E708" s="135"/>
      <c r="F708" s="135"/>
      <c r="G708" s="135"/>
      <c r="H708" s="135"/>
      <c r="W708" s="1695" t="str">
        <f>H344</f>
        <v>California Housing Finance Agency</v>
      </c>
      <c r="X708" s="1695"/>
      <c r="Y708" s="1695"/>
      <c r="Z708" s="1695"/>
      <c r="AA708" s="1695"/>
      <c r="AB708" s="1695"/>
      <c r="AC708" s="1695"/>
      <c r="AD708" s="1695"/>
      <c r="AE708" s="1695"/>
      <c r="AF708" s="1695"/>
      <c r="AG708" s="1695"/>
      <c r="AH708" s="1695"/>
      <c r="AI708" s="1695"/>
      <c r="AJ708" s="1695"/>
      <c r="AK708" s="1695"/>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599" t="s">
        <v>668</v>
      </c>
      <c r="AF710" s="1599"/>
    </row>
    <row r="711" spans="1:110" ht="12.95" customHeight="1">
      <c r="B711" s="135"/>
      <c r="C711" s="135"/>
      <c r="D711" s="136" t="s">
        <v>441</v>
      </c>
      <c r="E711" s="135"/>
      <c r="F711" s="135"/>
      <c r="G711" s="135"/>
      <c r="H711" s="135"/>
      <c r="W711" s="1697" t="s">
        <v>590</v>
      </c>
      <c r="X711" s="1697"/>
      <c r="Y711" s="1697"/>
      <c r="Z711" s="1697"/>
      <c r="AA711" s="1697"/>
      <c r="AB711" s="1697"/>
      <c r="AC711" s="1697"/>
      <c r="AD711" s="1697"/>
      <c r="AE711" s="1697"/>
      <c r="AF711" s="1697"/>
      <c r="AG711" s="1697"/>
      <c r="AH711" s="1697"/>
      <c r="AI711" s="1697"/>
      <c r="AJ711" s="1697"/>
      <c r="AK711" s="1697"/>
    </row>
    <row r="712" spans="1:110" ht="12.95" customHeight="1">
      <c r="B712" s="135"/>
      <c r="C712" s="135"/>
      <c r="D712" s="136" t="s">
        <v>87</v>
      </c>
      <c r="E712" s="135"/>
      <c r="F712" s="135"/>
      <c r="G712" s="135"/>
      <c r="H712" s="135"/>
      <c r="J712" s="1697"/>
      <c r="K712" s="1697"/>
      <c r="L712" s="1697"/>
      <c r="M712" s="1697"/>
      <c r="N712" s="1697"/>
      <c r="O712" s="1697"/>
      <c r="P712" s="1697"/>
      <c r="Q712" s="1697"/>
      <c r="R712" s="1697"/>
      <c r="S712" s="1697"/>
      <c r="T712" s="1697"/>
      <c r="U712" s="1697"/>
      <c r="V712" s="1697"/>
      <c r="W712" s="1697"/>
      <c r="X712" s="1697"/>
      <c r="BB712" s="34"/>
      <c r="BC712" s="34"/>
      <c r="BD712" s="34"/>
      <c r="BE712" s="3"/>
      <c r="BF712" s="3"/>
      <c r="BJ712" s="3"/>
      <c r="BK712" s="3"/>
      <c r="BL712" s="3"/>
      <c r="BM712" s="3"/>
      <c r="BN712" s="34"/>
      <c r="BO712" s="34"/>
    </row>
    <row r="713" spans="1:110" ht="12.95" customHeight="1">
      <c r="B713" s="135"/>
      <c r="C713" s="135"/>
      <c r="D713" s="136" t="s">
        <v>88</v>
      </c>
      <c r="J713" s="1699"/>
      <c r="K713" s="1699"/>
      <c r="L713" s="1699"/>
      <c r="M713" s="1699"/>
      <c r="N713" s="1699"/>
      <c r="O713" s="1699"/>
      <c r="P713" s="4" t="s">
        <v>205</v>
      </c>
      <c r="Q713" s="4"/>
      <c r="R713" s="1753"/>
      <c r="S713" s="1753"/>
      <c r="T713" s="175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697" t="s">
        <v>306</v>
      </c>
      <c r="X714" s="1697"/>
      <c r="Y714" s="1697"/>
      <c r="Z714" s="1697"/>
      <c r="AA714" s="1697"/>
      <c r="AB714" s="1697"/>
      <c r="AC714" s="1697"/>
      <c r="AD714" s="1697"/>
      <c r="AE714" s="1697"/>
      <c r="AF714" s="1697"/>
      <c r="AG714" s="1697"/>
      <c r="AH714" s="1697"/>
      <c r="AI714" s="1697"/>
      <c r="AJ714" s="1697"/>
      <c r="AK714" s="169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697" t="s">
        <v>333</v>
      </c>
      <c r="F715" s="1697"/>
      <c r="G715" s="1697"/>
      <c r="H715" s="1697"/>
      <c r="I715" s="1697"/>
      <c r="J715" s="1697"/>
      <c r="K715" s="1697"/>
      <c r="L715" s="1697"/>
      <c r="M715" s="1697"/>
      <c r="N715" s="1697"/>
      <c r="O715" s="1697"/>
      <c r="P715" s="1697"/>
      <c r="Q715" s="1697"/>
      <c r="R715" s="1697"/>
      <c r="S715" s="1697"/>
      <c r="T715" s="1697"/>
      <c r="U715" s="1697"/>
      <c r="V715" s="1697"/>
      <c r="W715" s="1697"/>
      <c r="X715" s="1697"/>
      <c r="Y715" s="1697"/>
      <c r="Z715" s="1697"/>
      <c r="AA715" s="1697"/>
      <c r="AB715" s="1697"/>
      <c r="AC715" s="1697"/>
      <c r="AD715" s="1697"/>
      <c r="AE715" s="1697"/>
      <c r="AF715" s="1697"/>
      <c r="AG715" s="1697"/>
      <c r="AH715" s="1697"/>
      <c r="AI715" s="1697"/>
      <c r="AJ715" s="1697"/>
      <c r="AK715" s="169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26" t="s">
        <v>95</v>
      </c>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1526"/>
      <c r="AN717" s="1526"/>
      <c r="AO717" s="1526"/>
      <c r="AP717" s="1526"/>
      <c r="AQ717" s="1526"/>
      <c r="AR717" s="1526"/>
      <c r="AS717" s="1526"/>
      <c r="AT717" s="152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1526"/>
      <c r="AN718" s="1526"/>
      <c r="AO718" s="1526"/>
      <c r="AP718" s="1526"/>
      <c r="AQ718" s="1526"/>
      <c r="AR718" s="1526"/>
      <c r="AS718" s="1526"/>
      <c r="AT718" s="152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1526"/>
      <c r="AN719" s="1526"/>
      <c r="AO719" s="1526"/>
      <c r="AP719" s="1526"/>
      <c r="AQ719" s="1526"/>
      <c r="AR719" s="1526"/>
      <c r="AS719" s="1526"/>
      <c r="AT719" s="152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0"/>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76" t="s">
        <v>388</v>
      </c>
      <c r="C722" s="1677"/>
      <c r="D722" s="1677"/>
      <c r="E722" s="1677"/>
      <c r="F722" s="1678"/>
      <c r="G722" s="1676" t="s">
        <v>284</v>
      </c>
      <c r="H722" s="1677"/>
      <c r="I722" s="1677"/>
      <c r="J722" s="1678"/>
      <c r="K722" s="1994" t="s">
        <v>1665</v>
      </c>
      <c r="L722" s="1995"/>
      <c r="M722" s="1995"/>
      <c r="N722" s="1996"/>
      <c r="O722" s="1676" t="s">
        <v>446</v>
      </c>
      <c r="P722" s="1677"/>
      <c r="Q722" s="1677"/>
      <c r="R722" s="1677"/>
      <c r="S722" s="1678"/>
      <c r="T722" s="1910" t="s">
        <v>1919</v>
      </c>
      <c r="U722" s="1677"/>
      <c r="V722" s="1677"/>
      <c r="W722" s="1678"/>
      <c r="X722" s="1910" t="s">
        <v>1921</v>
      </c>
      <c r="Y722" s="1677"/>
      <c r="Z722" s="1677"/>
      <c r="AA722" s="1677"/>
      <c r="AB722" s="1678"/>
      <c r="AC722" s="1910" t="s">
        <v>1920</v>
      </c>
      <c r="AD722" s="1677"/>
      <c r="AE722" s="1677"/>
      <c r="AF722" s="1677"/>
      <c r="AG722" s="1678"/>
      <c r="AH722" s="1910" t="s">
        <v>1922</v>
      </c>
      <c r="AI722" s="1677"/>
      <c r="AJ722" s="1678"/>
      <c r="AK722" s="1910" t="s">
        <v>1949</v>
      </c>
      <c r="AL722" s="1677"/>
      <c r="AM722" s="1677"/>
      <c r="AN722" s="1677"/>
      <c r="AO722" s="167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679"/>
      <c r="C723" s="1680"/>
      <c r="D723" s="1680"/>
      <c r="E723" s="1680"/>
      <c r="F723" s="1681"/>
      <c r="G723" s="1679"/>
      <c r="H723" s="1680"/>
      <c r="I723" s="1680"/>
      <c r="J723" s="1681"/>
      <c r="K723" s="1997"/>
      <c r="L723" s="1998"/>
      <c r="M723" s="1998"/>
      <c r="N723" s="1999"/>
      <c r="O723" s="1679"/>
      <c r="P723" s="1680"/>
      <c r="Q723" s="1680"/>
      <c r="R723" s="1680"/>
      <c r="S723" s="1681"/>
      <c r="T723" s="1679"/>
      <c r="U723" s="1680"/>
      <c r="V723" s="1680"/>
      <c r="W723" s="1681"/>
      <c r="X723" s="1679"/>
      <c r="Y723" s="1680"/>
      <c r="Z723" s="1680"/>
      <c r="AA723" s="1680"/>
      <c r="AB723" s="1681"/>
      <c r="AC723" s="1679"/>
      <c r="AD723" s="1680"/>
      <c r="AE723" s="1680"/>
      <c r="AF723" s="1680"/>
      <c r="AG723" s="1681"/>
      <c r="AH723" s="1679"/>
      <c r="AI723" s="1680"/>
      <c r="AJ723" s="1681"/>
      <c r="AK723" s="1679"/>
      <c r="AL723" s="1680"/>
      <c r="AM723" s="1680"/>
      <c r="AN723" s="1680"/>
      <c r="AO723" s="168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679"/>
      <c r="C724" s="1680"/>
      <c r="D724" s="1680"/>
      <c r="E724" s="1680"/>
      <c r="F724" s="1681"/>
      <c r="G724" s="1679"/>
      <c r="H724" s="1680"/>
      <c r="I724" s="1680"/>
      <c r="J724" s="1681"/>
      <c r="K724" s="1997"/>
      <c r="L724" s="1998"/>
      <c r="M724" s="1998"/>
      <c r="N724" s="1999"/>
      <c r="O724" s="1679"/>
      <c r="P724" s="1680"/>
      <c r="Q724" s="1680"/>
      <c r="R724" s="1680"/>
      <c r="S724" s="1681"/>
      <c r="T724" s="1679"/>
      <c r="U724" s="1680"/>
      <c r="V724" s="1680"/>
      <c r="W724" s="1681"/>
      <c r="X724" s="1679"/>
      <c r="Y724" s="1680"/>
      <c r="Z724" s="1680"/>
      <c r="AA724" s="1680"/>
      <c r="AB724" s="1681"/>
      <c r="AC724" s="1679"/>
      <c r="AD724" s="1680"/>
      <c r="AE724" s="1680"/>
      <c r="AF724" s="1680"/>
      <c r="AG724" s="1681"/>
      <c r="AH724" s="1679"/>
      <c r="AI724" s="1680"/>
      <c r="AJ724" s="1681"/>
      <c r="AK724" s="1679"/>
      <c r="AL724" s="1680"/>
      <c r="AM724" s="1680"/>
      <c r="AN724" s="1680"/>
      <c r="AO724" s="1681"/>
      <c r="AP724" s="3"/>
      <c r="AQ724" s="3"/>
      <c r="AR724" s="3"/>
      <c r="AS724" s="3"/>
      <c r="BA724" s="3"/>
      <c r="BB724" s="3"/>
      <c r="BC724" s="3"/>
      <c r="BD724" s="3"/>
      <c r="BE724" s="204"/>
      <c r="BF724" s="205" t="s">
        <v>892</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1816</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682"/>
      <c r="C725" s="1683"/>
      <c r="D725" s="1683"/>
      <c r="E725" s="1683"/>
      <c r="F725" s="1684"/>
      <c r="G725" s="1682"/>
      <c r="H725" s="1683"/>
      <c r="I725" s="1683"/>
      <c r="J725" s="1684"/>
      <c r="K725" s="1997"/>
      <c r="L725" s="1998"/>
      <c r="M725" s="1998"/>
      <c r="N725" s="1999"/>
      <c r="O725" s="1682"/>
      <c r="P725" s="1683"/>
      <c r="Q725" s="1683"/>
      <c r="R725" s="1683"/>
      <c r="S725" s="1684"/>
      <c r="T725" s="1682"/>
      <c r="U725" s="1683"/>
      <c r="V725" s="1683"/>
      <c r="W725" s="1684"/>
      <c r="X725" s="1682"/>
      <c r="Y725" s="1683"/>
      <c r="Z725" s="1683"/>
      <c r="AA725" s="1683"/>
      <c r="AB725" s="1684"/>
      <c r="AC725" s="1682"/>
      <c r="AD725" s="1683"/>
      <c r="AE725" s="1683"/>
      <c r="AF725" s="1683"/>
      <c r="AG725" s="1684"/>
      <c r="AH725" s="1682"/>
      <c r="AI725" s="1683"/>
      <c r="AJ725" s="1684"/>
      <c r="AK725" s="1682"/>
      <c r="AL725" s="1683"/>
      <c r="AM725" s="1683"/>
      <c r="AN725" s="1683"/>
      <c r="AO725" s="1684"/>
      <c r="AP725" s="3"/>
      <c r="AQ725" s="3"/>
      <c r="AR725" s="3"/>
      <c r="AS725" s="3"/>
      <c r="AZ725" s="166" t="s">
        <v>648</v>
      </c>
      <c r="BA725" s="3"/>
      <c r="BB725" s="3"/>
      <c r="BC725" s="3"/>
      <c r="BD725" s="3"/>
      <c r="BE725" s="204"/>
      <c r="BF725" s="289" t="s">
        <v>893</v>
      </c>
      <c r="BG725" s="294" t="s">
        <v>894</v>
      </c>
      <c r="BH725" s="293" t="s">
        <v>895</v>
      </c>
      <c r="BI725" s="3"/>
      <c r="BJ725" s="3"/>
      <c r="BK725" s="3"/>
      <c r="BL725" s="3"/>
      <c r="BM725" s="3"/>
      <c r="BN725" s="3"/>
      <c r="BS725" s="289" t="s">
        <v>893</v>
      </c>
      <c r="BT725" s="294" t="s">
        <v>894</v>
      </c>
      <c r="BU725" s="293" t="s">
        <v>895</v>
      </c>
      <c r="CC725" s="3"/>
      <c r="CD725" s="3"/>
      <c r="CE725" s="3"/>
      <c r="CF725" s="3"/>
      <c r="CG725" s="121" t="s">
        <v>473</v>
      </c>
      <c r="CH725" s="122"/>
      <c r="CI725" s="1789"/>
      <c r="CJ725" s="1790"/>
      <c r="CK725" s="121" t="s">
        <v>474</v>
      </c>
      <c r="CL725" s="122"/>
      <c r="CM725" s="1789"/>
      <c r="CN725" s="1790"/>
      <c r="CO725" s="3"/>
      <c r="CP725" s="1835" t="s">
        <v>632</v>
      </c>
      <c r="CQ725" s="1836"/>
      <c r="CR725" s="1836"/>
      <c r="CS725" s="1836"/>
      <c r="CT725" s="1837"/>
      <c r="CU725" s="1781" t="s">
        <v>324</v>
      </c>
      <c r="CV725" s="1781"/>
      <c r="CW725" s="1781"/>
      <c r="CX725" s="1781"/>
      <c r="CY725" s="1781"/>
      <c r="CZ725" s="1781" t="s">
        <v>163</v>
      </c>
      <c r="DA725" s="1781"/>
      <c r="DB725" s="1781"/>
      <c r="DC725" s="1781"/>
      <c r="DD725" s="1781"/>
      <c r="DE725" s="1781" t="s">
        <v>164</v>
      </c>
      <c r="DF725" s="1781"/>
      <c r="DG725" s="1781"/>
      <c r="DH725" s="1781"/>
      <c r="DI725" s="1781"/>
      <c r="DJ725" s="1781" t="s">
        <v>459</v>
      </c>
      <c r="DK725" s="1781"/>
      <c r="DL725" s="1781"/>
      <c r="DM725" s="1781"/>
      <c r="DN725" s="1781"/>
      <c r="DO725" s="1781" t="s">
        <v>30</v>
      </c>
      <c r="DP725" s="1781"/>
      <c r="DQ725" s="1781"/>
      <c r="DR725" s="1781"/>
      <c r="DS725" s="1781"/>
      <c r="DT725" s="89"/>
      <c r="DU725" s="1781" t="s">
        <v>632</v>
      </c>
      <c r="DV725" s="1781"/>
      <c r="DW725" s="1781"/>
      <c r="DX725" s="1781"/>
      <c r="DY725" s="1781"/>
      <c r="DZ725" s="1781" t="s">
        <v>324</v>
      </c>
      <c r="EA725" s="1781"/>
      <c r="EB725" s="1781"/>
      <c r="EC725" s="1781"/>
      <c r="ED725" s="1781"/>
      <c r="EE725" s="1781" t="s">
        <v>163</v>
      </c>
      <c r="EF725" s="1781"/>
      <c r="EG725" s="1781"/>
      <c r="EH725" s="1781"/>
      <c r="EI725" s="1781"/>
      <c r="EJ725" s="1781" t="s">
        <v>164</v>
      </c>
      <c r="EK725" s="1781"/>
      <c r="EL725" s="1781"/>
      <c r="EM725" s="1781"/>
      <c r="EN725" s="1781"/>
      <c r="EO725" s="1781" t="s">
        <v>459</v>
      </c>
      <c r="EP725" s="1781"/>
      <c r="EQ725" s="1781"/>
      <c r="ER725" s="1781"/>
      <c r="ES725" s="1781"/>
      <c r="ET725" s="1781" t="s">
        <v>30</v>
      </c>
      <c r="EU725" s="1781"/>
      <c r="EV725" s="1781"/>
      <c r="EW725" s="1781"/>
      <c r="EX725" s="1781"/>
      <c r="EY725" s="4"/>
      <c r="EZ725" s="1781" t="s">
        <v>632</v>
      </c>
      <c r="FA725" s="1781"/>
      <c r="FB725" s="1781"/>
      <c r="FC725" s="1781"/>
      <c r="FD725" s="1781"/>
      <c r="FE725" s="1781" t="s">
        <v>324</v>
      </c>
      <c r="FF725" s="1781"/>
      <c r="FG725" s="1781"/>
      <c r="FH725" s="1781"/>
      <c r="FI725" s="1781"/>
      <c r="FJ725" s="1781" t="s">
        <v>163</v>
      </c>
      <c r="FK725" s="1781"/>
      <c r="FL725" s="1781"/>
      <c r="FM725" s="1781"/>
      <c r="FN725" s="1781"/>
      <c r="FO725" s="1781" t="s">
        <v>164</v>
      </c>
      <c r="FP725" s="1781"/>
      <c r="FQ725" s="1781"/>
      <c r="FR725" s="1781"/>
      <c r="FS725" s="1781"/>
      <c r="FT725" s="1781" t="s">
        <v>459</v>
      </c>
      <c r="FU725" s="1781"/>
      <c r="FV725" s="1781"/>
      <c r="FW725" s="1781"/>
      <c r="FX725" s="1781"/>
      <c r="FY725" s="1781" t="s">
        <v>30</v>
      </c>
      <c r="FZ725" s="1781"/>
      <c r="GA725" s="1781"/>
      <c r="GB725" s="1781"/>
      <c r="GC725" s="1781"/>
    </row>
    <row r="726" spans="1:185" ht="12.95" customHeight="1">
      <c r="A726" s="4"/>
      <c r="B726" s="1627" t="s">
        <v>324</v>
      </c>
      <c r="C726" s="1628"/>
      <c r="D726" s="1628"/>
      <c r="E726" s="1628"/>
      <c r="F726" s="1629"/>
      <c r="G726" s="1621">
        <v>6</v>
      </c>
      <c r="H726" s="1622"/>
      <c r="I726" s="1622"/>
      <c r="J726" s="1623"/>
      <c r="K726" s="1624">
        <v>686</v>
      </c>
      <c r="L726" s="1625"/>
      <c r="M726" s="1625"/>
      <c r="N726" s="1626"/>
      <c r="O726" s="1662">
        <v>691</v>
      </c>
      <c r="P726" s="1663"/>
      <c r="Q726" s="1663"/>
      <c r="R726" s="1663"/>
      <c r="S726" s="1664"/>
      <c r="T726" s="1662">
        <f>$Q$840</f>
        <v>32</v>
      </c>
      <c r="U726" s="1663"/>
      <c r="V726" s="1663"/>
      <c r="W726" s="1664"/>
      <c r="X726" s="1665">
        <f t="shared" ref="X726:X749" si="10">O726+T726</f>
        <v>723</v>
      </c>
      <c r="Y726" s="1661"/>
      <c r="Z726" s="1661"/>
      <c r="AA726" s="1661"/>
      <c r="AB726" s="1666"/>
      <c r="AC726" s="1667">
        <v>0.3</v>
      </c>
      <c r="AD726" s="1668"/>
      <c r="AE726" s="1668"/>
      <c r="AF726" s="1668"/>
      <c r="AG726" s="1669"/>
      <c r="AH726" s="1685">
        <f>IF($AC726&gt;0,($X726/$AZ726), "")</f>
        <v>0.29975124378109452</v>
      </c>
      <c r="AI726" s="1686"/>
      <c r="AJ726" s="1687"/>
      <c r="AK726" s="1627" t="s">
        <v>590</v>
      </c>
      <c r="AL726" s="1628"/>
      <c r="AM726" s="1628"/>
      <c r="AN726" s="1628"/>
      <c r="AO726" s="1629"/>
      <c r="AP726" s="3"/>
      <c r="AQ726" s="3"/>
      <c r="AR726" s="3"/>
      <c r="AS726" s="3"/>
      <c r="AZ726" s="118">
        <f t="shared" ref="AZ726:AZ760" si="11">IF($G726=0,"N/A",VLOOKUP($T$189,TC_Rent,(MATCH($B726,bedrooms,FALSE)),FALSE))</f>
        <v>2412</v>
      </c>
      <c r="BA726" s="3"/>
      <c r="BB726" s="3"/>
      <c r="BC726" s="3"/>
      <c r="BD726" s="3"/>
      <c r="BE726" s="204"/>
      <c r="BF726" s="291">
        <f t="shared" ref="BF726:BF760" si="12">G726</f>
        <v>6</v>
      </c>
      <c r="BG726" s="295">
        <f t="shared" ref="BG726:BG760" si="13">IF($BF$761=0,0,BF726/$BF$761)</f>
        <v>5.0847457627118647E-2</v>
      </c>
      <c r="BH726" s="296">
        <f t="shared" ref="BH726:BH760" si="14">IF(BG726=0,"",BG726*AC726)</f>
        <v>1.5254237288135594E-2</v>
      </c>
      <c r="BI726" s="3"/>
      <c r="BJ726" s="3"/>
      <c r="BK726" s="3"/>
      <c r="BL726" s="3"/>
      <c r="BM726" s="3"/>
      <c r="BN726" s="3"/>
      <c r="BS726" s="291">
        <f t="shared" ref="BS726:BS760" si="15">G726</f>
        <v>6</v>
      </c>
      <c r="BT726" s="295">
        <f t="shared" ref="BT726:BT760" si="16">IF($BS$761=0,0,BS726/$BS$761)</f>
        <v>5.0847457627118647E-2</v>
      </c>
      <c r="BU726" s="296">
        <f t="shared" ref="BU726:BU760" si="17">IF(BT726=0,"",BT726*AH726)</f>
        <v>1.5241588666835316E-2</v>
      </c>
      <c r="CC726" s="3"/>
      <c r="CD726" s="3"/>
      <c r="CE726" s="3"/>
      <c r="CF726" s="3"/>
      <c r="CG726" s="1783">
        <f>IF(AND(AC726&lt;=0.5,AC726&gt;=0.36),1,0)</f>
        <v>0</v>
      </c>
      <c r="CH726" s="1784"/>
      <c r="CI726" s="1789">
        <f>IF(CG726=1,G726,0)</f>
        <v>0</v>
      </c>
      <c r="CJ726" s="1790"/>
      <c r="CK726" s="1783">
        <f t="shared" ref="CK726:CK760" si="18">IF(AND(AC726&lt;=0.35,AC726&gt;0),1,0)</f>
        <v>1</v>
      </c>
      <c r="CL726" s="1784"/>
      <c r="CM726" s="1789">
        <f t="shared" ref="CM726:CM760" si="19">IF(CK726=1,G726,0)</f>
        <v>6</v>
      </c>
      <c r="CN726" s="1790"/>
      <c r="CO726" s="3"/>
      <c r="CP726" s="1785">
        <f t="shared" ref="CP726:CP760" si="20">IF(B726="SRO/Studio",G726,0)</f>
        <v>0</v>
      </c>
      <c r="CQ726" s="1786"/>
      <c r="CR726" s="1786"/>
      <c r="CS726" s="1786"/>
      <c r="CT726" s="1787"/>
      <c r="CU726" s="1782">
        <f t="shared" ref="CU726:CU760" si="21">IF(B726="1 Bedroom",G726,0)</f>
        <v>6</v>
      </c>
      <c r="CV726" s="1782"/>
      <c r="CW726" s="1782"/>
      <c r="CX726" s="1782"/>
      <c r="CY726" s="1782"/>
      <c r="CZ726" s="1782">
        <f t="shared" ref="CZ726:CZ760" si="22">IF(B726="2 Bedrooms",G726,0)</f>
        <v>0</v>
      </c>
      <c r="DA726" s="1782"/>
      <c r="DB726" s="1782"/>
      <c r="DC726" s="1782"/>
      <c r="DD726" s="1782"/>
      <c r="DE726" s="1782">
        <f t="shared" ref="DE726:DE760" si="23">IF(B726="3 Bedrooms",G726,0)</f>
        <v>0</v>
      </c>
      <c r="DF726" s="1782"/>
      <c r="DG726" s="1782"/>
      <c r="DH726" s="1782"/>
      <c r="DI726" s="1782"/>
      <c r="DJ726" s="1782">
        <f t="shared" ref="DJ726:DJ760" si="24">IF(B726="4 Bedrooms",G726,0)</f>
        <v>0</v>
      </c>
      <c r="DK726" s="1782"/>
      <c r="DL726" s="1782"/>
      <c r="DM726" s="1782"/>
      <c r="DN726" s="1782"/>
      <c r="DO726" s="1782">
        <f t="shared" ref="DO726:DO760" si="25">IF(B726="5 Bedrooms",G726,0)</f>
        <v>0</v>
      </c>
      <c r="DP726" s="1782"/>
      <c r="DQ726" s="1782"/>
      <c r="DR726" s="1782"/>
      <c r="DS726" s="1782"/>
      <c r="DT726" s="6"/>
      <c r="DU726" s="1780">
        <f t="shared" ref="DU726:DU760" si="26">IF(AND(B726="SRO/Studio",AC726&lt;=0.3),G726,0)</f>
        <v>0</v>
      </c>
      <c r="DV726" s="1780"/>
      <c r="DW726" s="1780"/>
      <c r="DX726" s="1780"/>
      <c r="DY726" s="1780"/>
      <c r="DZ726" s="1780">
        <f t="shared" ref="DZ726:DZ760" si="27">IF(AND(B726="1 Bedroom",AC726&lt;=0.3),G726,0)</f>
        <v>6</v>
      </c>
      <c r="EA726" s="1780"/>
      <c r="EB726" s="1780"/>
      <c r="EC726" s="1780"/>
      <c r="ED726" s="1780"/>
      <c r="EE726" s="1780">
        <f t="shared" ref="EE726:EE760" si="28">IF(AND(B726="2 Bedrooms",AC726&lt;=0.3),G726,0)</f>
        <v>0</v>
      </c>
      <c r="EF726" s="1780"/>
      <c r="EG726" s="1780"/>
      <c r="EH726" s="1780"/>
      <c r="EI726" s="1780"/>
      <c r="EJ726" s="1780">
        <f t="shared" ref="EJ726:EJ760" si="29">IF(AND(B726="3 Bedrooms",AC726&lt;=0.3),G726,0)</f>
        <v>0</v>
      </c>
      <c r="EK726" s="1780"/>
      <c r="EL726" s="1780"/>
      <c r="EM726" s="1780"/>
      <c r="EN726" s="1780"/>
      <c r="EO726" s="1780">
        <f t="shared" ref="EO726:EO760" si="30">IF(AND(B726="4 Bedrooms",AC726&lt;=0.3),G726,0)</f>
        <v>0</v>
      </c>
      <c r="EP726" s="1780"/>
      <c r="EQ726" s="1780"/>
      <c r="ER726" s="1780"/>
      <c r="ES726" s="1780"/>
      <c r="ET726" s="1780">
        <f t="shared" ref="ET726:ET760" si="31">IF(AND(B726="5 Bedrooms",AC726&lt;=0.3),G726,0)</f>
        <v>0</v>
      </c>
      <c r="EU726" s="1780"/>
      <c r="EV726" s="1780"/>
      <c r="EW726" s="1780"/>
      <c r="EX726" s="1780"/>
      <c r="EY726" s="4"/>
      <c r="EZ726" s="1783" t="str">
        <f t="shared" ref="EZ726:EZ760" si="32">IF(CP726&gt;0,O726,"")</f>
        <v/>
      </c>
      <c r="FA726" s="1795"/>
      <c r="FB726" s="1795"/>
      <c r="FC726" s="1795"/>
      <c r="FD726" s="1784"/>
      <c r="FE726" s="1783">
        <f t="shared" ref="FE726:FE760" si="33">IF(CU726&gt;0,O726,"")</f>
        <v>691</v>
      </c>
      <c r="FF726" s="1795"/>
      <c r="FG726" s="1795"/>
      <c r="FH726" s="1795"/>
      <c r="FI726" s="1784"/>
      <c r="FJ726" s="1783" t="str">
        <f t="shared" ref="FJ726:FJ760" si="34">IF(CZ726&gt;0,O726,"")</f>
        <v/>
      </c>
      <c r="FK726" s="1795"/>
      <c r="FL726" s="1795"/>
      <c r="FM726" s="1795"/>
      <c r="FN726" s="1784"/>
      <c r="FO726" s="1783" t="str">
        <f t="shared" ref="FO726:FO760" si="35">IF(DE726&gt;0,O726,"")</f>
        <v/>
      </c>
      <c r="FP726" s="1795"/>
      <c r="FQ726" s="1795"/>
      <c r="FR726" s="1795"/>
      <c r="FS726" s="1784"/>
      <c r="FT726" s="1783" t="str">
        <f t="shared" ref="FT726:FT760" si="36">IF(DJ726&gt;0,O726,"")</f>
        <v/>
      </c>
      <c r="FU726" s="1795"/>
      <c r="FV726" s="1795"/>
      <c r="FW726" s="1795"/>
      <c r="FX726" s="1784"/>
      <c r="FY726" s="1783" t="str">
        <f t="shared" ref="FY726:FY760" si="37">IF(DO726&gt;0,O726,"")</f>
        <v/>
      </c>
      <c r="FZ726" s="1795"/>
      <c r="GA726" s="1795"/>
      <c r="GB726" s="1795"/>
      <c r="GC726" s="1784"/>
    </row>
    <row r="727" spans="1:185" ht="12.95" customHeight="1">
      <c r="A727" s="4"/>
      <c r="B727" s="1627" t="s">
        <v>324</v>
      </c>
      <c r="C727" s="1628"/>
      <c r="D727" s="1628"/>
      <c r="E727" s="1628"/>
      <c r="F727" s="1629"/>
      <c r="G727" s="1621">
        <v>11</v>
      </c>
      <c r="H727" s="1622"/>
      <c r="I727" s="1622"/>
      <c r="J727" s="1623"/>
      <c r="K727" s="1624">
        <v>686</v>
      </c>
      <c r="L727" s="1625"/>
      <c r="M727" s="1625"/>
      <c r="N727" s="1626"/>
      <c r="O727" s="1662">
        <v>1174</v>
      </c>
      <c r="P727" s="1663"/>
      <c r="Q727" s="1663"/>
      <c r="R727" s="1663"/>
      <c r="S727" s="1664"/>
      <c r="T727" s="1662">
        <f t="shared" ref="T727:T729" si="38">$Q$840</f>
        <v>32</v>
      </c>
      <c r="U727" s="1663"/>
      <c r="V727" s="1663"/>
      <c r="W727" s="1664"/>
      <c r="X727" s="1665">
        <f t="shared" si="10"/>
        <v>1206</v>
      </c>
      <c r="Y727" s="1661"/>
      <c r="Z727" s="1661"/>
      <c r="AA727" s="1661"/>
      <c r="AB727" s="1666"/>
      <c r="AC727" s="1667">
        <v>0.5</v>
      </c>
      <c r="AD727" s="1668"/>
      <c r="AE727" s="1668"/>
      <c r="AF727" s="1668"/>
      <c r="AG727" s="1669"/>
      <c r="AH727" s="1685">
        <f t="shared" ref="AH727:AH760" si="39">IF($AC727&gt;0,($X727/$AZ727), "")</f>
        <v>0.5</v>
      </c>
      <c r="AI727" s="1686"/>
      <c r="AJ727" s="1687"/>
      <c r="AK727" s="1627" t="s">
        <v>590</v>
      </c>
      <c r="AL727" s="1628"/>
      <c r="AM727" s="1628"/>
      <c r="AN727" s="1628"/>
      <c r="AO727" s="1629"/>
      <c r="AP727" s="3"/>
      <c r="AQ727" s="3"/>
      <c r="AR727" s="3"/>
      <c r="AS727" s="3"/>
      <c r="AZ727" s="118">
        <f t="shared" si="11"/>
        <v>2412</v>
      </c>
      <c r="BA727" s="3"/>
      <c r="BB727" s="3"/>
      <c r="BC727" s="3"/>
      <c r="BD727" s="3"/>
      <c r="BE727" s="204"/>
      <c r="BF727" s="292">
        <f t="shared" si="12"/>
        <v>11</v>
      </c>
      <c r="BG727" s="295">
        <f t="shared" si="13"/>
        <v>9.3220338983050849E-2</v>
      </c>
      <c r="BH727" s="296">
        <f t="shared" si="14"/>
        <v>4.6610169491525424E-2</v>
      </c>
      <c r="BI727" s="3"/>
      <c r="BJ727" s="3"/>
      <c r="BK727" s="3"/>
      <c r="BL727" s="3"/>
      <c r="BM727" s="3"/>
      <c r="BN727" s="3"/>
      <c r="BS727" s="292">
        <f t="shared" si="15"/>
        <v>11</v>
      </c>
      <c r="BT727" s="295">
        <f t="shared" si="16"/>
        <v>9.3220338983050849E-2</v>
      </c>
      <c r="BU727" s="296">
        <f t="shared" si="17"/>
        <v>4.6610169491525424E-2</v>
      </c>
      <c r="CC727" s="3"/>
      <c r="CD727" s="3"/>
      <c r="CE727" s="3"/>
      <c r="CF727" s="3"/>
      <c r="CG727" s="1783">
        <f t="shared" ref="CG727:CG760" si="40">IF(AND(AC727&lt;=0.5,AC727&gt;=0.36),1,0)</f>
        <v>1</v>
      </c>
      <c r="CH727" s="1784"/>
      <c r="CI727" s="1789">
        <f t="shared" ref="CI727:CI760" si="41">IF(CG727=1,G727,0)</f>
        <v>11</v>
      </c>
      <c r="CJ727" s="1790"/>
      <c r="CK727" s="1783">
        <f t="shared" si="18"/>
        <v>0</v>
      </c>
      <c r="CL727" s="1784"/>
      <c r="CM727" s="1789">
        <f t="shared" si="19"/>
        <v>0</v>
      </c>
      <c r="CN727" s="1790"/>
      <c r="CO727" s="3"/>
      <c r="CP727" s="1785">
        <f t="shared" si="20"/>
        <v>0</v>
      </c>
      <c r="CQ727" s="1786"/>
      <c r="CR727" s="1786"/>
      <c r="CS727" s="1786"/>
      <c r="CT727" s="1787"/>
      <c r="CU727" s="1782">
        <f t="shared" si="21"/>
        <v>11</v>
      </c>
      <c r="CV727" s="1782"/>
      <c r="CW727" s="1782"/>
      <c r="CX727" s="1782"/>
      <c r="CY727" s="1782"/>
      <c r="CZ727" s="1782">
        <f t="shared" si="22"/>
        <v>0</v>
      </c>
      <c r="DA727" s="1782"/>
      <c r="DB727" s="1782"/>
      <c r="DC727" s="1782"/>
      <c r="DD727" s="1782"/>
      <c r="DE727" s="1782">
        <f t="shared" si="23"/>
        <v>0</v>
      </c>
      <c r="DF727" s="1782"/>
      <c r="DG727" s="1782"/>
      <c r="DH727" s="1782"/>
      <c r="DI727" s="1782"/>
      <c r="DJ727" s="1782">
        <f t="shared" si="24"/>
        <v>0</v>
      </c>
      <c r="DK727" s="1782"/>
      <c r="DL727" s="1782"/>
      <c r="DM727" s="1782"/>
      <c r="DN727" s="1782"/>
      <c r="DO727" s="1782">
        <f t="shared" si="25"/>
        <v>0</v>
      </c>
      <c r="DP727" s="1782"/>
      <c r="DQ727" s="1782"/>
      <c r="DR727" s="1782"/>
      <c r="DS727" s="1782"/>
      <c r="DT727" s="6"/>
      <c r="DU727" s="1780">
        <f t="shared" si="26"/>
        <v>0</v>
      </c>
      <c r="DV727" s="1780"/>
      <c r="DW727" s="1780"/>
      <c r="DX727" s="1780"/>
      <c r="DY727" s="1780"/>
      <c r="DZ727" s="1780">
        <f t="shared" si="27"/>
        <v>0</v>
      </c>
      <c r="EA727" s="1780"/>
      <c r="EB727" s="1780"/>
      <c r="EC727" s="1780"/>
      <c r="ED727" s="1780"/>
      <c r="EE727" s="1780">
        <f t="shared" si="28"/>
        <v>0</v>
      </c>
      <c r="EF727" s="1780"/>
      <c r="EG727" s="1780"/>
      <c r="EH727" s="1780"/>
      <c r="EI727" s="1780"/>
      <c r="EJ727" s="1780">
        <f t="shared" si="29"/>
        <v>0</v>
      </c>
      <c r="EK727" s="1780"/>
      <c r="EL727" s="1780"/>
      <c r="EM727" s="1780"/>
      <c r="EN727" s="1780"/>
      <c r="EO727" s="1780">
        <f t="shared" si="30"/>
        <v>0</v>
      </c>
      <c r="EP727" s="1780"/>
      <c r="EQ727" s="1780"/>
      <c r="ER727" s="1780"/>
      <c r="ES727" s="1780"/>
      <c r="ET727" s="1780">
        <f t="shared" si="31"/>
        <v>0</v>
      </c>
      <c r="EU727" s="1780"/>
      <c r="EV727" s="1780"/>
      <c r="EW727" s="1780"/>
      <c r="EX727" s="1780"/>
      <c r="EY727" s="4"/>
      <c r="EZ727" s="1783" t="str">
        <f t="shared" si="32"/>
        <v/>
      </c>
      <c r="FA727" s="1795"/>
      <c r="FB727" s="1795"/>
      <c r="FC727" s="1795"/>
      <c r="FD727" s="1784"/>
      <c r="FE727" s="1783">
        <f t="shared" si="33"/>
        <v>1174</v>
      </c>
      <c r="FF727" s="1795"/>
      <c r="FG727" s="1795"/>
      <c r="FH727" s="1795"/>
      <c r="FI727" s="1784"/>
      <c r="FJ727" s="1783" t="str">
        <f t="shared" si="34"/>
        <v/>
      </c>
      <c r="FK727" s="1795"/>
      <c r="FL727" s="1795"/>
      <c r="FM727" s="1795"/>
      <c r="FN727" s="1784"/>
      <c r="FO727" s="1783" t="str">
        <f t="shared" si="35"/>
        <v/>
      </c>
      <c r="FP727" s="1795"/>
      <c r="FQ727" s="1795"/>
      <c r="FR727" s="1795"/>
      <c r="FS727" s="1784"/>
      <c r="FT727" s="1783" t="str">
        <f t="shared" si="36"/>
        <v/>
      </c>
      <c r="FU727" s="1795"/>
      <c r="FV727" s="1795"/>
      <c r="FW727" s="1795"/>
      <c r="FX727" s="1784"/>
      <c r="FY727" s="1783" t="str">
        <f t="shared" si="37"/>
        <v/>
      </c>
      <c r="FZ727" s="1795"/>
      <c r="GA727" s="1795"/>
      <c r="GB727" s="1795"/>
      <c r="GC727" s="1784"/>
    </row>
    <row r="728" spans="1:185" ht="12.95" customHeight="1">
      <c r="A728" s="4"/>
      <c r="B728" s="1627" t="s">
        <v>324</v>
      </c>
      <c r="C728" s="1628"/>
      <c r="D728" s="1628"/>
      <c r="E728" s="1628"/>
      <c r="F728" s="1629"/>
      <c r="G728" s="1621">
        <v>29</v>
      </c>
      <c r="H728" s="1622"/>
      <c r="I728" s="1622"/>
      <c r="J728" s="1623"/>
      <c r="K728" s="1624">
        <v>686</v>
      </c>
      <c r="L728" s="1625"/>
      <c r="M728" s="1625"/>
      <c r="N728" s="1626"/>
      <c r="O728" s="1662">
        <v>1415</v>
      </c>
      <c r="P728" s="1663"/>
      <c r="Q728" s="1663"/>
      <c r="R728" s="1663"/>
      <c r="S728" s="1664"/>
      <c r="T728" s="1662">
        <f t="shared" si="38"/>
        <v>32</v>
      </c>
      <c r="U728" s="1663"/>
      <c r="V728" s="1663"/>
      <c r="W728" s="1664"/>
      <c r="X728" s="1665">
        <f t="shared" si="10"/>
        <v>1447</v>
      </c>
      <c r="Y728" s="1661"/>
      <c r="Z728" s="1661"/>
      <c r="AA728" s="1661"/>
      <c r="AB728" s="1666"/>
      <c r="AC728" s="1667">
        <v>0.6</v>
      </c>
      <c r="AD728" s="1668"/>
      <c r="AE728" s="1668"/>
      <c r="AF728" s="1668"/>
      <c r="AG728" s="1669"/>
      <c r="AH728" s="1685">
        <f t="shared" si="39"/>
        <v>0.5999170812603648</v>
      </c>
      <c r="AI728" s="1686"/>
      <c r="AJ728" s="1687"/>
      <c r="AK728" s="1627" t="s">
        <v>590</v>
      </c>
      <c r="AL728" s="1628"/>
      <c r="AM728" s="1628"/>
      <c r="AN728" s="1628"/>
      <c r="AO728" s="1629"/>
      <c r="AP728" s="3"/>
      <c r="AQ728" s="3"/>
      <c r="AR728" s="3"/>
      <c r="AS728" s="3"/>
      <c r="AZ728" s="118">
        <f t="shared" si="11"/>
        <v>2412</v>
      </c>
      <c r="BA728" s="3"/>
      <c r="BB728" s="3"/>
      <c r="BC728" s="3"/>
      <c r="BD728" s="3"/>
      <c r="BE728" s="204"/>
      <c r="BF728" s="292">
        <f t="shared" si="12"/>
        <v>29</v>
      </c>
      <c r="BG728" s="295">
        <f t="shared" si="13"/>
        <v>0.24576271186440679</v>
      </c>
      <c r="BH728" s="296">
        <f t="shared" si="14"/>
        <v>0.14745762711864407</v>
      </c>
      <c r="BI728" s="3"/>
      <c r="BJ728" s="3"/>
      <c r="BK728" s="3"/>
      <c r="BL728" s="3"/>
      <c r="BM728" s="3"/>
      <c r="BN728" s="3"/>
      <c r="BS728" s="292">
        <f t="shared" si="15"/>
        <v>29</v>
      </c>
      <c r="BT728" s="295">
        <f t="shared" si="16"/>
        <v>0.24576271186440679</v>
      </c>
      <c r="BU728" s="296">
        <f t="shared" si="17"/>
        <v>0.14743724878432696</v>
      </c>
      <c r="CC728" s="3"/>
      <c r="CD728" s="3"/>
      <c r="CE728" s="3"/>
      <c r="CF728" s="3"/>
      <c r="CG728" s="1783">
        <f t="shared" si="40"/>
        <v>0</v>
      </c>
      <c r="CH728" s="1784"/>
      <c r="CI728" s="1789">
        <f t="shared" si="41"/>
        <v>0</v>
      </c>
      <c r="CJ728" s="1790"/>
      <c r="CK728" s="1783">
        <f t="shared" si="18"/>
        <v>0</v>
      </c>
      <c r="CL728" s="1784"/>
      <c r="CM728" s="1789">
        <f t="shared" si="19"/>
        <v>0</v>
      </c>
      <c r="CN728" s="1790"/>
      <c r="CO728" s="3"/>
      <c r="CP728" s="1785">
        <f t="shared" si="20"/>
        <v>0</v>
      </c>
      <c r="CQ728" s="1786"/>
      <c r="CR728" s="1786"/>
      <c r="CS728" s="1786"/>
      <c r="CT728" s="1787"/>
      <c r="CU728" s="1782">
        <f t="shared" si="21"/>
        <v>29</v>
      </c>
      <c r="CV728" s="1782"/>
      <c r="CW728" s="1782"/>
      <c r="CX728" s="1782"/>
      <c r="CY728" s="1782"/>
      <c r="CZ728" s="1782">
        <f t="shared" si="22"/>
        <v>0</v>
      </c>
      <c r="DA728" s="1782"/>
      <c r="DB728" s="1782"/>
      <c r="DC728" s="1782"/>
      <c r="DD728" s="1782"/>
      <c r="DE728" s="1782">
        <f t="shared" si="23"/>
        <v>0</v>
      </c>
      <c r="DF728" s="1782"/>
      <c r="DG728" s="1782"/>
      <c r="DH728" s="1782"/>
      <c r="DI728" s="1782"/>
      <c r="DJ728" s="1782">
        <f t="shared" si="24"/>
        <v>0</v>
      </c>
      <c r="DK728" s="1782"/>
      <c r="DL728" s="1782"/>
      <c r="DM728" s="1782"/>
      <c r="DN728" s="1782"/>
      <c r="DO728" s="1782">
        <f t="shared" si="25"/>
        <v>0</v>
      </c>
      <c r="DP728" s="1782"/>
      <c r="DQ728" s="1782"/>
      <c r="DR728" s="1782"/>
      <c r="DS728" s="1782"/>
      <c r="DT728" s="6"/>
      <c r="DU728" s="1780">
        <f t="shared" si="26"/>
        <v>0</v>
      </c>
      <c r="DV728" s="1780"/>
      <c r="DW728" s="1780"/>
      <c r="DX728" s="1780"/>
      <c r="DY728" s="1780"/>
      <c r="DZ728" s="1780">
        <f t="shared" si="27"/>
        <v>0</v>
      </c>
      <c r="EA728" s="1780"/>
      <c r="EB728" s="1780"/>
      <c r="EC728" s="1780"/>
      <c r="ED728" s="1780"/>
      <c r="EE728" s="1780">
        <f t="shared" si="28"/>
        <v>0</v>
      </c>
      <c r="EF728" s="1780"/>
      <c r="EG728" s="1780"/>
      <c r="EH728" s="1780"/>
      <c r="EI728" s="1780"/>
      <c r="EJ728" s="1780">
        <f t="shared" si="29"/>
        <v>0</v>
      </c>
      <c r="EK728" s="1780"/>
      <c r="EL728" s="1780"/>
      <c r="EM728" s="1780"/>
      <c r="EN728" s="1780"/>
      <c r="EO728" s="1780">
        <f t="shared" si="30"/>
        <v>0</v>
      </c>
      <c r="EP728" s="1780"/>
      <c r="EQ728" s="1780"/>
      <c r="ER728" s="1780"/>
      <c r="ES728" s="1780"/>
      <c r="ET728" s="1780">
        <f t="shared" si="31"/>
        <v>0</v>
      </c>
      <c r="EU728" s="1780"/>
      <c r="EV728" s="1780"/>
      <c r="EW728" s="1780"/>
      <c r="EX728" s="1780"/>
      <c r="EZ728" s="1783" t="str">
        <f t="shared" si="32"/>
        <v/>
      </c>
      <c r="FA728" s="1795"/>
      <c r="FB728" s="1795"/>
      <c r="FC728" s="1795"/>
      <c r="FD728" s="1784"/>
      <c r="FE728" s="1783">
        <f t="shared" si="33"/>
        <v>1415</v>
      </c>
      <c r="FF728" s="1795"/>
      <c r="FG728" s="1795"/>
      <c r="FH728" s="1795"/>
      <c r="FI728" s="1784"/>
      <c r="FJ728" s="1783" t="str">
        <f t="shared" si="34"/>
        <v/>
      </c>
      <c r="FK728" s="1795"/>
      <c r="FL728" s="1795"/>
      <c r="FM728" s="1795"/>
      <c r="FN728" s="1784"/>
      <c r="FO728" s="1783" t="str">
        <f t="shared" si="35"/>
        <v/>
      </c>
      <c r="FP728" s="1795"/>
      <c r="FQ728" s="1795"/>
      <c r="FR728" s="1795"/>
      <c r="FS728" s="1784"/>
      <c r="FT728" s="1783" t="str">
        <f t="shared" si="36"/>
        <v/>
      </c>
      <c r="FU728" s="1795"/>
      <c r="FV728" s="1795"/>
      <c r="FW728" s="1795"/>
      <c r="FX728" s="1784"/>
      <c r="FY728" s="1783" t="str">
        <f t="shared" si="37"/>
        <v/>
      </c>
      <c r="FZ728" s="1795"/>
      <c r="GA728" s="1795"/>
      <c r="GB728" s="1795"/>
      <c r="GC728" s="1784"/>
    </row>
    <row r="729" spans="1:185" ht="12.95" customHeight="1">
      <c r="B729" s="1627" t="s">
        <v>324</v>
      </c>
      <c r="C729" s="1628"/>
      <c r="D729" s="1628"/>
      <c r="E729" s="1628"/>
      <c r="F729" s="1629"/>
      <c r="G729" s="1621">
        <v>10</v>
      </c>
      <c r="H729" s="1622"/>
      <c r="I729" s="1622"/>
      <c r="J729" s="1623"/>
      <c r="K729" s="1624">
        <v>686</v>
      </c>
      <c r="L729" s="1625"/>
      <c r="M729" s="1625"/>
      <c r="N729" s="1626"/>
      <c r="O729" s="1662">
        <v>1656</v>
      </c>
      <c r="P729" s="1663"/>
      <c r="Q729" s="1663"/>
      <c r="R729" s="1663"/>
      <c r="S729" s="1664"/>
      <c r="T729" s="1662">
        <f t="shared" si="38"/>
        <v>32</v>
      </c>
      <c r="U729" s="1663"/>
      <c r="V729" s="1663"/>
      <c r="W729" s="1664"/>
      <c r="X729" s="1665">
        <f t="shared" si="10"/>
        <v>1688</v>
      </c>
      <c r="Y729" s="1661"/>
      <c r="Z729" s="1661"/>
      <c r="AA729" s="1661"/>
      <c r="AB729" s="1666"/>
      <c r="AC729" s="1667">
        <v>0.7</v>
      </c>
      <c r="AD729" s="1668"/>
      <c r="AE729" s="1668"/>
      <c r="AF729" s="1668"/>
      <c r="AG729" s="1669"/>
      <c r="AH729" s="1685">
        <f t="shared" si="39"/>
        <v>0.69983416252072972</v>
      </c>
      <c r="AI729" s="1686"/>
      <c r="AJ729" s="1687"/>
      <c r="AK729" s="1627" t="s">
        <v>590</v>
      </c>
      <c r="AL729" s="1628"/>
      <c r="AM729" s="1628"/>
      <c r="AN729" s="1628"/>
      <c r="AO729" s="1629"/>
      <c r="AP729" s="3"/>
      <c r="AQ729" s="3"/>
      <c r="AR729" s="3"/>
      <c r="AS729" s="3"/>
      <c r="AY729" s="116"/>
      <c r="AZ729" s="118">
        <f t="shared" si="11"/>
        <v>2412</v>
      </c>
      <c r="BA729" s="3"/>
      <c r="BB729" s="3"/>
      <c r="BC729" s="3"/>
      <c r="BD729" s="3"/>
      <c r="BE729" s="204"/>
      <c r="BF729" s="292">
        <f t="shared" si="12"/>
        <v>10</v>
      </c>
      <c r="BG729" s="295">
        <f t="shared" si="13"/>
        <v>8.4745762711864403E-2</v>
      </c>
      <c r="BH729" s="296">
        <f t="shared" si="14"/>
        <v>5.9322033898305079E-2</v>
      </c>
      <c r="BI729" s="3"/>
      <c r="BJ729" s="3"/>
      <c r="BK729" s="3"/>
      <c r="BL729" s="3"/>
      <c r="BM729" s="3"/>
      <c r="BN729" s="3"/>
      <c r="BS729" s="292">
        <f t="shared" si="15"/>
        <v>10</v>
      </c>
      <c r="BT729" s="295">
        <f t="shared" si="16"/>
        <v>8.4745762711864403E-2</v>
      </c>
      <c r="BU729" s="296">
        <f t="shared" si="17"/>
        <v>5.9307979874638109E-2</v>
      </c>
      <c r="CC729" s="3"/>
      <c r="CD729" s="3"/>
      <c r="CE729" s="3"/>
      <c r="CF729" s="3"/>
      <c r="CG729" s="1783">
        <f t="shared" si="40"/>
        <v>0</v>
      </c>
      <c r="CH729" s="1784"/>
      <c r="CI729" s="1789">
        <f t="shared" si="41"/>
        <v>0</v>
      </c>
      <c r="CJ729" s="1790"/>
      <c r="CK729" s="1783">
        <f t="shared" si="18"/>
        <v>0</v>
      </c>
      <c r="CL729" s="1784"/>
      <c r="CM729" s="1789">
        <f t="shared" si="19"/>
        <v>0</v>
      </c>
      <c r="CN729" s="1790"/>
      <c r="CO729" s="3"/>
      <c r="CP729" s="1785">
        <f t="shared" si="20"/>
        <v>0</v>
      </c>
      <c r="CQ729" s="1786"/>
      <c r="CR729" s="1786"/>
      <c r="CS729" s="1786"/>
      <c r="CT729" s="1787"/>
      <c r="CU729" s="1782">
        <f t="shared" si="21"/>
        <v>10</v>
      </c>
      <c r="CV729" s="1782"/>
      <c r="CW729" s="1782"/>
      <c r="CX729" s="1782"/>
      <c r="CY729" s="1782"/>
      <c r="CZ729" s="1782">
        <f t="shared" si="22"/>
        <v>0</v>
      </c>
      <c r="DA729" s="1782"/>
      <c r="DB729" s="1782"/>
      <c r="DC729" s="1782"/>
      <c r="DD729" s="1782"/>
      <c r="DE729" s="1782">
        <f t="shared" si="23"/>
        <v>0</v>
      </c>
      <c r="DF729" s="1782"/>
      <c r="DG729" s="1782"/>
      <c r="DH729" s="1782"/>
      <c r="DI729" s="1782"/>
      <c r="DJ729" s="1782">
        <f t="shared" si="24"/>
        <v>0</v>
      </c>
      <c r="DK729" s="1782"/>
      <c r="DL729" s="1782"/>
      <c r="DM729" s="1782"/>
      <c r="DN729" s="1782"/>
      <c r="DO729" s="1782">
        <f t="shared" si="25"/>
        <v>0</v>
      </c>
      <c r="DP729" s="1782"/>
      <c r="DQ729" s="1782"/>
      <c r="DR729" s="1782"/>
      <c r="DS729" s="1782"/>
      <c r="DT729" s="6"/>
      <c r="DU729" s="1780">
        <f t="shared" si="26"/>
        <v>0</v>
      </c>
      <c r="DV729" s="1780"/>
      <c r="DW729" s="1780"/>
      <c r="DX729" s="1780"/>
      <c r="DY729" s="1780"/>
      <c r="DZ729" s="1780">
        <f t="shared" si="27"/>
        <v>0</v>
      </c>
      <c r="EA729" s="1780"/>
      <c r="EB729" s="1780"/>
      <c r="EC729" s="1780"/>
      <c r="ED729" s="1780"/>
      <c r="EE729" s="1780">
        <f t="shared" si="28"/>
        <v>0</v>
      </c>
      <c r="EF729" s="1780"/>
      <c r="EG729" s="1780"/>
      <c r="EH729" s="1780"/>
      <c r="EI729" s="1780"/>
      <c r="EJ729" s="1780">
        <f t="shared" si="29"/>
        <v>0</v>
      </c>
      <c r="EK729" s="1780"/>
      <c r="EL729" s="1780"/>
      <c r="EM729" s="1780"/>
      <c r="EN729" s="1780"/>
      <c r="EO729" s="1780">
        <f t="shared" si="30"/>
        <v>0</v>
      </c>
      <c r="EP729" s="1780"/>
      <c r="EQ729" s="1780"/>
      <c r="ER729" s="1780"/>
      <c r="ES729" s="1780"/>
      <c r="ET729" s="1780">
        <f t="shared" si="31"/>
        <v>0</v>
      </c>
      <c r="EU729" s="1780"/>
      <c r="EV729" s="1780"/>
      <c r="EW729" s="1780"/>
      <c r="EX729" s="1780"/>
      <c r="EZ729" s="1783" t="str">
        <f t="shared" si="32"/>
        <v/>
      </c>
      <c r="FA729" s="1795"/>
      <c r="FB729" s="1795"/>
      <c r="FC729" s="1795"/>
      <c r="FD729" s="1784"/>
      <c r="FE729" s="1783">
        <f t="shared" si="33"/>
        <v>1656</v>
      </c>
      <c r="FF729" s="1795"/>
      <c r="FG729" s="1795"/>
      <c r="FH729" s="1795"/>
      <c r="FI729" s="1784"/>
      <c r="FJ729" s="1783" t="str">
        <f t="shared" si="34"/>
        <v/>
      </c>
      <c r="FK729" s="1795"/>
      <c r="FL729" s="1795"/>
      <c r="FM729" s="1795"/>
      <c r="FN729" s="1784"/>
      <c r="FO729" s="1783" t="str">
        <f t="shared" si="35"/>
        <v/>
      </c>
      <c r="FP729" s="1795"/>
      <c r="FQ729" s="1795"/>
      <c r="FR729" s="1795"/>
      <c r="FS729" s="1784"/>
      <c r="FT729" s="1783" t="str">
        <f t="shared" si="36"/>
        <v/>
      </c>
      <c r="FU729" s="1795"/>
      <c r="FV729" s="1795"/>
      <c r="FW729" s="1795"/>
      <c r="FX729" s="1784"/>
      <c r="FY729" s="1783" t="str">
        <f t="shared" si="37"/>
        <v/>
      </c>
      <c r="FZ729" s="1795"/>
      <c r="GA729" s="1795"/>
      <c r="GB729" s="1795"/>
      <c r="GC729" s="1784"/>
    </row>
    <row r="730" spans="1:185" ht="12.95" customHeight="1">
      <c r="B730" s="1627" t="s">
        <v>163</v>
      </c>
      <c r="C730" s="1628"/>
      <c r="D730" s="1628"/>
      <c r="E730" s="1628"/>
      <c r="F730" s="1629"/>
      <c r="G730" s="1621">
        <v>3</v>
      </c>
      <c r="H730" s="1622"/>
      <c r="I730" s="1622"/>
      <c r="J730" s="1623"/>
      <c r="K730" s="1624">
        <v>948</v>
      </c>
      <c r="L730" s="1625"/>
      <c r="M730" s="1625"/>
      <c r="N730" s="1626"/>
      <c r="O730" s="1662">
        <v>834</v>
      </c>
      <c r="P730" s="1663"/>
      <c r="Q730" s="1663"/>
      <c r="R730" s="1663"/>
      <c r="S730" s="1664"/>
      <c r="T730" s="1662">
        <f>$U$840</f>
        <v>34</v>
      </c>
      <c r="U730" s="1663"/>
      <c r="V730" s="1663"/>
      <c r="W730" s="1664"/>
      <c r="X730" s="1665">
        <f t="shared" si="10"/>
        <v>868</v>
      </c>
      <c r="Y730" s="1661"/>
      <c r="Z730" s="1661"/>
      <c r="AA730" s="1661"/>
      <c r="AB730" s="1666"/>
      <c r="AC730" s="1667">
        <v>0.3</v>
      </c>
      <c r="AD730" s="1668"/>
      <c r="AE730" s="1668"/>
      <c r="AF730" s="1668"/>
      <c r="AG730" s="1669"/>
      <c r="AH730" s="1685">
        <f t="shared" si="39"/>
        <v>0.29993089149965446</v>
      </c>
      <c r="AI730" s="1686"/>
      <c r="AJ730" s="1687"/>
      <c r="AK730" s="1627" t="s">
        <v>590</v>
      </c>
      <c r="AL730" s="1628"/>
      <c r="AM730" s="1628"/>
      <c r="AN730" s="1628"/>
      <c r="AO730" s="1629"/>
      <c r="AP730" s="3"/>
      <c r="AQ730" s="3"/>
      <c r="AR730" s="3"/>
      <c r="AS730" s="3"/>
      <c r="AY730" s="116"/>
      <c r="AZ730" s="118">
        <f t="shared" si="11"/>
        <v>2894</v>
      </c>
      <c r="BA730" s="3"/>
      <c r="BB730" s="3"/>
      <c r="BC730" s="3"/>
      <c r="BD730" s="3"/>
      <c r="BE730" s="204"/>
      <c r="BF730" s="292">
        <f t="shared" si="12"/>
        <v>3</v>
      </c>
      <c r="BG730" s="295">
        <f t="shared" si="13"/>
        <v>2.5423728813559324E-2</v>
      </c>
      <c r="BH730" s="296">
        <f t="shared" si="14"/>
        <v>7.6271186440677969E-3</v>
      </c>
      <c r="BI730" s="3"/>
      <c r="BJ730" s="3"/>
      <c r="BK730" s="3"/>
      <c r="BL730" s="3"/>
      <c r="BM730" s="3"/>
      <c r="BN730" s="3"/>
      <c r="BS730" s="292">
        <f t="shared" si="15"/>
        <v>3</v>
      </c>
      <c r="BT730" s="295">
        <f t="shared" si="16"/>
        <v>2.5423728813559324E-2</v>
      </c>
      <c r="BU730" s="296">
        <f t="shared" si="17"/>
        <v>7.6253616482963001E-3</v>
      </c>
      <c r="CC730" s="3"/>
      <c r="CD730" s="3"/>
      <c r="CE730" s="3"/>
      <c r="CF730" s="3"/>
      <c r="CG730" s="1783">
        <f t="shared" si="40"/>
        <v>0</v>
      </c>
      <c r="CH730" s="1784"/>
      <c r="CI730" s="1789">
        <f t="shared" si="41"/>
        <v>0</v>
      </c>
      <c r="CJ730" s="1790"/>
      <c r="CK730" s="1783">
        <f t="shared" si="18"/>
        <v>1</v>
      </c>
      <c r="CL730" s="1784"/>
      <c r="CM730" s="1789">
        <f t="shared" si="19"/>
        <v>3</v>
      </c>
      <c r="CN730" s="1790"/>
      <c r="CO730" s="3"/>
      <c r="CP730" s="1785">
        <f t="shared" si="20"/>
        <v>0</v>
      </c>
      <c r="CQ730" s="1786"/>
      <c r="CR730" s="1786"/>
      <c r="CS730" s="1786"/>
      <c r="CT730" s="1787"/>
      <c r="CU730" s="1782">
        <f t="shared" si="21"/>
        <v>0</v>
      </c>
      <c r="CV730" s="1782"/>
      <c r="CW730" s="1782"/>
      <c r="CX730" s="1782"/>
      <c r="CY730" s="1782"/>
      <c r="CZ730" s="1782">
        <f t="shared" si="22"/>
        <v>3</v>
      </c>
      <c r="DA730" s="1782"/>
      <c r="DB730" s="1782"/>
      <c r="DC730" s="1782"/>
      <c r="DD730" s="1782"/>
      <c r="DE730" s="1782">
        <f t="shared" si="23"/>
        <v>0</v>
      </c>
      <c r="DF730" s="1782"/>
      <c r="DG730" s="1782"/>
      <c r="DH730" s="1782"/>
      <c r="DI730" s="1782"/>
      <c r="DJ730" s="1782">
        <f t="shared" si="24"/>
        <v>0</v>
      </c>
      <c r="DK730" s="1782"/>
      <c r="DL730" s="1782"/>
      <c r="DM730" s="1782"/>
      <c r="DN730" s="1782"/>
      <c r="DO730" s="1782">
        <f t="shared" si="25"/>
        <v>0</v>
      </c>
      <c r="DP730" s="1782"/>
      <c r="DQ730" s="1782"/>
      <c r="DR730" s="1782"/>
      <c r="DS730" s="1782"/>
      <c r="DT730" s="6"/>
      <c r="DU730" s="1780">
        <f t="shared" si="26"/>
        <v>0</v>
      </c>
      <c r="DV730" s="1780"/>
      <c r="DW730" s="1780"/>
      <c r="DX730" s="1780"/>
      <c r="DY730" s="1780"/>
      <c r="DZ730" s="1780">
        <f t="shared" si="27"/>
        <v>0</v>
      </c>
      <c r="EA730" s="1780"/>
      <c r="EB730" s="1780"/>
      <c r="EC730" s="1780"/>
      <c r="ED730" s="1780"/>
      <c r="EE730" s="1780">
        <f t="shared" si="28"/>
        <v>3</v>
      </c>
      <c r="EF730" s="1780"/>
      <c r="EG730" s="1780"/>
      <c r="EH730" s="1780"/>
      <c r="EI730" s="1780"/>
      <c r="EJ730" s="1780">
        <f t="shared" si="29"/>
        <v>0</v>
      </c>
      <c r="EK730" s="1780"/>
      <c r="EL730" s="1780"/>
      <c r="EM730" s="1780"/>
      <c r="EN730" s="1780"/>
      <c r="EO730" s="1780">
        <f t="shared" si="30"/>
        <v>0</v>
      </c>
      <c r="EP730" s="1780"/>
      <c r="EQ730" s="1780"/>
      <c r="ER730" s="1780"/>
      <c r="ES730" s="1780"/>
      <c r="ET730" s="1780">
        <f t="shared" si="31"/>
        <v>0</v>
      </c>
      <c r="EU730" s="1780"/>
      <c r="EV730" s="1780"/>
      <c r="EW730" s="1780"/>
      <c r="EX730" s="1780"/>
      <c r="EZ730" s="1783" t="str">
        <f t="shared" si="32"/>
        <v/>
      </c>
      <c r="FA730" s="1795"/>
      <c r="FB730" s="1795"/>
      <c r="FC730" s="1795"/>
      <c r="FD730" s="1784"/>
      <c r="FE730" s="1783" t="str">
        <f t="shared" si="33"/>
        <v/>
      </c>
      <c r="FF730" s="1795"/>
      <c r="FG730" s="1795"/>
      <c r="FH730" s="1795"/>
      <c r="FI730" s="1784"/>
      <c r="FJ730" s="1783">
        <f t="shared" si="34"/>
        <v>834</v>
      </c>
      <c r="FK730" s="1795"/>
      <c r="FL730" s="1795"/>
      <c r="FM730" s="1795"/>
      <c r="FN730" s="1784"/>
      <c r="FO730" s="1783" t="str">
        <f t="shared" si="35"/>
        <v/>
      </c>
      <c r="FP730" s="1795"/>
      <c r="FQ730" s="1795"/>
      <c r="FR730" s="1795"/>
      <c r="FS730" s="1784"/>
      <c r="FT730" s="1783" t="str">
        <f t="shared" si="36"/>
        <v/>
      </c>
      <c r="FU730" s="1795"/>
      <c r="FV730" s="1795"/>
      <c r="FW730" s="1795"/>
      <c r="FX730" s="1784"/>
      <c r="FY730" s="1783" t="str">
        <f t="shared" si="37"/>
        <v/>
      </c>
      <c r="FZ730" s="1795"/>
      <c r="GA730" s="1795"/>
      <c r="GB730" s="1795"/>
      <c r="GC730" s="1784"/>
    </row>
    <row r="731" spans="1:185" ht="12.95" customHeight="1">
      <c r="B731" s="1627" t="s">
        <v>163</v>
      </c>
      <c r="C731" s="1628"/>
      <c r="D731" s="1628"/>
      <c r="E731" s="1628"/>
      <c r="F731" s="1629"/>
      <c r="G731" s="1621">
        <v>6</v>
      </c>
      <c r="H731" s="1622"/>
      <c r="I731" s="1622"/>
      <c r="J731" s="1623"/>
      <c r="K731" s="1624">
        <v>948</v>
      </c>
      <c r="L731" s="1625"/>
      <c r="M731" s="1625"/>
      <c r="N731" s="1626"/>
      <c r="O731" s="1662">
        <v>1413</v>
      </c>
      <c r="P731" s="1663"/>
      <c r="Q731" s="1663"/>
      <c r="R731" s="1663"/>
      <c r="S731" s="1664"/>
      <c r="T731" s="1662">
        <f t="shared" ref="T731:T733" si="42">$U$840</f>
        <v>34</v>
      </c>
      <c r="U731" s="1663"/>
      <c r="V731" s="1663"/>
      <c r="W731" s="1664"/>
      <c r="X731" s="1665">
        <f t="shared" si="10"/>
        <v>1447</v>
      </c>
      <c r="Y731" s="1661"/>
      <c r="Z731" s="1661"/>
      <c r="AA731" s="1661"/>
      <c r="AB731" s="1666"/>
      <c r="AC731" s="1667">
        <v>0.5</v>
      </c>
      <c r="AD731" s="1668"/>
      <c r="AE731" s="1668"/>
      <c r="AF731" s="1668"/>
      <c r="AG731" s="1669"/>
      <c r="AH731" s="1685">
        <f t="shared" si="39"/>
        <v>0.5</v>
      </c>
      <c r="AI731" s="1686"/>
      <c r="AJ731" s="1687"/>
      <c r="AK731" s="1627" t="s">
        <v>590</v>
      </c>
      <c r="AL731" s="1628"/>
      <c r="AM731" s="1628"/>
      <c r="AN731" s="1628"/>
      <c r="AO731" s="1629"/>
      <c r="AP731" s="3"/>
      <c r="AQ731" s="3"/>
      <c r="AR731" s="3"/>
      <c r="AS731" s="3"/>
      <c r="AY731" s="116"/>
      <c r="AZ731" s="118">
        <f t="shared" si="11"/>
        <v>2894</v>
      </c>
      <c r="BA731" s="3"/>
      <c r="BB731" s="3"/>
      <c r="BC731" s="3"/>
      <c r="BD731" s="3"/>
      <c r="BE731" s="204"/>
      <c r="BF731" s="292">
        <f t="shared" si="12"/>
        <v>6</v>
      </c>
      <c r="BG731" s="295">
        <f t="shared" si="13"/>
        <v>5.0847457627118647E-2</v>
      </c>
      <c r="BH731" s="296">
        <f t="shared" si="14"/>
        <v>2.5423728813559324E-2</v>
      </c>
      <c r="BI731" s="3"/>
      <c r="BJ731" s="3"/>
      <c r="BK731" s="3"/>
      <c r="BL731" s="3"/>
      <c r="BM731" s="3"/>
      <c r="BN731" s="3"/>
      <c r="BS731" s="292">
        <f t="shared" si="15"/>
        <v>6</v>
      </c>
      <c r="BT731" s="295">
        <f t="shared" si="16"/>
        <v>5.0847457627118647E-2</v>
      </c>
      <c r="BU731" s="296">
        <f t="shared" si="17"/>
        <v>2.5423728813559324E-2</v>
      </c>
      <c r="CC731" s="3"/>
      <c r="CD731" s="3"/>
      <c r="CE731" s="3"/>
      <c r="CF731" s="3"/>
      <c r="CG731" s="1783">
        <f t="shared" si="40"/>
        <v>1</v>
      </c>
      <c r="CH731" s="1784"/>
      <c r="CI731" s="1789">
        <f t="shared" si="41"/>
        <v>6</v>
      </c>
      <c r="CJ731" s="1790"/>
      <c r="CK731" s="1783">
        <f t="shared" si="18"/>
        <v>0</v>
      </c>
      <c r="CL731" s="1784"/>
      <c r="CM731" s="1789">
        <f t="shared" si="19"/>
        <v>0</v>
      </c>
      <c r="CN731" s="1790"/>
      <c r="CO731" s="3"/>
      <c r="CP731" s="1785">
        <f t="shared" si="20"/>
        <v>0</v>
      </c>
      <c r="CQ731" s="1786"/>
      <c r="CR731" s="1786"/>
      <c r="CS731" s="1786"/>
      <c r="CT731" s="1787"/>
      <c r="CU731" s="1782">
        <f t="shared" si="21"/>
        <v>0</v>
      </c>
      <c r="CV731" s="1782"/>
      <c r="CW731" s="1782"/>
      <c r="CX731" s="1782"/>
      <c r="CY731" s="1782"/>
      <c r="CZ731" s="1782">
        <f t="shared" si="22"/>
        <v>6</v>
      </c>
      <c r="DA731" s="1782"/>
      <c r="DB731" s="1782"/>
      <c r="DC731" s="1782"/>
      <c r="DD731" s="1782"/>
      <c r="DE731" s="1782">
        <f t="shared" si="23"/>
        <v>0</v>
      </c>
      <c r="DF731" s="1782"/>
      <c r="DG731" s="1782"/>
      <c r="DH731" s="1782"/>
      <c r="DI731" s="1782"/>
      <c r="DJ731" s="1782">
        <f t="shared" si="24"/>
        <v>0</v>
      </c>
      <c r="DK731" s="1782"/>
      <c r="DL731" s="1782"/>
      <c r="DM731" s="1782"/>
      <c r="DN731" s="1782"/>
      <c r="DO731" s="1782">
        <f t="shared" si="25"/>
        <v>0</v>
      </c>
      <c r="DP731" s="1782"/>
      <c r="DQ731" s="1782"/>
      <c r="DR731" s="1782"/>
      <c r="DS731" s="1782"/>
      <c r="DT731" s="6"/>
      <c r="DU731" s="1780">
        <f t="shared" si="26"/>
        <v>0</v>
      </c>
      <c r="DV731" s="1780"/>
      <c r="DW731" s="1780"/>
      <c r="DX731" s="1780"/>
      <c r="DY731" s="1780"/>
      <c r="DZ731" s="1780">
        <f t="shared" si="27"/>
        <v>0</v>
      </c>
      <c r="EA731" s="1780"/>
      <c r="EB731" s="1780"/>
      <c r="EC731" s="1780"/>
      <c r="ED731" s="1780"/>
      <c r="EE731" s="1780">
        <f t="shared" si="28"/>
        <v>0</v>
      </c>
      <c r="EF731" s="1780"/>
      <c r="EG731" s="1780"/>
      <c r="EH731" s="1780"/>
      <c r="EI731" s="1780"/>
      <c r="EJ731" s="1780">
        <f t="shared" si="29"/>
        <v>0</v>
      </c>
      <c r="EK731" s="1780"/>
      <c r="EL731" s="1780"/>
      <c r="EM731" s="1780"/>
      <c r="EN731" s="1780"/>
      <c r="EO731" s="1780">
        <f t="shared" si="30"/>
        <v>0</v>
      </c>
      <c r="EP731" s="1780"/>
      <c r="EQ731" s="1780"/>
      <c r="ER731" s="1780"/>
      <c r="ES731" s="1780"/>
      <c r="ET731" s="1780">
        <f t="shared" si="31"/>
        <v>0</v>
      </c>
      <c r="EU731" s="1780"/>
      <c r="EV731" s="1780"/>
      <c r="EW731" s="1780"/>
      <c r="EX731" s="1780"/>
      <c r="EZ731" s="1783" t="str">
        <f t="shared" si="32"/>
        <v/>
      </c>
      <c r="FA731" s="1795"/>
      <c r="FB731" s="1795"/>
      <c r="FC731" s="1795"/>
      <c r="FD731" s="1784"/>
      <c r="FE731" s="1783" t="str">
        <f t="shared" si="33"/>
        <v/>
      </c>
      <c r="FF731" s="1795"/>
      <c r="FG731" s="1795"/>
      <c r="FH731" s="1795"/>
      <c r="FI731" s="1784"/>
      <c r="FJ731" s="1783">
        <f t="shared" si="34"/>
        <v>1413</v>
      </c>
      <c r="FK731" s="1795"/>
      <c r="FL731" s="1795"/>
      <c r="FM731" s="1795"/>
      <c r="FN731" s="1784"/>
      <c r="FO731" s="1783" t="str">
        <f t="shared" si="35"/>
        <v/>
      </c>
      <c r="FP731" s="1795"/>
      <c r="FQ731" s="1795"/>
      <c r="FR731" s="1795"/>
      <c r="FS731" s="1784"/>
      <c r="FT731" s="1783" t="str">
        <f t="shared" si="36"/>
        <v/>
      </c>
      <c r="FU731" s="1795"/>
      <c r="FV731" s="1795"/>
      <c r="FW731" s="1795"/>
      <c r="FX731" s="1784"/>
      <c r="FY731" s="1783" t="str">
        <f t="shared" si="37"/>
        <v/>
      </c>
      <c r="FZ731" s="1795"/>
      <c r="GA731" s="1795"/>
      <c r="GB731" s="1795"/>
      <c r="GC731" s="1784"/>
    </row>
    <row r="732" spans="1:185" ht="12.95" customHeight="1">
      <c r="B732" s="1627" t="s">
        <v>163</v>
      </c>
      <c r="C732" s="1628"/>
      <c r="D732" s="1628"/>
      <c r="E732" s="1628"/>
      <c r="F732" s="1629"/>
      <c r="G732" s="1621">
        <v>15</v>
      </c>
      <c r="H732" s="1622"/>
      <c r="I732" s="1622"/>
      <c r="J732" s="1623"/>
      <c r="K732" s="1624">
        <v>948</v>
      </c>
      <c r="L732" s="1625"/>
      <c r="M732" s="1625"/>
      <c r="N732" s="1626"/>
      <c r="O732" s="1662">
        <v>1703</v>
      </c>
      <c r="P732" s="1663"/>
      <c r="Q732" s="1663"/>
      <c r="R732" s="1663"/>
      <c r="S732" s="1664"/>
      <c r="T732" s="1662">
        <f t="shared" si="42"/>
        <v>34</v>
      </c>
      <c r="U732" s="1663"/>
      <c r="V732" s="1663"/>
      <c r="W732" s="1664"/>
      <c r="X732" s="1665">
        <f t="shared" si="10"/>
        <v>1737</v>
      </c>
      <c r="Y732" s="1661"/>
      <c r="Z732" s="1661"/>
      <c r="AA732" s="1661"/>
      <c r="AB732" s="1666"/>
      <c r="AC732" s="1667">
        <v>0.6</v>
      </c>
      <c r="AD732" s="1668"/>
      <c r="AE732" s="1668"/>
      <c r="AF732" s="1668"/>
      <c r="AG732" s="1669"/>
      <c r="AH732" s="1685">
        <f t="shared" si="39"/>
        <v>0.60020732550103661</v>
      </c>
      <c r="AI732" s="1686"/>
      <c r="AJ732" s="1687"/>
      <c r="AK732" s="1627" t="s">
        <v>590</v>
      </c>
      <c r="AL732" s="1628"/>
      <c r="AM732" s="1628"/>
      <c r="AN732" s="1628"/>
      <c r="AO732" s="1629"/>
      <c r="AP732" s="3"/>
      <c r="AQ732" s="3"/>
      <c r="AR732" s="3"/>
      <c r="AS732" s="3"/>
      <c r="AY732" s="116"/>
      <c r="AZ732" s="118">
        <f t="shared" si="11"/>
        <v>2894</v>
      </c>
      <c r="BA732" s="3"/>
      <c r="BB732" s="3"/>
      <c r="BC732" s="3"/>
      <c r="BD732" s="3"/>
      <c r="BE732" s="204"/>
      <c r="BF732" s="292">
        <f t="shared" si="12"/>
        <v>15</v>
      </c>
      <c r="BG732" s="295">
        <f t="shared" si="13"/>
        <v>0.1271186440677966</v>
      </c>
      <c r="BH732" s="296">
        <f t="shared" si="14"/>
        <v>7.6271186440677957E-2</v>
      </c>
      <c r="BI732" s="3"/>
      <c r="BJ732" s="3"/>
      <c r="BK732" s="3"/>
      <c r="BL732" s="3"/>
      <c r="BM732" s="3"/>
      <c r="BN732" s="3"/>
      <c r="BS732" s="292">
        <f t="shared" si="15"/>
        <v>15</v>
      </c>
      <c r="BT732" s="295">
        <f t="shared" si="16"/>
        <v>0.1271186440677966</v>
      </c>
      <c r="BU732" s="296">
        <f t="shared" si="17"/>
        <v>7.6297541377250408E-2</v>
      </c>
      <c r="CC732" s="3"/>
      <c r="CE732" s="3"/>
      <c r="CF732" s="3"/>
      <c r="CG732" s="1783">
        <f t="shared" si="40"/>
        <v>0</v>
      </c>
      <c r="CH732" s="1784"/>
      <c r="CI732" s="1789">
        <f t="shared" si="41"/>
        <v>0</v>
      </c>
      <c r="CJ732" s="1790"/>
      <c r="CK732" s="1783">
        <f t="shared" si="18"/>
        <v>0</v>
      </c>
      <c r="CL732" s="1784"/>
      <c r="CM732" s="1789">
        <f t="shared" si="19"/>
        <v>0</v>
      </c>
      <c r="CN732" s="1790"/>
      <c r="CO732" s="3"/>
      <c r="CP732" s="1785">
        <f t="shared" si="20"/>
        <v>0</v>
      </c>
      <c r="CQ732" s="1786"/>
      <c r="CR732" s="1786"/>
      <c r="CS732" s="1786"/>
      <c r="CT732" s="1787"/>
      <c r="CU732" s="1782">
        <f t="shared" si="21"/>
        <v>0</v>
      </c>
      <c r="CV732" s="1782"/>
      <c r="CW732" s="1782"/>
      <c r="CX732" s="1782"/>
      <c r="CY732" s="1782"/>
      <c r="CZ732" s="1782">
        <f t="shared" si="22"/>
        <v>15</v>
      </c>
      <c r="DA732" s="1782"/>
      <c r="DB732" s="1782"/>
      <c r="DC732" s="1782"/>
      <c r="DD732" s="1782"/>
      <c r="DE732" s="1782">
        <f t="shared" si="23"/>
        <v>0</v>
      </c>
      <c r="DF732" s="1782"/>
      <c r="DG732" s="1782"/>
      <c r="DH732" s="1782"/>
      <c r="DI732" s="1782"/>
      <c r="DJ732" s="1782">
        <f t="shared" si="24"/>
        <v>0</v>
      </c>
      <c r="DK732" s="1782"/>
      <c r="DL732" s="1782"/>
      <c r="DM732" s="1782"/>
      <c r="DN732" s="1782"/>
      <c r="DO732" s="1782">
        <f t="shared" si="25"/>
        <v>0</v>
      </c>
      <c r="DP732" s="1782"/>
      <c r="DQ732" s="1782"/>
      <c r="DR732" s="1782"/>
      <c r="DS732" s="1782"/>
      <c r="DT732" s="6"/>
      <c r="DU732" s="1780">
        <f t="shared" si="26"/>
        <v>0</v>
      </c>
      <c r="DV732" s="1780"/>
      <c r="DW732" s="1780"/>
      <c r="DX732" s="1780"/>
      <c r="DY732" s="1780"/>
      <c r="DZ732" s="1780">
        <f t="shared" si="27"/>
        <v>0</v>
      </c>
      <c r="EA732" s="1780"/>
      <c r="EB732" s="1780"/>
      <c r="EC732" s="1780"/>
      <c r="ED732" s="1780"/>
      <c r="EE732" s="1780">
        <f t="shared" si="28"/>
        <v>0</v>
      </c>
      <c r="EF732" s="1780"/>
      <c r="EG732" s="1780"/>
      <c r="EH732" s="1780"/>
      <c r="EI732" s="1780"/>
      <c r="EJ732" s="1780">
        <f t="shared" si="29"/>
        <v>0</v>
      </c>
      <c r="EK732" s="1780"/>
      <c r="EL732" s="1780"/>
      <c r="EM732" s="1780"/>
      <c r="EN732" s="1780"/>
      <c r="EO732" s="1780">
        <f t="shared" si="30"/>
        <v>0</v>
      </c>
      <c r="EP732" s="1780"/>
      <c r="EQ732" s="1780"/>
      <c r="ER732" s="1780"/>
      <c r="ES732" s="1780"/>
      <c r="ET732" s="1780">
        <f t="shared" si="31"/>
        <v>0</v>
      </c>
      <c r="EU732" s="1780"/>
      <c r="EV732" s="1780"/>
      <c r="EW732" s="1780"/>
      <c r="EX732" s="1780"/>
      <c r="EZ732" s="1783" t="str">
        <f t="shared" si="32"/>
        <v/>
      </c>
      <c r="FA732" s="1795"/>
      <c r="FB732" s="1795"/>
      <c r="FC732" s="1795"/>
      <c r="FD732" s="1784"/>
      <c r="FE732" s="1783" t="str">
        <f t="shared" si="33"/>
        <v/>
      </c>
      <c r="FF732" s="1795"/>
      <c r="FG732" s="1795"/>
      <c r="FH732" s="1795"/>
      <c r="FI732" s="1784"/>
      <c r="FJ732" s="1783">
        <f t="shared" si="34"/>
        <v>1703</v>
      </c>
      <c r="FK732" s="1795"/>
      <c r="FL732" s="1795"/>
      <c r="FM732" s="1795"/>
      <c r="FN732" s="1784"/>
      <c r="FO732" s="1783" t="str">
        <f t="shared" si="35"/>
        <v/>
      </c>
      <c r="FP732" s="1795"/>
      <c r="FQ732" s="1795"/>
      <c r="FR732" s="1795"/>
      <c r="FS732" s="1784"/>
      <c r="FT732" s="1783" t="str">
        <f t="shared" si="36"/>
        <v/>
      </c>
      <c r="FU732" s="1795"/>
      <c r="FV732" s="1795"/>
      <c r="FW732" s="1795"/>
      <c r="FX732" s="1784"/>
      <c r="FY732" s="1783" t="str">
        <f t="shared" si="37"/>
        <v/>
      </c>
      <c r="FZ732" s="1795"/>
      <c r="GA732" s="1795"/>
      <c r="GB732" s="1795"/>
      <c r="GC732" s="1784"/>
    </row>
    <row r="733" spans="1:185" ht="12.95" customHeight="1">
      <c r="B733" s="1627" t="s">
        <v>163</v>
      </c>
      <c r="C733" s="1628"/>
      <c r="D733" s="1628"/>
      <c r="E733" s="1628"/>
      <c r="F733" s="1629"/>
      <c r="G733" s="1621">
        <v>6</v>
      </c>
      <c r="H733" s="1622"/>
      <c r="I733" s="1622"/>
      <c r="J733" s="1623"/>
      <c r="K733" s="1624">
        <v>948</v>
      </c>
      <c r="L733" s="1625"/>
      <c r="M733" s="1625"/>
      <c r="N733" s="1626"/>
      <c r="O733" s="1662">
        <v>1992</v>
      </c>
      <c r="P733" s="1663"/>
      <c r="Q733" s="1663"/>
      <c r="R733" s="1663"/>
      <c r="S733" s="1664"/>
      <c r="T733" s="1662">
        <f t="shared" si="42"/>
        <v>34</v>
      </c>
      <c r="U733" s="1663"/>
      <c r="V733" s="1663"/>
      <c r="W733" s="1664"/>
      <c r="X733" s="1665">
        <f t="shared" si="10"/>
        <v>2026</v>
      </c>
      <c r="Y733" s="1661"/>
      <c r="Z733" s="1661"/>
      <c r="AA733" s="1661"/>
      <c r="AB733" s="1666"/>
      <c r="AC733" s="1667">
        <v>0.7</v>
      </c>
      <c r="AD733" s="1668"/>
      <c r="AE733" s="1668"/>
      <c r="AF733" s="1668"/>
      <c r="AG733" s="1669"/>
      <c r="AH733" s="1685">
        <f t="shared" si="39"/>
        <v>0.70006910850034554</v>
      </c>
      <c r="AI733" s="1686"/>
      <c r="AJ733" s="1687"/>
      <c r="AK733" s="1627" t="s">
        <v>590</v>
      </c>
      <c r="AL733" s="1628"/>
      <c r="AM733" s="1628"/>
      <c r="AN733" s="1628"/>
      <c r="AO733" s="1629"/>
      <c r="AP733" s="3"/>
      <c r="AQ733" s="3"/>
      <c r="AR733" s="3"/>
      <c r="AS733" s="3"/>
      <c r="AY733" s="1077"/>
      <c r="AZ733" s="118">
        <f t="shared" si="11"/>
        <v>2894</v>
      </c>
      <c r="BA733" s="3"/>
      <c r="BB733" s="3"/>
      <c r="BC733" s="3"/>
      <c r="BD733" s="3"/>
      <c r="BE733" s="204"/>
      <c r="BF733" s="292">
        <f t="shared" si="12"/>
        <v>6</v>
      </c>
      <c r="BG733" s="295">
        <f t="shared" si="13"/>
        <v>5.0847457627118647E-2</v>
      </c>
      <c r="BH733" s="296">
        <f t="shared" si="14"/>
        <v>3.5593220338983052E-2</v>
      </c>
      <c r="BI733" s="3"/>
      <c r="BJ733" s="3"/>
      <c r="BK733" s="3"/>
      <c r="BL733" s="3"/>
      <c r="BM733" s="3"/>
      <c r="BN733" s="3"/>
      <c r="BS733" s="292">
        <f t="shared" si="15"/>
        <v>6</v>
      </c>
      <c r="BT733" s="295">
        <f t="shared" si="16"/>
        <v>5.0847457627118647E-2</v>
      </c>
      <c r="BU733" s="296">
        <f t="shared" si="17"/>
        <v>3.5596734330526049E-2</v>
      </c>
      <c r="BV733" s="290"/>
      <c r="BW733" s="3"/>
      <c r="BX733" s="3"/>
      <c r="BY733" s="3"/>
      <c r="BZ733" s="3"/>
      <c r="CA733" s="3"/>
      <c r="CB733" s="3"/>
      <c r="CC733" s="3"/>
      <c r="CE733" s="3"/>
      <c r="CF733" s="3"/>
      <c r="CG733" s="1783">
        <f t="shared" si="40"/>
        <v>0</v>
      </c>
      <c r="CH733" s="1784"/>
      <c r="CI733" s="1789">
        <f t="shared" si="41"/>
        <v>0</v>
      </c>
      <c r="CJ733" s="1790"/>
      <c r="CK733" s="1783">
        <f t="shared" si="18"/>
        <v>0</v>
      </c>
      <c r="CL733" s="1784"/>
      <c r="CM733" s="1789">
        <f t="shared" si="19"/>
        <v>0</v>
      </c>
      <c r="CN733" s="1790"/>
      <c r="CO733" s="3"/>
      <c r="CP733" s="1785">
        <f t="shared" si="20"/>
        <v>0</v>
      </c>
      <c r="CQ733" s="1786"/>
      <c r="CR733" s="1786"/>
      <c r="CS733" s="1786"/>
      <c r="CT733" s="1787"/>
      <c r="CU733" s="1782">
        <f t="shared" si="21"/>
        <v>0</v>
      </c>
      <c r="CV733" s="1782"/>
      <c r="CW733" s="1782"/>
      <c r="CX733" s="1782"/>
      <c r="CY733" s="1782"/>
      <c r="CZ733" s="1782">
        <f t="shared" si="22"/>
        <v>6</v>
      </c>
      <c r="DA733" s="1782"/>
      <c r="DB733" s="1782"/>
      <c r="DC733" s="1782"/>
      <c r="DD733" s="1782"/>
      <c r="DE733" s="1782">
        <f t="shared" si="23"/>
        <v>0</v>
      </c>
      <c r="DF733" s="1782"/>
      <c r="DG733" s="1782"/>
      <c r="DH733" s="1782"/>
      <c r="DI733" s="1782"/>
      <c r="DJ733" s="1782">
        <f t="shared" si="24"/>
        <v>0</v>
      </c>
      <c r="DK733" s="1782"/>
      <c r="DL733" s="1782"/>
      <c r="DM733" s="1782"/>
      <c r="DN733" s="1782"/>
      <c r="DO733" s="1782">
        <f t="shared" si="25"/>
        <v>0</v>
      </c>
      <c r="DP733" s="1782"/>
      <c r="DQ733" s="1782"/>
      <c r="DR733" s="1782"/>
      <c r="DS733" s="1782"/>
      <c r="DT733" s="6"/>
      <c r="DU733" s="1780">
        <f t="shared" si="26"/>
        <v>0</v>
      </c>
      <c r="DV733" s="1780"/>
      <c r="DW733" s="1780"/>
      <c r="DX733" s="1780"/>
      <c r="DY733" s="1780"/>
      <c r="DZ733" s="1780">
        <f t="shared" si="27"/>
        <v>0</v>
      </c>
      <c r="EA733" s="1780"/>
      <c r="EB733" s="1780"/>
      <c r="EC733" s="1780"/>
      <c r="ED733" s="1780"/>
      <c r="EE733" s="1780">
        <f t="shared" si="28"/>
        <v>0</v>
      </c>
      <c r="EF733" s="1780"/>
      <c r="EG733" s="1780"/>
      <c r="EH733" s="1780"/>
      <c r="EI733" s="1780"/>
      <c r="EJ733" s="1780">
        <f t="shared" si="29"/>
        <v>0</v>
      </c>
      <c r="EK733" s="1780"/>
      <c r="EL733" s="1780"/>
      <c r="EM733" s="1780"/>
      <c r="EN733" s="1780"/>
      <c r="EO733" s="1780">
        <f t="shared" si="30"/>
        <v>0</v>
      </c>
      <c r="EP733" s="1780"/>
      <c r="EQ733" s="1780"/>
      <c r="ER733" s="1780"/>
      <c r="ES733" s="1780"/>
      <c r="ET733" s="1780">
        <f t="shared" si="31"/>
        <v>0</v>
      </c>
      <c r="EU733" s="1780"/>
      <c r="EV733" s="1780"/>
      <c r="EW733" s="1780"/>
      <c r="EX733" s="1780"/>
      <c r="EZ733" s="1783" t="str">
        <f t="shared" si="32"/>
        <v/>
      </c>
      <c r="FA733" s="1795"/>
      <c r="FB733" s="1795"/>
      <c r="FC733" s="1795"/>
      <c r="FD733" s="1784"/>
      <c r="FE733" s="1783" t="str">
        <f t="shared" si="33"/>
        <v/>
      </c>
      <c r="FF733" s="1795"/>
      <c r="FG733" s="1795"/>
      <c r="FH733" s="1795"/>
      <c r="FI733" s="1784"/>
      <c r="FJ733" s="1783">
        <f t="shared" si="34"/>
        <v>1992</v>
      </c>
      <c r="FK733" s="1795"/>
      <c r="FL733" s="1795"/>
      <c r="FM733" s="1795"/>
      <c r="FN733" s="1784"/>
      <c r="FO733" s="1783" t="str">
        <f t="shared" si="35"/>
        <v/>
      </c>
      <c r="FP733" s="1795"/>
      <c r="FQ733" s="1795"/>
      <c r="FR733" s="1795"/>
      <c r="FS733" s="1784"/>
      <c r="FT733" s="1783" t="str">
        <f t="shared" si="36"/>
        <v/>
      </c>
      <c r="FU733" s="1795"/>
      <c r="FV733" s="1795"/>
      <c r="FW733" s="1795"/>
      <c r="FX733" s="1784"/>
      <c r="FY733" s="1783" t="str">
        <f t="shared" si="37"/>
        <v/>
      </c>
      <c r="FZ733" s="1795"/>
      <c r="GA733" s="1795"/>
      <c r="GB733" s="1795"/>
      <c r="GC733" s="1784"/>
    </row>
    <row r="734" spans="1:185" ht="12.95" customHeight="1">
      <c r="B734" s="1627" t="s">
        <v>164</v>
      </c>
      <c r="C734" s="1628"/>
      <c r="D734" s="1628"/>
      <c r="E734" s="1628"/>
      <c r="F734" s="1629"/>
      <c r="G734" s="1621">
        <v>3</v>
      </c>
      <c r="H734" s="1622"/>
      <c r="I734" s="1622"/>
      <c r="J734" s="1623"/>
      <c r="K734" s="1624">
        <v>1100</v>
      </c>
      <c r="L734" s="1625"/>
      <c r="M734" s="1625"/>
      <c r="N734" s="1626"/>
      <c r="O734" s="1662">
        <v>968</v>
      </c>
      <c r="P734" s="1663"/>
      <c r="Q734" s="1663"/>
      <c r="R734" s="1663"/>
      <c r="S734" s="1664"/>
      <c r="T734" s="1662">
        <f>$Y$840</f>
        <v>35</v>
      </c>
      <c r="U734" s="1663"/>
      <c r="V734" s="1663"/>
      <c r="W734" s="1664"/>
      <c r="X734" s="1665">
        <f t="shared" si="10"/>
        <v>1003</v>
      </c>
      <c r="Y734" s="1661"/>
      <c r="Z734" s="1661"/>
      <c r="AA734" s="1661"/>
      <c r="AB734" s="1666"/>
      <c r="AC734" s="1667">
        <v>0.3</v>
      </c>
      <c r="AD734" s="1668"/>
      <c r="AE734" s="1668"/>
      <c r="AF734" s="1668"/>
      <c r="AG734" s="1669"/>
      <c r="AH734" s="1685">
        <f t="shared" si="39"/>
        <v>0.30011968880909634</v>
      </c>
      <c r="AI734" s="1686"/>
      <c r="AJ734" s="1687"/>
      <c r="AK734" s="1627" t="s">
        <v>590</v>
      </c>
      <c r="AL734" s="1628"/>
      <c r="AM734" s="1628"/>
      <c r="AN734" s="1628"/>
      <c r="AO734" s="1629"/>
      <c r="AP734" s="3"/>
      <c r="AQ734" s="3"/>
      <c r="AR734" s="3"/>
      <c r="AS734" s="3"/>
      <c r="AY734" s="1077"/>
      <c r="AZ734" s="118">
        <f t="shared" si="11"/>
        <v>3342</v>
      </c>
      <c r="BA734" s="3"/>
      <c r="BB734" s="3"/>
      <c r="BC734" s="3"/>
      <c r="BD734" s="3"/>
      <c r="BE734" s="204"/>
      <c r="BF734" s="292">
        <f t="shared" si="12"/>
        <v>3</v>
      </c>
      <c r="BG734" s="295">
        <f t="shared" si="13"/>
        <v>2.5423728813559324E-2</v>
      </c>
      <c r="BH734" s="296">
        <f t="shared" si="14"/>
        <v>7.6271186440677969E-3</v>
      </c>
      <c r="BI734" s="3"/>
      <c r="BJ734" s="3"/>
      <c r="BK734" s="3"/>
      <c r="BL734" s="3"/>
      <c r="BM734" s="3"/>
      <c r="BN734" s="3"/>
      <c r="BS734" s="292">
        <f t="shared" si="15"/>
        <v>3</v>
      </c>
      <c r="BT734" s="295">
        <f t="shared" si="16"/>
        <v>2.5423728813559324E-2</v>
      </c>
      <c r="BU734" s="296">
        <f t="shared" si="17"/>
        <v>7.6301615798922808E-3</v>
      </c>
      <c r="BV734" s="3"/>
      <c r="BW734" s="3"/>
      <c r="BX734" s="3"/>
      <c r="BY734" s="3"/>
      <c r="BZ734" s="3"/>
      <c r="CA734" s="3"/>
      <c r="CB734" s="3"/>
      <c r="CC734" s="3"/>
      <c r="CE734" s="3"/>
      <c r="CF734" s="3"/>
      <c r="CG734" s="1783">
        <f t="shared" si="40"/>
        <v>0</v>
      </c>
      <c r="CH734" s="1784"/>
      <c r="CI734" s="1789">
        <f t="shared" si="41"/>
        <v>0</v>
      </c>
      <c r="CJ734" s="1790"/>
      <c r="CK734" s="1783">
        <f t="shared" si="18"/>
        <v>1</v>
      </c>
      <c r="CL734" s="1784"/>
      <c r="CM734" s="1789">
        <f t="shared" si="19"/>
        <v>3</v>
      </c>
      <c r="CN734" s="1790"/>
      <c r="CO734" s="3"/>
      <c r="CP734" s="1785">
        <f t="shared" si="20"/>
        <v>0</v>
      </c>
      <c r="CQ734" s="1786"/>
      <c r="CR734" s="1786"/>
      <c r="CS734" s="1786"/>
      <c r="CT734" s="1787"/>
      <c r="CU734" s="1782">
        <f t="shared" si="21"/>
        <v>0</v>
      </c>
      <c r="CV734" s="1782"/>
      <c r="CW734" s="1782"/>
      <c r="CX734" s="1782"/>
      <c r="CY734" s="1782"/>
      <c r="CZ734" s="1782">
        <f t="shared" si="22"/>
        <v>0</v>
      </c>
      <c r="DA734" s="1782"/>
      <c r="DB734" s="1782"/>
      <c r="DC734" s="1782"/>
      <c r="DD734" s="1782"/>
      <c r="DE734" s="1782">
        <f t="shared" si="23"/>
        <v>3</v>
      </c>
      <c r="DF734" s="1782"/>
      <c r="DG734" s="1782"/>
      <c r="DH734" s="1782"/>
      <c r="DI734" s="1782"/>
      <c r="DJ734" s="1782">
        <f t="shared" si="24"/>
        <v>0</v>
      </c>
      <c r="DK734" s="1782"/>
      <c r="DL734" s="1782"/>
      <c r="DM734" s="1782"/>
      <c r="DN734" s="1782"/>
      <c r="DO734" s="1782">
        <f t="shared" si="25"/>
        <v>0</v>
      </c>
      <c r="DP734" s="1782"/>
      <c r="DQ734" s="1782"/>
      <c r="DR734" s="1782"/>
      <c r="DS734" s="1782"/>
      <c r="DT734" s="6"/>
      <c r="DU734" s="1780">
        <f t="shared" si="26"/>
        <v>0</v>
      </c>
      <c r="DV734" s="1780"/>
      <c r="DW734" s="1780"/>
      <c r="DX734" s="1780"/>
      <c r="DY734" s="1780"/>
      <c r="DZ734" s="1780">
        <f t="shared" si="27"/>
        <v>0</v>
      </c>
      <c r="EA734" s="1780"/>
      <c r="EB734" s="1780"/>
      <c r="EC734" s="1780"/>
      <c r="ED734" s="1780"/>
      <c r="EE734" s="1780">
        <f t="shared" si="28"/>
        <v>0</v>
      </c>
      <c r="EF734" s="1780"/>
      <c r="EG734" s="1780"/>
      <c r="EH734" s="1780"/>
      <c r="EI734" s="1780"/>
      <c r="EJ734" s="1780">
        <f t="shared" si="29"/>
        <v>3</v>
      </c>
      <c r="EK734" s="1780"/>
      <c r="EL734" s="1780"/>
      <c r="EM734" s="1780"/>
      <c r="EN734" s="1780"/>
      <c r="EO734" s="1780">
        <f t="shared" si="30"/>
        <v>0</v>
      </c>
      <c r="EP734" s="1780"/>
      <c r="EQ734" s="1780"/>
      <c r="ER734" s="1780"/>
      <c r="ES734" s="1780"/>
      <c r="ET734" s="1780">
        <f t="shared" si="31"/>
        <v>0</v>
      </c>
      <c r="EU734" s="1780"/>
      <c r="EV734" s="1780"/>
      <c r="EW734" s="1780"/>
      <c r="EX734" s="1780"/>
      <c r="EY734" s="4"/>
      <c r="EZ734" s="1783" t="str">
        <f t="shared" si="32"/>
        <v/>
      </c>
      <c r="FA734" s="1795"/>
      <c r="FB734" s="1795"/>
      <c r="FC734" s="1795"/>
      <c r="FD734" s="1784"/>
      <c r="FE734" s="1783" t="str">
        <f t="shared" si="33"/>
        <v/>
      </c>
      <c r="FF734" s="1795"/>
      <c r="FG734" s="1795"/>
      <c r="FH734" s="1795"/>
      <c r="FI734" s="1784"/>
      <c r="FJ734" s="1783" t="str">
        <f t="shared" si="34"/>
        <v/>
      </c>
      <c r="FK734" s="1795"/>
      <c r="FL734" s="1795"/>
      <c r="FM734" s="1795"/>
      <c r="FN734" s="1784"/>
      <c r="FO734" s="1783">
        <f t="shared" si="35"/>
        <v>968</v>
      </c>
      <c r="FP734" s="1795"/>
      <c r="FQ734" s="1795"/>
      <c r="FR734" s="1795"/>
      <c r="FS734" s="1784"/>
      <c r="FT734" s="1783" t="str">
        <f t="shared" si="36"/>
        <v/>
      </c>
      <c r="FU734" s="1795"/>
      <c r="FV734" s="1795"/>
      <c r="FW734" s="1795"/>
      <c r="FX734" s="1784"/>
      <c r="FY734" s="1783" t="str">
        <f t="shared" si="37"/>
        <v/>
      </c>
      <c r="FZ734" s="1795"/>
      <c r="GA734" s="1795"/>
      <c r="GB734" s="1795"/>
      <c r="GC734" s="1784"/>
    </row>
    <row r="735" spans="1:185" ht="12.95" customHeight="1">
      <c r="A735" s="4"/>
      <c r="B735" s="1627" t="s">
        <v>164</v>
      </c>
      <c r="C735" s="1628"/>
      <c r="D735" s="1628"/>
      <c r="E735" s="1628"/>
      <c r="F735" s="1629"/>
      <c r="G735" s="1621">
        <v>7</v>
      </c>
      <c r="H735" s="1622"/>
      <c r="I735" s="1622"/>
      <c r="J735" s="1623"/>
      <c r="K735" s="1624">
        <v>1100</v>
      </c>
      <c r="L735" s="1625"/>
      <c r="M735" s="1625"/>
      <c r="N735" s="1626"/>
      <c r="O735" s="1662">
        <v>1635.51</v>
      </c>
      <c r="P735" s="1663"/>
      <c r="Q735" s="1663"/>
      <c r="R735" s="1663"/>
      <c r="S735" s="1664"/>
      <c r="T735" s="1662">
        <f t="shared" ref="T735:T737" si="43">$Y$840</f>
        <v>35</v>
      </c>
      <c r="U735" s="1663"/>
      <c r="V735" s="1663"/>
      <c r="W735" s="1664"/>
      <c r="X735" s="1665">
        <f t="shared" si="10"/>
        <v>1670.51</v>
      </c>
      <c r="Y735" s="1661"/>
      <c r="Z735" s="1661"/>
      <c r="AA735" s="1661"/>
      <c r="AB735" s="1666"/>
      <c r="AC735" s="1667">
        <v>0.5</v>
      </c>
      <c r="AD735" s="1668"/>
      <c r="AE735" s="1668"/>
      <c r="AF735" s="1668"/>
      <c r="AG735" s="1669"/>
      <c r="AH735" s="1685">
        <f t="shared" si="39"/>
        <v>0.49985338120885697</v>
      </c>
      <c r="AI735" s="1686"/>
      <c r="AJ735" s="1687"/>
      <c r="AK735" s="1627" t="s">
        <v>590</v>
      </c>
      <c r="AL735" s="1628"/>
      <c r="AM735" s="1628"/>
      <c r="AN735" s="1628"/>
      <c r="AO735" s="1629"/>
      <c r="AP735" s="3"/>
      <c r="AQ735" s="3"/>
      <c r="AR735" s="3"/>
      <c r="AS735" s="3"/>
      <c r="AY735" s="1077"/>
      <c r="AZ735" s="118">
        <f t="shared" si="11"/>
        <v>3342</v>
      </c>
      <c r="BA735" s="3"/>
      <c r="BB735" s="3"/>
      <c r="BC735" s="3"/>
      <c r="BD735" s="3"/>
      <c r="BE735" s="204"/>
      <c r="BF735" s="292">
        <f t="shared" si="12"/>
        <v>7</v>
      </c>
      <c r="BG735" s="295">
        <f t="shared" si="13"/>
        <v>5.9322033898305086E-2</v>
      </c>
      <c r="BH735" s="296">
        <f t="shared" si="14"/>
        <v>2.9661016949152543E-2</v>
      </c>
      <c r="BI735" s="3"/>
      <c r="BJ735" s="3"/>
      <c r="BK735" s="3"/>
      <c r="BL735" s="3"/>
      <c r="BM735" s="3"/>
      <c r="BN735" s="3"/>
      <c r="BS735" s="292">
        <f t="shared" si="15"/>
        <v>7</v>
      </c>
      <c r="BT735" s="295">
        <f t="shared" si="16"/>
        <v>5.9322033898305086E-2</v>
      </c>
      <c r="BU735" s="296">
        <f t="shared" si="17"/>
        <v>2.965231922425423E-2</v>
      </c>
      <c r="BV735" s="3"/>
      <c r="BW735" s="3"/>
      <c r="BX735" s="3"/>
      <c r="BY735" s="3"/>
      <c r="BZ735" s="3"/>
      <c r="CA735" s="3"/>
      <c r="CB735" s="3"/>
      <c r="CC735" s="3"/>
      <c r="CE735" s="3"/>
      <c r="CF735" s="3"/>
      <c r="CG735" s="1783">
        <f t="shared" si="40"/>
        <v>1</v>
      </c>
      <c r="CH735" s="1784"/>
      <c r="CI735" s="1789">
        <f t="shared" si="41"/>
        <v>7</v>
      </c>
      <c r="CJ735" s="1790"/>
      <c r="CK735" s="1783">
        <f t="shared" si="18"/>
        <v>0</v>
      </c>
      <c r="CL735" s="1784"/>
      <c r="CM735" s="1789">
        <f t="shared" si="19"/>
        <v>0</v>
      </c>
      <c r="CN735" s="1790"/>
      <c r="CO735" s="3"/>
      <c r="CP735" s="1785">
        <f t="shared" si="20"/>
        <v>0</v>
      </c>
      <c r="CQ735" s="1786"/>
      <c r="CR735" s="1786"/>
      <c r="CS735" s="1786"/>
      <c r="CT735" s="1787"/>
      <c r="CU735" s="1782">
        <f t="shared" si="21"/>
        <v>0</v>
      </c>
      <c r="CV735" s="1782"/>
      <c r="CW735" s="1782"/>
      <c r="CX735" s="1782"/>
      <c r="CY735" s="1782"/>
      <c r="CZ735" s="1782">
        <f t="shared" si="22"/>
        <v>0</v>
      </c>
      <c r="DA735" s="1782"/>
      <c r="DB735" s="1782"/>
      <c r="DC735" s="1782"/>
      <c r="DD735" s="1782"/>
      <c r="DE735" s="1782">
        <f t="shared" si="23"/>
        <v>7</v>
      </c>
      <c r="DF735" s="1782"/>
      <c r="DG735" s="1782"/>
      <c r="DH735" s="1782"/>
      <c r="DI735" s="1782"/>
      <c r="DJ735" s="1782">
        <f t="shared" si="24"/>
        <v>0</v>
      </c>
      <c r="DK735" s="1782"/>
      <c r="DL735" s="1782"/>
      <c r="DM735" s="1782"/>
      <c r="DN735" s="1782"/>
      <c r="DO735" s="1782">
        <f t="shared" si="25"/>
        <v>0</v>
      </c>
      <c r="DP735" s="1782"/>
      <c r="DQ735" s="1782"/>
      <c r="DR735" s="1782"/>
      <c r="DS735" s="1782"/>
      <c r="DT735" s="6"/>
      <c r="DU735" s="1780">
        <f t="shared" si="26"/>
        <v>0</v>
      </c>
      <c r="DV735" s="1780"/>
      <c r="DW735" s="1780"/>
      <c r="DX735" s="1780"/>
      <c r="DY735" s="1780"/>
      <c r="DZ735" s="1780">
        <f t="shared" si="27"/>
        <v>0</v>
      </c>
      <c r="EA735" s="1780"/>
      <c r="EB735" s="1780"/>
      <c r="EC735" s="1780"/>
      <c r="ED735" s="1780"/>
      <c r="EE735" s="1780">
        <f t="shared" si="28"/>
        <v>0</v>
      </c>
      <c r="EF735" s="1780"/>
      <c r="EG735" s="1780"/>
      <c r="EH735" s="1780"/>
      <c r="EI735" s="1780"/>
      <c r="EJ735" s="1780">
        <f t="shared" si="29"/>
        <v>0</v>
      </c>
      <c r="EK735" s="1780"/>
      <c r="EL735" s="1780"/>
      <c r="EM735" s="1780"/>
      <c r="EN735" s="1780"/>
      <c r="EO735" s="1780">
        <f t="shared" si="30"/>
        <v>0</v>
      </c>
      <c r="EP735" s="1780"/>
      <c r="EQ735" s="1780"/>
      <c r="ER735" s="1780"/>
      <c r="ES735" s="1780"/>
      <c r="ET735" s="1780">
        <f t="shared" si="31"/>
        <v>0</v>
      </c>
      <c r="EU735" s="1780"/>
      <c r="EV735" s="1780"/>
      <c r="EW735" s="1780"/>
      <c r="EX735" s="1780"/>
      <c r="EY735" s="4"/>
      <c r="EZ735" s="1783" t="str">
        <f t="shared" si="32"/>
        <v/>
      </c>
      <c r="FA735" s="1795"/>
      <c r="FB735" s="1795"/>
      <c r="FC735" s="1795"/>
      <c r="FD735" s="1784"/>
      <c r="FE735" s="1783" t="str">
        <f t="shared" si="33"/>
        <v/>
      </c>
      <c r="FF735" s="1795"/>
      <c r="FG735" s="1795"/>
      <c r="FH735" s="1795"/>
      <c r="FI735" s="1784"/>
      <c r="FJ735" s="1783" t="str">
        <f t="shared" si="34"/>
        <v/>
      </c>
      <c r="FK735" s="1795"/>
      <c r="FL735" s="1795"/>
      <c r="FM735" s="1795"/>
      <c r="FN735" s="1784"/>
      <c r="FO735" s="1783">
        <f t="shared" si="35"/>
        <v>1635.51</v>
      </c>
      <c r="FP735" s="1795"/>
      <c r="FQ735" s="1795"/>
      <c r="FR735" s="1795"/>
      <c r="FS735" s="1784"/>
      <c r="FT735" s="1783" t="str">
        <f t="shared" si="36"/>
        <v/>
      </c>
      <c r="FU735" s="1795"/>
      <c r="FV735" s="1795"/>
      <c r="FW735" s="1795"/>
      <c r="FX735" s="1784"/>
      <c r="FY735" s="1783" t="str">
        <f t="shared" si="37"/>
        <v/>
      </c>
      <c r="FZ735" s="1795"/>
      <c r="GA735" s="1795"/>
      <c r="GB735" s="1795"/>
      <c r="GC735" s="1784"/>
    </row>
    <row r="736" spans="1:185" ht="12.95" customHeight="1">
      <c r="A736" s="4"/>
      <c r="B736" s="1627" t="s">
        <v>164</v>
      </c>
      <c r="C736" s="1628"/>
      <c r="D736" s="1628"/>
      <c r="E736" s="1628"/>
      <c r="F736" s="1629"/>
      <c r="G736" s="1621">
        <v>16</v>
      </c>
      <c r="H736" s="1622"/>
      <c r="I736" s="1622"/>
      <c r="J736" s="1623"/>
      <c r="K736" s="1624">
        <v>1100</v>
      </c>
      <c r="L736" s="1625"/>
      <c r="M736" s="1625"/>
      <c r="N736" s="1626"/>
      <c r="O736" s="1662">
        <v>1970.51</v>
      </c>
      <c r="P736" s="1663"/>
      <c r="Q736" s="1663"/>
      <c r="R736" s="1663"/>
      <c r="S736" s="1664"/>
      <c r="T736" s="1662">
        <f t="shared" si="43"/>
        <v>35</v>
      </c>
      <c r="U736" s="1663"/>
      <c r="V736" s="1663"/>
      <c r="W736" s="1664"/>
      <c r="X736" s="1665">
        <f t="shared" si="10"/>
        <v>2005.51</v>
      </c>
      <c r="Y736" s="1661"/>
      <c r="Z736" s="1661"/>
      <c r="AA736" s="1661"/>
      <c r="AB736" s="1666"/>
      <c r="AC736" s="1667">
        <v>0.6</v>
      </c>
      <c r="AD736" s="1668"/>
      <c r="AE736" s="1668"/>
      <c r="AF736" s="1668"/>
      <c r="AG736" s="1669"/>
      <c r="AH736" s="1685">
        <f t="shared" si="39"/>
        <v>0.60009275882704971</v>
      </c>
      <c r="AI736" s="1686"/>
      <c r="AJ736" s="1687"/>
      <c r="AK736" s="1627" t="s">
        <v>590</v>
      </c>
      <c r="AL736" s="1628"/>
      <c r="AM736" s="1628"/>
      <c r="AN736" s="1628"/>
      <c r="AO736" s="1629"/>
      <c r="AP736" s="3"/>
      <c r="AQ736" s="3"/>
      <c r="AR736" s="3"/>
      <c r="AS736" s="3"/>
      <c r="AY736" s="1077"/>
      <c r="AZ736" s="118">
        <f t="shared" si="11"/>
        <v>3342</v>
      </c>
      <c r="BA736" s="3"/>
      <c r="BB736" s="3"/>
      <c r="BC736" s="3"/>
      <c r="BD736" s="3"/>
      <c r="BE736" s="204"/>
      <c r="BF736" s="292">
        <f t="shared" si="12"/>
        <v>16</v>
      </c>
      <c r="BG736" s="295">
        <f t="shared" si="13"/>
        <v>0.13559322033898305</v>
      </c>
      <c r="BH736" s="296">
        <f t="shared" si="14"/>
        <v>8.1355932203389825E-2</v>
      </c>
      <c r="BI736" s="3"/>
      <c r="BJ736" s="3"/>
      <c r="BK736" s="3"/>
      <c r="BL736" s="3"/>
      <c r="BM736" s="3"/>
      <c r="BN736" s="3"/>
      <c r="BS736" s="292">
        <f t="shared" si="15"/>
        <v>16</v>
      </c>
      <c r="BT736" s="295">
        <f t="shared" si="16"/>
        <v>0.13559322033898305</v>
      </c>
      <c r="BU736" s="296">
        <f t="shared" si="17"/>
        <v>8.1368509671464362E-2</v>
      </c>
      <c r="BV736" s="3"/>
      <c r="BW736" s="3"/>
      <c r="BX736" s="3"/>
      <c r="BY736" s="3"/>
      <c r="BZ736" s="3"/>
      <c r="CA736" s="3"/>
      <c r="CB736" s="3"/>
      <c r="CC736" s="3"/>
      <c r="CE736" s="3"/>
      <c r="CF736" s="3"/>
      <c r="CG736" s="1783">
        <f t="shared" si="40"/>
        <v>0</v>
      </c>
      <c r="CH736" s="1784"/>
      <c r="CI736" s="1789">
        <f t="shared" si="41"/>
        <v>0</v>
      </c>
      <c r="CJ736" s="1790"/>
      <c r="CK736" s="1783">
        <f t="shared" si="18"/>
        <v>0</v>
      </c>
      <c r="CL736" s="1784"/>
      <c r="CM736" s="1789">
        <f t="shared" si="19"/>
        <v>0</v>
      </c>
      <c r="CN736" s="1790"/>
      <c r="CO736" s="3"/>
      <c r="CP736" s="1785">
        <f t="shared" si="20"/>
        <v>0</v>
      </c>
      <c r="CQ736" s="1786"/>
      <c r="CR736" s="1786"/>
      <c r="CS736" s="1786"/>
      <c r="CT736" s="1787"/>
      <c r="CU736" s="1782">
        <f t="shared" si="21"/>
        <v>0</v>
      </c>
      <c r="CV736" s="1782"/>
      <c r="CW736" s="1782"/>
      <c r="CX736" s="1782"/>
      <c r="CY736" s="1782"/>
      <c r="CZ736" s="1782">
        <f t="shared" si="22"/>
        <v>0</v>
      </c>
      <c r="DA736" s="1782"/>
      <c r="DB736" s="1782"/>
      <c r="DC736" s="1782"/>
      <c r="DD736" s="1782"/>
      <c r="DE736" s="1782">
        <f t="shared" si="23"/>
        <v>16</v>
      </c>
      <c r="DF736" s="1782"/>
      <c r="DG736" s="1782"/>
      <c r="DH736" s="1782"/>
      <c r="DI736" s="1782"/>
      <c r="DJ736" s="1782">
        <f t="shared" si="24"/>
        <v>0</v>
      </c>
      <c r="DK736" s="1782"/>
      <c r="DL736" s="1782"/>
      <c r="DM736" s="1782"/>
      <c r="DN736" s="1782"/>
      <c r="DO736" s="1782">
        <f t="shared" si="25"/>
        <v>0</v>
      </c>
      <c r="DP736" s="1782"/>
      <c r="DQ736" s="1782"/>
      <c r="DR736" s="1782"/>
      <c r="DS736" s="1782"/>
      <c r="DT736" s="6"/>
      <c r="DU736" s="1780">
        <f t="shared" si="26"/>
        <v>0</v>
      </c>
      <c r="DV736" s="1780"/>
      <c r="DW736" s="1780"/>
      <c r="DX736" s="1780"/>
      <c r="DY736" s="1780"/>
      <c r="DZ736" s="1780">
        <f t="shared" si="27"/>
        <v>0</v>
      </c>
      <c r="EA736" s="1780"/>
      <c r="EB736" s="1780"/>
      <c r="EC736" s="1780"/>
      <c r="ED736" s="1780"/>
      <c r="EE736" s="1780">
        <f t="shared" si="28"/>
        <v>0</v>
      </c>
      <c r="EF736" s="1780"/>
      <c r="EG736" s="1780"/>
      <c r="EH736" s="1780"/>
      <c r="EI736" s="1780"/>
      <c r="EJ736" s="1780">
        <f t="shared" si="29"/>
        <v>0</v>
      </c>
      <c r="EK736" s="1780"/>
      <c r="EL736" s="1780"/>
      <c r="EM736" s="1780"/>
      <c r="EN736" s="1780"/>
      <c r="EO736" s="1780">
        <f t="shared" si="30"/>
        <v>0</v>
      </c>
      <c r="EP736" s="1780"/>
      <c r="EQ736" s="1780"/>
      <c r="ER736" s="1780"/>
      <c r="ES736" s="1780"/>
      <c r="ET736" s="1780">
        <f t="shared" si="31"/>
        <v>0</v>
      </c>
      <c r="EU736" s="1780"/>
      <c r="EV736" s="1780"/>
      <c r="EW736" s="1780"/>
      <c r="EX736" s="1780"/>
      <c r="EY736" s="4"/>
      <c r="EZ736" s="1783" t="str">
        <f t="shared" si="32"/>
        <v/>
      </c>
      <c r="FA736" s="1795"/>
      <c r="FB736" s="1795"/>
      <c r="FC736" s="1795"/>
      <c r="FD736" s="1784"/>
      <c r="FE736" s="1783" t="str">
        <f t="shared" si="33"/>
        <v/>
      </c>
      <c r="FF736" s="1795"/>
      <c r="FG736" s="1795"/>
      <c r="FH736" s="1795"/>
      <c r="FI736" s="1784"/>
      <c r="FJ736" s="1783" t="str">
        <f t="shared" si="34"/>
        <v/>
      </c>
      <c r="FK736" s="1795"/>
      <c r="FL736" s="1795"/>
      <c r="FM736" s="1795"/>
      <c r="FN736" s="1784"/>
      <c r="FO736" s="1783">
        <f t="shared" si="35"/>
        <v>1970.51</v>
      </c>
      <c r="FP736" s="1795"/>
      <c r="FQ736" s="1795"/>
      <c r="FR736" s="1795"/>
      <c r="FS736" s="1784"/>
      <c r="FT736" s="1783" t="str">
        <f t="shared" si="36"/>
        <v/>
      </c>
      <c r="FU736" s="1795"/>
      <c r="FV736" s="1795"/>
      <c r="FW736" s="1795"/>
      <c r="FX736" s="1784"/>
      <c r="FY736" s="1783" t="str">
        <f t="shared" si="37"/>
        <v/>
      </c>
      <c r="FZ736" s="1795"/>
      <c r="GA736" s="1795"/>
      <c r="GB736" s="1795"/>
      <c r="GC736" s="1784"/>
    </row>
    <row r="737" spans="1:185" ht="12.95" customHeight="1">
      <c r="A737" s="4"/>
      <c r="B737" s="1627" t="s">
        <v>164</v>
      </c>
      <c r="C737" s="1628"/>
      <c r="D737" s="1628"/>
      <c r="E737" s="1628"/>
      <c r="F737" s="1629"/>
      <c r="G737" s="1621">
        <v>6</v>
      </c>
      <c r="H737" s="1622"/>
      <c r="I737" s="1622"/>
      <c r="J737" s="1623"/>
      <c r="K737" s="1624">
        <v>1100</v>
      </c>
      <c r="L737" s="1625"/>
      <c r="M737" s="1625"/>
      <c r="N737" s="1626"/>
      <c r="O737" s="1662">
        <v>2304.5100000000002</v>
      </c>
      <c r="P737" s="1663"/>
      <c r="Q737" s="1663"/>
      <c r="R737" s="1663"/>
      <c r="S737" s="1664"/>
      <c r="T737" s="1662">
        <f t="shared" si="43"/>
        <v>35</v>
      </c>
      <c r="U737" s="1663"/>
      <c r="V737" s="1663"/>
      <c r="W737" s="1664"/>
      <c r="X737" s="1665">
        <f t="shared" si="10"/>
        <v>2339.5100000000002</v>
      </c>
      <c r="Y737" s="1661"/>
      <c r="Z737" s="1661"/>
      <c r="AA737" s="1661"/>
      <c r="AB737" s="1666"/>
      <c r="AC737" s="1667">
        <v>0.7</v>
      </c>
      <c r="AD737" s="1668"/>
      <c r="AE737" s="1668"/>
      <c r="AF737" s="1668"/>
      <c r="AG737" s="1669"/>
      <c r="AH737" s="1685">
        <f t="shared" si="39"/>
        <v>0.7000329144225016</v>
      </c>
      <c r="AI737" s="1686"/>
      <c r="AJ737" s="1687"/>
      <c r="AK737" s="1627" t="s">
        <v>590</v>
      </c>
      <c r="AL737" s="1628"/>
      <c r="AM737" s="1628"/>
      <c r="AN737" s="1628"/>
      <c r="AO737" s="1629"/>
      <c r="AP737" s="3"/>
      <c r="AQ737" s="3"/>
      <c r="AR737" s="3"/>
      <c r="AS737" s="3"/>
      <c r="AY737" s="1077"/>
      <c r="AZ737" s="118">
        <f t="shared" si="11"/>
        <v>3342</v>
      </c>
      <c r="BA737" s="3"/>
      <c r="BB737" s="3"/>
      <c r="BC737" s="3"/>
      <c r="BD737" s="3"/>
      <c r="BE737" s="204"/>
      <c r="BF737" s="292">
        <f t="shared" si="12"/>
        <v>6</v>
      </c>
      <c r="BG737" s="295">
        <f t="shared" si="13"/>
        <v>5.0847457627118647E-2</v>
      </c>
      <c r="BH737" s="296">
        <f t="shared" si="14"/>
        <v>3.5593220338983052E-2</v>
      </c>
      <c r="BI737" s="3"/>
      <c r="BJ737" s="3"/>
      <c r="BK737" s="3"/>
      <c r="BL737" s="3"/>
      <c r="BM737" s="3"/>
      <c r="BN737" s="3"/>
      <c r="BS737" s="292">
        <f t="shared" si="15"/>
        <v>6</v>
      </c>
      <c r="BT737" s="295">
        <f t="shared" si="16"/>
        <v>5.0847457627118647E-2</v>
      </c>
      <c r="BU737" s="296">
        <f t="shared" si="17"/>
        <v>3.5594893953686521E-2</v>
      </c>
      <c r="BV737" s="3"/>
      <c r="BW737" s="3"/>
      <c r="BX737" s="3"/>
      <c r="BY737" s="3"/>
      <c r="BZ737" s="3"/>
      <c r="CA737" s="3"/>
      <c r="CB737" s="3"/>
      <c r="CC737" s="3"/>
      <c r="CE737" s="3"/>
      <c r="CF737" s="3"/>
      <c r="CG737" s="1783">
        <f t="shared" si="40"/>
        <v>0</v>
      </c>
      <c r="CH737" s="1784"/>
      <c r="CI737" s="1789">
        <f t="shared" si="41"/>
        <v>0</v>
      </c>
      <c r="CJ737" s="1790"/>
      <c r="CK737" s="1783">
        <f t="shared" si="18"/>
        <v>0</v>
      </c>
      <c r="CL737" s="1784"/>
      <c r="CM737" s="1789">
        <f t="shared" si="19"/>
        <v>0</v>
      </c>
      <c r="CN737" s="1790"/>
      <c r="CO737" s="3"/>
      <c r="CP737" s="1785">
        <f t="shared" si="20"/>
        <v>0</v>
      </c>
      <c r="CQ737" s="1786"/>
      <c r="CR737" s="1786"/>
      <c r="CS737" s="1786"/>
      <c r="CT737" s="1787"/>
      <c r="CU737" s="1782">
        <f t="shared" si="21"/>
        <v>0</v>
      </c>
      <c r="CV737" s="1782"/>
      <c r="CW737" s="1782"/>
      <c r="CX737" s="1782"/>
      <c r="CY737" s="1782"/>
      <c r="CZ737" s="1782">
        <f t="shared" si="22"/>
        <v>0</v>
      </c>
      <c r="DA737" s="1782"/>
      <c r="DB737" s="1782"/>
      <c r="DC737" s="1782"/>
      <c r="DD737" s="1782"/>
      <c r="DE737" s="1782">
        <f t="shared" si="23"/>
        <v>6</v>
      </c>
      <c r="DF737" s="1782"/>
      <c r="DG737" s="1782"/>
      <c r="DH737" s="1782"/>
      <c r="DI737" s="1782"/>
      <c r="DJ737" s="1782">
        <f t="shared" si="24"/>
        <v>0</v>
      </c>
      <c r="DK737" s="1782"/>
      <c r="DL737" s="1782"/>
      <c r="DM737" s="1782"/>
      <c r="DN737" s="1782"/>
      <c r="DO737" s="1782">
        <f t="shared" si="25"/>
        <v>0</v>
      </c>
      <c r="DP737" s="1782"/>
      <c r="DQ737" s="1782"/>
      <c r="DR737" s="1782"/>
      <c r="DS737" s="1782"/>
      <c r="DT737" s="6"/>
      <c r="DU737" s="1780">
        <f t="shared" si="26"/>
        <v>0</v>
      </c>
      <c r="DV737" s="1780"/>
      <c r="DW737" s="1780"/>
      <c r="DX737" s="1780"/>
      <c r="DY737" s="1780"/>
      <c r="DZ737" s="1780">
        <f t="shared" si="27"/>
        <v>0</v>
      </c>
      <c r="EA737" s="1780"/>
      <c r="EB737" s="1780"/>
      <c r="EC737" s="1780"/>
      <c r="ED737" s="1780"/>
      <c r="EE737" s="1780">
        <f t="shared" si="28"/>
        <v>0</v>
      </c>
      <c r="EF737" s="1780"/>
      <c r="EG737" s="1780"/>
      <c r="EH737" s="1780"/>
      <c r="EI737" s="1780"/>
      <c r="EJ737" s="1780">
        <f t="shared" si="29"/>
        <v>0</v>
      </c>
      <c r="EK737" s="1780"/>
      <c r="EL737" s="1780"/>
      <c r="EM737" s="1780"/>
      <c r="EN737" s="1780"/>
      <c r="EO737" s="1780">
        <f t="shared" si="30"/>
        <v>0</v>
      </c>
      <c r="EP737" s="1780"/>
      <c r="EQ737" s="1780"/>
      <c r="ER737" s="1780"/>
      <c r="ES737" s="1780"/>
      <c r="ET737" s="1780">
        <f t="shared" si="31"/>
        <v>0</v>
      </c>
      <c r="EU737" s="1780"/>
      <c r="EV737" s="1780"/>
      <c r="EW737" s="1780"/>
      <c r="EX737" s="1780"/>
      <c r="EZ737" s="1783" t="str">
        <f t="shared" si="32"/>
        <v/>
      </c>
      <c r="FA737" s="1795"/>
      <c r="FB737" s="1795"/>
      <c r="FC737" s="1795"/>
      <c r="FD737" s="1784"/>
      <c r="FE737" s="1783" t="str">
        <f t="shared" si="33"/>
        <v/>
      </c>
      <c r="FF737" s="1795"/>
      <c r="FG737" s="1795"/>
      <c r="FH737" s="1795"/>
      <c r="FI737" s="1784"/>
      <c r="FJ737" s="1783" t="str">
        <f t="shared" si="34"/>
        <v/>
      </c>
      <c r="FK737" s="1795"/>
      <c r="FL737" s="1795"/>
      <c r="FM737" s="1795"/>
      <c r="FN737" s="1784"/>
      <c r="FO737" s="1783">
        <f t="shared" si="35"/>
        <v>2304.5100000000002</v>
      </c>
      <c r="FP737" s="1795"/>
      <c r="FQ737" s="1795"/>
      <c r="FR737" s="1795"/>
      <c r="FS737" s="1784"/>
      <c r="FT737" s="1783" t="str">
        <f t="shared" si="36"/>
        <v/>
      </c>
      <c r="FU737" s="1795"/>
      <c r="FV737" s="1795"/>
      <c r="FW737" s="1795"/>
      <c r="FX737" s="1784"/>
      <c r="FY737" s="1783" t="str">
        <f t="shared" si="37"/>
        <v/>
      </c>
      <c r="FZ737" s="1795"/>
      <c r="GA737" s="1795"/>
      <c r="GB737" s="1795"/>
      <c r="GC737" s="1784"/>
    </row>
    <row r="738" spans="1:185" ht="12.95" customHeight="1">
      <c r="B738" s="1627"/>
      <c r="C738" s="1628"/>
      <c r="D738" s="1628"/>
      <c r="E738" s="1628"/>
      <c r="F738" s="1629"/>
      <c r="G738" s="1621"/>
      <c r="H738" s="1622"/>
      <c r="I738" s="1622"/>
      <c r="J738" s="1623"/>
      <c r="K738" s="1624"/>
      <c r="L738" s="1625"/>
      <c r="M738" s="1625"/>
      <c r="N738" s="1626"/>
      <c r="O738" s="1662"/>
      <c r="P738" s="1663"/>
      <c r="Q738" s="1663"/>
      <c r="R738" s="1663"/>
      <c r="S738" s="1664"/>
      <c r="T738" s="1662"/>
      <c r="U738" s="1663"/>
      <c r="V738" s="1663"/>
      <c r="W738" s="1664"/>
      <c r="X738" s="1665">
        <f t="shared" si="10"/>
        <v>0</v>
      </c>
      <c r="Y738" s="1661"/>
      <c r="Z738" s="1661"/>
      <c r="AA738" s="1661"/>
      <c r="AB738" s="1666"/>
      <c r="AC738" s="1667"/>
      <c r="AD738" s="1668"/>
      <c r="AE738" s="1668"/>
      <c r="AF738" s="1668"/>
      <c r="AG738" s="1669"/>
      <c r="AH738" s="1685" t="str">
        <f t="shared" si="39"/>
        <v/>
      </c>
      <c r="AI738" s="1686"/>
      <c r="AJ738" s="1687"/>
      <c r="AK738" s="1627" t="s">
        <v>590</v>
      </c>
      <c r="AL738" s="1628"/>
      <c r="AM738" s="1628"/>
      <c r="AN738" s="1628"/>
      <c r="AO738" s="1629"/>
      <c r="AP738" s="3"/>
      <c r="AQ738" s="3"/>
      <c r="AR738" s="3"/>
      <c r="AS738" s="3"/>
      <c r="AY738" s="1077"/>
      <c r="AZ738" s="118" t="str">
        <f t="shared" si="11"/>
        <v>N/A</v>
      </c>
      <c r="BA738" s="3"/>
      <c r="BB738" s="3"/>
      <c r="BC738" s="3"/>
      <c r="BD738" s="3"/>
      <c r="BE738" s="204"/>
      <c r="BF738" s="292">
        <f t="shared" si="12"/>
        <v>0</v>
      </c>
      <c r="BG738" s="295">
        <f t="shared" si="13"/>
        <v>0</v>
      </c>
      <c r="BH738" s="296" t="str">
        <f t="shared" si="14"/>
        <v/>
      </c>
      <c r="BI738" s="3"/>
      <c r="BJ738" s="3"/>
      <c r="BK738" s="3"/>
      <c r="BL738" s="3"/>
      <c r="BM738" s="3"/>
      <c r="BN738" s="3"/>
      <c r="BS738" s="292">
        <f t="shared" si="15"/>
        <v>0</v>
      </c>
      <c r="BT738" s="295">
        <f t="shared" si="16"/>
        <v>0</v>
      </c>
      <c r="BU738" s="296" t="str">
        <f t="shared" si="17"/>
        <v/>
      </c>
      <c r="BV738" s="3"/>
      <c r="BW738" s="3"/>
      <c r="BX738" s="3"/>
      <c r="BY738" s="3"/>
      <c r="BZ738" s="3"/>
      <c r="CA738" s="3"/>
      <c r="CB738" s="3"/>
      <c r="CC738" s="3"/>
      <c r="CE738" s="3"/>
      <c r="CF738" s="3"/>
      <c r="CG738" s="1783">
        <f t="shared" si="40"/>
        <v>0</v>
      </c>
      <c r="CH738" s="1784"/>
      <c r="CI738" s="1789">
        <f t="shared" si="41"/>
        <v>0</v>
      </c>
      <c r="CJ738" s="1790"/>
      <c r="CK738" s="1783">
        <f t="shared" si="18"/>
        <v>0</v>
      </c>
      <c r="CL738" s="1784"/>
      <c r="CM738" s="1789">
        <f t="shared" si="19"/>
        <v>0</v>
      </c>
      <c r="CN738" s="1790"/>
      <c r="CO738" s="3"/>
      <c r="CP738" s="1785">
        <f t="shared" si="20"/>
        <v>0</v>
      </c>
      <c r="CQ738" s="1786"/>
      <c r="CR738" s="1786"/>
      <c r="CS738" s="1786"/>
      <c r="CT738" s="1787"/>
      <c r="CU738" s="1782">
        <f t="shared" si="21"/>
        <v>0</v>
      </c>
      <c r="CV738" s="1782"/>
      <c r="CW738" s="1782"/>
      <c r="CX738" s="1782"/>
      <c r="CY738" s="1782"/>
      <c r="CZ738" s="1782">
        <f t="shared" si="22"/>
        <v>0</v>
      </c>
      <c r="DA738" s="1782"/>
      <c r="DB738" s="1782"/>
      <c r="DC738" s="1782"/>
      <c r="DD738" s="1782"/>
      <c r="DE738" s="1782">
        <f t="shared" si="23"/>
        <v>0</v>
      </c>
      <c r="DF738" s="1782"/>
      <c r="DG738" s="1782"/>
      <c r="DH738" s="1782"/>
      <c r="DI738" s="1782"/>
      <c r="DJ738" s="1782">
        <f t="shared" si="24"/>
        <v>0</v>
      </c>
      <c r="DK738" s="1782"/>
      <c r="DL738" s="1782"/>
      <c r="DM738" s="1782"/>
      <c r="DN738" s="1782"/>
      <c r="DO738" s="1782">
        <f t="shared" si="25"/>
        <v>0</v>
      </c>
      <c r="DP738" s="1782"/>
      <c r="DQ738" s="1782"/>
      <c r="DR738" s="1782"/>
      <c r="DS738" s="1782"/>
      <c r="DT738" s="6"/>
      <c r="DU738" s="1780">
        <f t="shared" si="26"/>
        <v>0</v>
      </c>
      <c r="DV738" s="1780"/>
      <c r="DW738" s="1780"/>
      <c r="DX738" s="1780"/>
      <c r="DY738" s="1780"/>
      <c r="DZ738" s="1780">
        <f t="shared" si="27"/>
        <v>0</v>
      </c>
      <c r="EA738" s="1780"/>
      <c r="EB738" s="1780"/>
      <c r="EC738" s="1780"/>
      <c r="ED738" s="1780"/>
      <c r="EE738" s="1780">
        <f t="shared" si="28"/>
        <v>0</v>
      </c>
      <c r="EF738" s="1780"/>
      <c r="EG738" s="1780"/>
      <c r="EH738" s="1780"/>
      <c r="EI738" s="1780"/>
      <c r="EJ738" s="1780">
        <f t="shared" si="29"/>
        <v>0</v>
      </c>
      <c r="EK738" s="1780"/>
      <c r="EL738" s="1780"/>
      <c r="EM738" s="1780"/>
      <c r="EN738" s="1780"/>
      <c r="EO738" s="1780">
        <f t="shared" si="30"/>
        <v>0</v>
      </c>
      <c r="EP738" s="1780"/>
      <c r="EQ738" s="1780"/>
      <c r="ER738" s="1780"/>
      <c r="ES738" s="1780"/>
      <c r="ET738" s="1780">
        <f t="shared" si="31"/>
        <v>0</v>
      </c>
      <c r="EU738" s="1780"/>
      <c r="EV738" s="1780"/>
      <c r="EW738" s="1780"/>
      <c r="EX738" s="1780"/>
      <c r="EZ738" s="1783" t="str">
        <f t="shared" si="32"/>
        <v/>
      </c>
      <c r="FA738" s="1795"/>
      <c r="FB738" s="1795"/>
      <c r="FC738" s="1795"/>
      <c r="FD738" s="1784"/>
      <c r="FE738" s="1783" t="str">
        <f t="shared" si="33"/>
        <v/>
      </c>
      <c r="FF738" s="1795"/>
      <c r="FG738" s="1795"/>
      <c r="FH738" s="1795"/>
      <c r="FI738" s="1784"/>
      <c r="FJ738" s="1783" t="str">
        <f t="shared" si="34"/>
        <v/>
      </c>
      <c r="FK738" s="1795"/>
      <c r="FL738" s="1795"/>
      <c r="FM738" s="1795"/>
      <c r="FN738" s="1784"/>
      <c r="FO738" s="1783" t="str">
        <f t="shared" si="35"/>
        <v/>
      </c>
      <c r="FP738" s="1795"/>
      <c r="FQ738" s="1795"/>
      <c r="FR738" s="1795"/>
      <c r="FS738" s="1784"/>
      <c r="FT738" s="1783" t="str">
        <f t="shared" si="36"/>
        <v/>
      </c>
      <c r="FU738" s="1795"/>
      <c r="FV738" s="1795"/>
      <c r="FW738" s="1795"/>
      <c r="FX738" s="1784"/>
      <c r="FY738" s="1783" t="str">
        <f t="shared" si="37"/>
        <v/>
      </c>
      <c r="FZ738" s="1795"/>
      <c r="GA738" s="1795"/>
      <c r="GB738" s="1795"/>
      <c r="GC738" s="1784"/>
    </row>
    <row r="739" spans="1:185" ht="12.95" customHeight="1">
      <c r="B739" s="1627"/>
      <c r="C739" s="1628"/>
      <c r="D739" s="1628"/>
      <c r="E739" s="1628"/>
      <c r="F739" s="1629"/>
      <c r="G739" s="1621"/>
      <c r="H739" s="1622"/>
      <c r="I739" s="1622"/>
      <c r="J739" s="1623"/>
      <c r="K739" s="1624"/>
      <c r="L739" s="1625"/>
      <c r="M739" s="1625"/>
      <c r="N739" s="1626"/>
      <c r="O739" s="1662"/>
      <c r="P739" s="1663"/>
      <c r="Q739" s="1663"/>
      <c r="R739" s="1663"/>
      <c r="S739" s="1664"/>
      <c r="T739" s="1662"/>
      <c r="U739" s="1663"/>
      <c r="V739" s="1663"/>
      <c r="W739" s="1664"/>
      <c r="X739" s="1665">
        <f t="shared" si="10"/>
        <v>0</v>
      </c>
      <c r="Y739" s="1661"/>
      <c r="Z739" s="1661"/>
      <c r="AA739" s="1661"/>
      <c r="AB739" s="1666"/>
      <c r="AC739" s="1667"/>
      <c r="AD739" s="1668"/>
      <c r="AE739" s="1668"/>
      <c r="AF739" s="1668"/>
      <c r="AG739" s="1669"/>
      <c r="AH739" s="1685" t="str">
        <f t="shared" si="39"/>
        <v/>
      </c>
      <c r="AI739" s="1686"/>
      <c r="AJ739" s="1687"/>
      <c r="AK739" s="1627" t="s">
        <v>590</v>
      </c>
      <c r="AL739" s="1628"/>
      <c r="AM739" s="1628"/>
      <c r="AN739" s="1628"/>
      <c r="AO739" s="1629"/>
      <c r="AP739" s="3"/>
      <c r="AQ739" s="3"/>
      <c r="AR739" s="3"/>
      <c r="AS739" s="3"/>
      <c r="AY739" s="1077"/>
      <c r="AZ739" s="118" t="str">
        <f t="shared" si="11"/>
        <v>N/A</v>
      </c>
      <c r="BA739" s="3"/>
      <c r="BB739" s="3"/>
      <c r="BC739" s="3"/>
      <c r="BD739" s="3"/>
      <c r="BE739" s="204"/>
      <c r="BF739" s="292">
        <f t="shared" si="12"/>
        <v>0</v>
      </c>
      <c r="BG739" s="295">
        <f t="shared" si="13"/>
        <v>0</v>
      </c>
      <c r="BH739" s="296" t="str">
        <f t="shared" si="14"/>
        <v/>
      </c>
      <c r="BI739" s="3"/>
      <c r="BJ739" s="3"/>
      <c r="BK739" s="3"/>
      <c r="BL739" s="3"/>
      <c r="BM739" s="3"/>
      <c r="BN739" s="3"/>
      <c r="BS739" s="292">
        <f t="shared" si="15"/>
        <v>0</v>
      </c>
      <c r="BT739" s="295">
        <f t="shared" si="16"/>
        <v>0</v>
      </c>
      <c r="BU739" s="296" t="str">
        <f t="shared" si="17"/>
        <v/>
      </c>
      <c r="BV739" s="3"/>
      <c r="BW739" s="3"/>
      <c r="BX739" s="3"/>
      <c r="BY739" s="3"/>
      <c r="BZ739" s="3"/>
      <c r="CA739" s="3"/>
      <c r="CB739" s="3"/>
      <c r="CC739" s="3"/>
      <c r="CE739" s="3"/>
      <c r="CF739" s="3"/>
      <c r="CG739" s="1783">
        <f t="shared" si="40"/>
        <v>0</v>
      </c>
      <c r="CH739" s="1784"/>
      <c r="CI739" s="1789">
        <f t="shared" si="41"/>
        <v>0</v>
      </c>
      <c r="CJ739" s="1790"/>
      <c r="CK739" s="1783">
        <f t="shared" si="18"/>
        <v>0</v>
      </c>
      <c r="CL739" s="1784"/>
      <c r="CM739" s="1789">
        <f t="shared" si="19"/>
        <v>0</v>
      </c>
      <c r="CN739" s="1790"/>
      <c r="CO739" s="3"/>
      <c r="CP739" s="1785">
        <f t="shared" si="20"/>
        <v>0</v>
      </c>
      <c r="CQ739" s="1786"/>
      <c r="CR739" s="1786"/>
      <c r="CS739" s="1786"/>
      <c r="CT739" s="1787"/>
      <c r="CU739" s="1782">
        <f t="shared" si="21"/>
        <v>0</v>
      </c>
      <c r="CV739" s="1782"/>
      <c r="CW739" s="1782"/>
      <c r="CX739" s="1782"/>
      <c r="CY739" s="1782"/>
      <c r="CZ739" s="1782">
        <f t="shared" si="22"/>
        <v>0</v>
      </c>
      <c r="DA739" s="1782"/>
      <c r="DB739" s="1782"/>
      <c r="DC739" s="1782"/>
      <c r="DD739" s="1782"/>
      <c r="DE739" s="1782">
        <f t="shared" si="23"/>
        <v>0</v>
      </c>
      <c r="DF739" s="1782"/>
      <c r="DG739" s="1782"/>
      <c r="DH739" s="1782"/>
      <c r="DI739" s="1782"/>
      <c r="DJ739" s="1782">
        <f t="shared" si="24"/>
        <v>0</v>
      </c>
      <c r="DK739" s="1782"/>
      <c r="DL739" s="1782"/>
      <c r="DM739" s="1782"/>
      <c r="DN739" s="1782"/>
      <c r="DO739" s="1782">
        <f t="shared" si="25"/>
        <v>0</v>
      </c>
      <c r="DP739" s="1782"/>
      <c r="DQ739" s="1782"/>
      <c r="DR739" s="1782"/>
      <c r="DS739" s="1782"/>
      <c r="DT739" s="6"/>
      <c r="DU739" s="1780">
        <f t="shared" si="26"/>
        <v>0</v>
      </c>
      <c r="DV739" s="1780"/>
      <c r="DW739" s="1780"/>
      <c r="DX739" s="1780"/>
      <c r="DY739" s="1780"/>
      <c r="DZ739" s="1780">
        <f t="shared" si="27"/>
        <v>0</v>
      </c>
      <c r="EA739" s="1780"/>
      <c r="EB739" s="1780"/>
      <c r="EC739" s="1780"/>
      <c r="ED739" s="1780"/>
      <c r="EE739" s="1780">
        <f t="shared" si="28"/>
        <v>0</v>
      </c>
      <c r="EF739" s="1780"/>
      <c r="EG739" s="1780"/>
      <c r="EH739" s="1780"/>
      <c r="EI739" s="1780"/>
      <c r="EJ739" s="1780">
        <f t="shared" si="29"/>
        <v>0</v>
      </c>
      <c r="EK739" s="1780"/>
      <c r="EL739" s="1780"/>
      <c r="EM739" s="1780"/>
      <c r="EN739" s="1780"/>
      <c r="EO739" s="1780">
        <f t="shared" si="30"/>
        <v>0</v>
      </c>
      <c r="EP739" s="1780"/>
      <c r="EQ739" s="1780"/>
      <c r="ER739" s="1780"/>
      <c r="ES739" s="1780"/>
      <c r="ET739" s="1780">
        <f t="shared" si="31"/>
        <v>0</v>
      </c>
      <c r="EU739" s="1780"/>
      <c r="EV739" s="1780"/>
      <c r="EW739" s="1780"/>
      <c r="EX739" s="1780"/>
      <c r="EZ739" s="1783" t="str">
        <f t="shared" si="32"/>
        <v/>
      </c>
      <c r="FA739" s="1795"/>
      <c r="FB739" s="1795"/>
      <c r="FC739" s="1795"/>
      <c r="FD739" s="1784"/>
      <c r="FE739" s="1783" t="str">
        <f t="shared" si="33"/>
        <v/>
      </c>
      <c r="FF739" s="1795"/>
      <c r="FG739" s="1795"/>
      <c r="FH739" s="1795"/>
      <c r="FI739" s="1784"/>
      <c r="FJ739" s="1783" t="str">
        <f t="shared" si="34"/>
        <v/>
      </c>
      <c r="FK739" s="1795"/>
      <c r="FL739" s="1795"/>
      <c r="FM739" s="1795"/>
      <c r="FN739" s="1784"/>
      <c r="FO739" s="1783" t="str">
        <f t="shared" si="35"/>
        <v/>
      </c>
      <c r="FP739" s="1795"/>
      <c r="FQ739" s="1795"/>
      <c r="FR739" s="1795"/>
      <c r="FS739" s="1784"/>
      <c r="FT739" s="1783" t="str">
        <f t="shared" si="36"/>
        <v/>
      </c>
      <c r="FU739" s="1795"/>
      <c r="FV739" s="1795"/>
      <c r="FW739" s="1795"/>
      <c r="FX739" s="1784"/>
      <c r="FY739" s="1783" t="str">
        <f t="shared" si="37"/>
        <v/>
      </c>
      <c r="FZ739" s="1795"/>
      <c r="GA739" s="1795"/>
      <c r="GB739" s="1795"/>
      <c r="GC739" s="1784"/>
    </row>
    <row r="740" spans="1:185" ht="12.95" customHeight="1">
      <c r="B740" s="1627"/>
      <c r="C740" s="1628"/>
      <c r="D740" s="1628"/>
      <c r="E740" s="1628"/>
      <c r="F740" s="1629"/>
      <c r="G740" s="1621"/>
      <c r="H740" s="1622"/>
      <c r="I740" s="1622"/>
      <c r="J740" s="1623"/>
      <c r="K740" s="1624"/>
      <c r="L740" s="1625"/>
      <c r="M740" s="1625"/>
      <c r="N740" s="1626"/>
      <c r="O740" s="1662"/>
      <c r="P740" s="1663"/>
      <c r="Q740" s="1663"/>
      <c r="R740" s="1663"/>
      <c r="S740" s="1664"/>
      <c r="T740" s="1662"/>
      <c r="U740" s="1663"/>
      <c r="V740" s="1663"/>
      <c r="W740" s="1664"/>
      <c r="X740" s="1665">
        <f t="shared" si="10"/>
        <v>0</v>
      </c>
      <c r="Y740" s="1661"/>
      <c r="Z740" s="1661"/>
      <c r="AA740" s="1661"/>
      <c r="AB740" s="1666"/>
      <c r="AC740" s="1667"/>
      <c r="AD740" s="1668"/>
      <c r="AE740" s="1668"/>
      <c r="AF740" s="1668"/>
      <c r="AG740" s="1669"/>
      <c r="AH740" s="1685" t="str">
        <f t="shared" si="39"/>
        <v/>
      </c>
      <c r="AI740" s="1686"/>
      <c r="AJ740" s="1687"/>
      <c r="AK740" s="1627" t="s">
        <v>590</v>
      </c>
      <c r="AL740" s="1628"/>
      <c r="AM740" s="1628"/>
      <c r="AN740" s="1628"/>
      <c r="AO740" s="1629"/>
      <c r="AP740" s="3"/>
      <c r="AQ740" s="3"/>
      <c r="AR740" s="3"/>
      <c r="AS740" s="3"/>
      <c r="AY740" s="1077"/>
      <c r="AZ740" s="118" t="str">
        <f t="shared" si="11"/>
        <v>N/A</v>
      </c>
      <c r="BA740" s="3"/>
      <c r="BB740" s="3"/>
      <c r="BC740" s="3"/>
      <c r="BD740" s="3"/>
      <c r="BE740" s="204"/>
      <c r="BF740" s="292">
        <f t="shared" si="12"/>
        <v>0</v>
      </c>
      <c r="BG740" s="295">
        <f t="shared" si="13"/>
        <v>0</v>
      </c>
      <c r="BH740" s="296" t="str">
        <f t="shared" si="14"/>
        <v/>
      </c>
      <c r="BI740" s="3"/>
      <c r="BJ740" s="3"/>
      <c r="BK740" s="3"/>
      <c r="BL740" s="3"/>
      <c r="BM740" s="3"/>
      <c r="BN740" s="3"/>
      <c r="BS740" s="292">
        <f t="shared" si="15"/>
        <v>0</v>
      </c>
      <c r="BT740" s="295">
        <f t="shared" si="16"/>
        <v>0</v>
      </c>
      <c r="BU740" s="296" t="str">
        <f t="shared" si="17"/>
        <v/>
      </c>
      <c r="BV740" s="3"/>
      <c r="BW740" s="3"/>
      <c r="BX740" s="3"/>
      <c r="BY740" s="3"/>
      <c r="BZ740" s="3"/>
      <c r="CA740" s="3"/>
      <c r="CB740" s="3"/>
      <c r="CC740" s="3"/>
      <c r="CE740" s="3"/>
      <c r="CF740" s="3"/>
      <c r="CG740" s="1783">
        <f t="shared" si="40"/>
        <v>0</v>
      </c>
      <c r="CH740" s="1784"/>
      <c r="CI740" s="1789">
        <f t="shared" si="41"/>
        <v>0</v>
      </c>
      <c r="CJ740" s="1790"/>
      <c r="CK740" s="1783">
        <f t="shared" si="18"/>
        <v>0</v>
      </c>
      <c r="CL740" s="1784"/>
      <c r="CM740" s="1789">
        <f t="shared" si="19"/>
        <v>0</v>
      </c>
      <c r="CN740" s="1790"/>
      <c r="CO740" s="3"/>
      <c r="CP740" s="1785">
        <f t="shared" si="20"/>
        <v>0</v>
      </c>
      <c r="CQ740" s="1786"/>
      <c r="CR740" s="1786"/>
      <c r="CS740" s="1786"/>
      <c r="CT740" s="1787"/>
      <c r="CU740" s="1782">
        <f t="shared" si="21"/>
        <v>0</v>
      </c>
      <c r="CV740" s="1782"/>
      <c r="CW740" s="1782"/>
      <c r="CX740" s="1782"/>
      <c r="CY740" s="1782"/>
      <c r="CZ740" s="1782">
        <f t="shared" si="22"/>
        <v>0</v>
      </c>
      <c r="DA740" s="1782"/>
      <c r="DB740" s="1782"/>
      <c r="DC740" s="1782"/>
      <c r="DD740" s="1782"/>
      <c r="DE740" s="1782">
        <f t="shared" si="23"/>
        <v>0</v>
      </c>
      <c r="DF740" s="1782"/>
      <c r="DG740" s="1782"/>
      <c r="DH740" s="1782"/>
      <c r="DI740" s="1782"/>
      <c r="DJ740" s="1782">
        <f t="shared" si="24"/>
        <v>0</v>
      </c>
      <c r="DK740" s="1782"/>
      <c r="DL740" s="1782"/>
      <c r="DM740" s="1782"/>
      <c r="DN740" s="1782"/>
      <c r="DO740" s="1782">
        <f t="shared" si="25"/>
        <v>0</v>
      </c>
      <c r="DP740" s="1782"/>
      <c r="DQ740" s="1782"/>
      <c r="DR740" s="1782"/>
      <c r="DS740" s="1782"/>
      <c r="DT740" s="6"/>
      <c r="DU740" s="1780">
        <f t="shared" si="26"/>
        <v>0</v>
      </c>
      <c r="DV740" s="1780"/>
      <c r="DW740" s="1780"/>
      <c r="DX740" s="1780"/>
      <c r="DY740" s="1780"/>
      <c r="DZ740" s="1780">
        <f t="shared" si="27"/>
        <v>0</v>
      </c>
      <c r="EA740" s="1780"/>
      <c r="EB740" s="1780"/>
      <c r="EC740" s="1780"/>
      <c r="ED740" s="1780"/>
      <c r="EE740" s="1780">
        <f t="shared" si="28"/>
        <v>0</v>
      </c>
      <c r="EF740" s="1780"/>
      <c r="EG740" s="1780"/>
      <c r="EH740" s="1780"/>
      <c r="EI740" s="1780"/>
      <c r="EJ740" s="1780">
        <f t="shared" si="29"/>
        <v>0</v>
      </c>
      <c r="EK740" s="1780"/>
      <c r="EL740" s="1780"/>
      <c r="EM740" s="1780"/>
      <c r="EN740" s="1780"/>
      <c r="EO740" s="1780">
        <f t="shared" si="30"/>
        <v>0</v>
      </c>
      <c r="EP740" s="1780"/>
      <c r="EQ740" s="1780"/>
      <c r="ER740" s="1780"/>
      <c r="ES740" s="1780"/>
      <c r="ET740" s="1780">
        <f t="shared" si="31"/>
        <v>0</v>
      </c>
      <c r="EU740" s="1780"/>
      <c r="EV740" s="1780"/>
      <c r="EW740" s="1780"/>
      <c r="EX740" s="1780"/>
      <c r="EZ740" s="1783" t="str">
        <f t="shared" si="32"/>
        <v/>
      </c>
      <c r="FA740" s="1795"/>
      <c r="FB740" s="1795"/>
      <c r="FC740" s="1795"/>
      <c r="FD740" s="1784"/>
      <c r="FE740" s="1783" t="str">
        <f t="shared" si="33"/>
        <v/>
      </c>
      <c r="FF740" s="1795"/>
      <c r="FG740" s="1795"/>
      <c r="FH740" s="1795"/>
      <c r="FI740" s="1784"/>
      <c r="FJ740" s="1783" t="str">
        <f t="shared" si="34"/>
        <v/>
      </c>
      <c r="FK740" s="1795"/>
      <c r="FL740" s="1795"/>
      <c r="FM740" s="1795"/>
      <c r="FN740" s="1784"/>
      <c r="FO740" s="1783" t="str">
        <f t="shared" si="35"/>
        <v/>
      </c>
      <c r="FP740" s="1795"/>
      <c r="FQ740" s="1795"/>
      <c r="FR740" s="1795"/>
      <c r="FS740" s="1784"/>
      <c r="FT740" s="1783" t="str">
        <f t="shared" si="36"/>
        <v/>
      </c>
      <c r="FU740" s="1795"/>
      <c r="FV740" s="1795"/>
      <c r="FW740" s="1795"/>
      <c r="FX740" s="1784"/>
      <c r="FY740" s="1783" t="str">
        <f t="shared" si="37"/>
        <v/>
      </c>
      <c r="FZ740" s="1795"/>
      <c r="GA740" s="1795"/>
      <c r="GB740" s="1795"/>
      <c r="GC740" s="1784"/>
    </row>
    <row r="741" spans="1:185" ht="12.95" customHeight="1">
      <c r="B741" s="1627"/>
      <c r="C741" s="1628"/>
      <c r="D741" s="1628"/>
      <c r="E741" s="1628"/>
      <c r="F741" s="1629"/>
      <c r="G741" s="1621"/>
      <c r="H741" s="1622"/>
      <c r="I741" s="1622"/>
      <c r="J741" s="1623"/>
      <c r="K741" s="1624"/>
      <c r="L741" s="1625"/>
      <c r="M741" s="1625"/>
      <c r="N741" s="1626"/>
      <c r="O741" s="1662"/>
      <c r="P741" s="1663"/>
      <c r="Q741" s="1663"/>
      <c r="R741" s="1663"/>
      <c r="S741" s="1664"/>
      <c r="T741" s="1662"/>
      <c r="U741" s="1663"/>
      <c r="V741" s="1663"/>
      <c r="W741" s="1664"/>
      <c r="X741" s="1665">
        <f t="shared" si="10"/>
        <v>0</v>
      </c>
      <c r="Y741" s="1661"/>
      <c r="Z741" s="1661"/>
      <c r="AA741" s="1661"/>
      <c r="AB741" s="1666"/>
      <c r="AC741" s="1667"/>
      <c r="AD741" s="1668"/>
      <c r="AE741" s="1668"/>
      <c r="AF741" s="1668"/>
      <c r="AG741" s="1669"/>
      <c r="AH741" s="1685" t="str">
        <f t="shared" si="39"/>
        <v/>
      </c>
      <c r="AI741" s="1686"/>
      <c r="AJ741" s="1687"/>
      <c r="AK741" s="1627" t="s">
        <v>590</v>
      </c>
      <c r="AL741" s="1628"/>
      <c r="AM741" s="1628"/>
      <c r="AN741" s="1628"/>
      <c r="AO741" s="1629"/>
      <c r="AP741" s="3"/>
      <c r="AQ741" s="3"/>
      <c r="AR741" s="3"/>
      <c r="AS741" s="3"/>
      <c r="AY741" s="1077"/>
      <c r="AZ741" s="118" t="str">
        <f t="shared" si="11"/>
        <v>N/A</v>
      </c>
      <c r="BA741" s="3"/>
      <c r="BB741" s="3"/>
      <c r="BC741" s="3"/>
      <c r="BD741" s="3"/>
      <c r="BE741" s="204"/>
      <c r="BF741" s="292">
        <f t="shared" si="12"/>
        <v>0</v>
      </c>
      <c r="BG741" s="295">
        <f t="shared" si="13"/>
        <v>0</v>
      </c>
      <c r="BH741" s="296" t="str">
        <f t="shared" si="14"/>
        <v/>
      </c>
      <c r="BI741" s="3"/>
      <c r="BJ741" s="3"/>
      <c r="BK741" s="3"/>
      <c r="BL741" s="3"/>
      <c r="BM741" s="3"/>
      <c r="BN741" s="3"/>
      <c r="BS741" s="292">
        <f t="shared" si="15"/>
        <v>0</v>
      </c>
      <c r="BT741" s="295">
        <f t="shared" si="16"/>
        <v>0</v>
      </c>
      <c r="BU741" s="296" t="str">
        <f t="shared" si="17"/>
        <v/>
      </c>
      <c r="BV741" s="3"/>
      <c r="BW741" s="3"/>
      <c r="BX741" s="3"/>
      <c r="BY741" s="3"/>
      <c r="BZ741" s="3"/>
      <c r="CA741" s="3"/>
      <c r="CB741" s="3"/>
      <c r="CC741" s="3"/>
      <c r="CE741" s="3"/>
      <c r="CF741" s="3"/>
      <c r="CG741" s="1783">
        <f t="shared" si="40"/>
        <v>0</v>
      </c>
      <c r="CH741" s="1784"/>
      <c r="CI741" s="1789">
        <f t="shared" si="41"/>
        <v>0</v>
      </c>
      <c r="CJ741" s="1790"/>
      <c r="CK741" s="1783">
        <f t="shared" si="18"/>
        <v>0</v>
      </c>
      <c r="CL741" s="1784"/>
      <c r="CM741" s="1789">
        <f t="shared" si="19"/>
        <v>0</v>
      </c>
      <c r="CN741" s="1790"/>
      <c r="CO741" s="3"/>
      <c r="CP741" s="1785">
        <f t="shared" si="20"/>
        <v>0</v>
      </c>
      <c r="CQ741" s="1786"/>
      <c r="CR741" s="1786"/>
      <c r="CS741" s="1786"/>
      <c r="CT741" s="1787"/>
      <c r="CU741" s="1782">
        <f t="shared" si="21"/>
        <v>0</v>
      </c>
      <c r="CV741" s="1782"/>
      <c r="CW741" s="1782"/>
      <c r="CX741" s="1782"/>
      <c r="CY741" s="1782"/>
      <c r="CZ741" s="1782">
        <f t="shared" si="22"/>
        <v>0</v>
      </c>
      <c r="DA741" s="1782"/>
      <c r="DB741" s="1782"/>
      <c r="DC741" s="1782"/>
      <c r="DD741" s="1782"/>
      <c r="DE741" s="1782">
        <f t="shared" si="23"/>
        <v>0</v>
      </c>
      <c r="DF741" s="1782"/>
      <c r="DG741" s="1782"/>
      <c r="DH741" s="1782"/>
      <c r="DI741" s="1782"/>
      <c r="DJ741" s="1782">
        <f t="shared" si="24"/>
        <v>0</v>
      </c>
      <c r="DK741" s="1782"/>
      <c r="DL741" s="1782"/>
      <c r="DM741" s="1782"/>
      <c r="DN741" s="1782"/>
      <c r="DO741" s="1782">
        <f t="shared" si="25"/>
        <v>0</v>
      </c>
      <c r="DP741" s="1782"/>
      <c r="DQ741" s="1782"/>
      <c r="DR741" s="1782"/>
      <c r="DS741" s="1782"/>
      <c r="DT741" s="6"/>
      <c r="DU741" s="1780">
        <f t="shared" si="26"/>
        <v>0</v>
      </c>
      <c r="DV741" s="1780"/>
      <c r="DW741" s="1780"/>
      <c r="DX741" s="1780"/>
      <c r="DY741" s="1780"/>
      <c r="DZ741" s="1780">
        <f t="shared" si="27"/>
        <v>0</v>
      </c>
      <c r="EA741" s="1780"/>
      <c r="EB741" s="1780"/>
      <c r="EC741" s="1780"/>
      <c r="ED741" s="1780"/>
      <c r="EE741" s="1780">
        <f t="shared" si="28"/>
        <v>0</v>
      </c>
      <c r="EF741" s="1780"/>
      <c r="EG741" s="1780"/>
      <c r="EH741" s="1780"/>
      <c r="EI741" s="1780"/>
      <c r="EJ741" s="1780">
        <f t="shared" si="29"/>
        <v>0</v>
      </c>
      <c r="EK741" s="1780"/>
      <c r="EL741" s="1780"/>
      <c r="EM741" s="1780"/>
      <c r="EN741" s="1780"/>
      <c r="EO741" s="1780">
        <f t="shared" si="30"/>
        <v>0</v>
      </c>
      <c r="EP741" s="1780"/>
      <c r="EQ741" s="1780"/>
      <c r="ER741" s="1780"/>
      <c r="ES741" s="1780"/>
      <c r="ET741" s="1780">
        <f t="shared" si="31"/>
        <v>0</v>
      </c>
      <c r="EU741" s="1780"/>
      <c r="EV741" s="1780"/>
      <c r="EW741" s="1780"/>
      <c r="EX741" s="1780"/>
      <c r="EZ741" s="1783" t="str">
        <f t="shared" si="32"/>
        <v/>
      </c>
      <c r="FA741" s="1795"/>
      <c r="FB741" s="1795"/>
      <c r="FC741" s="1795"/>
      <c r="FD741" s="1784"/>
      <c r="FE741" s="1783" t="str">
        <f t="shared" si="33"/>
        <v/>
      </c>
      <c r="FF741" s="1795"/>
      <c r="FG741" s="1795"/>
      <c r="FH741" s="1795"/>
      <c r="FI741" s="1784"/>
      <c r="FJ741" s="1783" t="str">
        <f t="shared" si="34"/>
        <v/>
      </c>
      <c r="FK741" s="1795"/>
      <c r="FL741" s="1795"/>
      <c r="FM741" s="1795"/>
      <c r="FN741" s="1784"/>
      <c r="FO741" s="1783" t="str">
        <f t="shared" si="35"/>
        <v/>
      </c>
      <c r="FP741" s="1795"/>
      <c r="FQ741" s="1795"/>
      <c r="FR741" s="1795"/>
      <c r="FS741" s="1784"/>
      <c r="FT741" s="1783" t="str">
        <f t="shared" si="36"/>
        <v/>
      </c>
      <c r="FU741" s="1795"/>
      <c r="FV741" s="1795"/>
      <c r="FW741" s="1795"/>
      <c r="FX741" s="1784"/>
      <c r="FY741" s="1783" t="str">
        <f t="shared" si="37"/>
        <v/>
      </c>
      <c r="FZ741" s="1795"/>
      <c r="GA741" s="1795"/>
      <c r="GB741" s="1795"/>
      <c r="GC741" s="1784"/>
    </row>
    <row r="742" spans="1:185" ht="12.95" customHeight="1">
      <c r="B742" s="1627"/>
      <c r="C742" s="1628"/>
      <c r="D742" s="1628"/>
      <c r="E742" s="1628"/>
      <c r="F742" s="1629"/>
      <c r="G742" s="1621"/>
      <c r="H742" s="1622"/>
      <c r="I742" s="1622"/>
      <c r="J742" s="1623"/>
      <c r="K742" s="1624"/>
      <c r="L742" s="1625"/>
      <c r="M742" s="1625"/>
      <c r="N742" s="1626"/>
      <c r="O742" s="1662"/>
      <c r="P742" s="1663"/>
      <c r="Q742" s="1663"/>
      <c r="R742" s="1663"/>
      <c r="S742" s="1664"/>
      <c r="T742" s="1662"/>
      <c r="U742" s="1663"/>
      <c r="V742" s="1663"/>
      <c r="W742" s="1664"/>
      <c r="X742" s="1665">
        <f t="shared" si="10"/>
        <v>0</v>
      </c>
      <c r="Y742" s="1661"/>
      <c r="Z742" s="1661"/>
      <c r="AA742" s="1661"/>
      <c r="AB742" s="1666"/>
      <c r="AC742" s="1667"/>
      <c r="AD742" s="1668"/>
      <c r="AE742" s="1668"/>
      <c r="AF742" s="1668"/>
      <c r="AG742" s="1669"/>
      <c r="AH742" s="1685" t="str">
        <f t="shared" si="39"/>
        <v/>
      </c>
      <c r="AI742" s="1686"/>
      <c r="AJ742" s="1687"/>
      <c r="AK742" s="1627" t="s">
        <v>590</v>
      </c>
      <c r="AL742" s="1628"/>
      <c r="AM742" s="1628"/>
      <c r="AN742" s="1628"/>
      <c r="AO742" s="1629"/>
      <c r="AP742" s="3"/>
      <c r="AQ742" s="3"/>
      <c r="AR742" s="3"/>
      <c r="AS742" s="3"/>
      <c r="AY742" s="1077"/>
      <c r="AZ742" s="118" t="str">
        <f t="shared" si="11"/>
        <v>N/A</v>
      </c>
      <c r="BA742" s="3"/>
      <c r="BB742" s="3"/>
      <c r="BC742" s="3"/>
      <c r="BD742" s="3"/>
      <c r="BE742" s="204"/>
      <c r="BF742" s="292">
        <f t="shared" si="12"/>
        <v>0</v>
      </c>
      <c r="BG742" s="295">
        <f t="shared" si="13"/>
        <v>0</v>
      </c>
      <c r="BH742" s="296" t="str">
        <f t="shared" si="14"/>
        <v/>
      </c>
      <c r="BI742" s="3"/>
      <c r="BJ742" s="3"/>
      <c r="BK742" s="3"/>
      <c r="BL742" s="3"/>
      <c r="BM742" s="3"/>
      <c r="BN742" s="3"/>
      <c r="BS742" s="292">
        <f t="shared" si="15"/>
        <v>0</v>
      </c>
      <c r="BT742" s="295">
        <f t="shared" si="16"/>
        <v>0</v>
      </c>
      <c r="BU742" s="296" t="str">
        <f t="shared" si="17"/>
        <v/>
      </c>
      <c r="BV742" s="3"/>
      <c r="BW742" s="3"/>
      <c r="BX742" s="3"/>
      <c r="BY742" s="3"/>
      <c r="BZ742" s="3"/>
      <c r="CA742" s="3"/>
      <c r="CB742" s="3"/>
      <c r="CC742" s="3"/>
      <c r="CE742" s="3"/>
      <c r="CF742" s="3"/>
      <c r="CG742" s="1783">
        <f t="shared" si="40"/>
        <v>0</v>
      </c>
      <c r="CH742" s="1784"/>
      <c r="CI742" s="1789">
        <f t="shared" si="41"/>
        <v>0</v>
      </c>
      <c r="CJ742" s="1790"/>
      <c r="CK742" s="1783">
        <f t="shared" si="18"/>
        <v>0</v>
      </c>
      <c r="CL742" s="1784"/>
      <c r="CM742" s="1789">
        <f t="shared" si="19"/>
        <v>0</v>
      </c>
      <c r="CN742" s="1790"/>
      <c r="CO742" s="3"/>
      <c r="CP742" s="1785">
        <f t="shared" si="20"/>
        <v>0</v>
      </c>
      <c r="CQ742" s="1786"/>
      <c r="CR742" s="1786"/>
      <c r="CS742" s="1786"/>
      <c r="CT742" s="1787"/>
      <c r="CU742" s="1782">
        <f t="shared" si="21"/>
        <v>0</v>
      </c>
      <c r="CV742" s="1782"/>
      <c r="CW742" s="1782"/>
      <c r="CX742" s="1782"/>
      <c r="CY742" s="1782"/>
      <c r="CZ742" s="1782">
        <f t="shared" si="22"/>
        <v>0</v>
      </c>
      <c r="DA742" s="1782"/>
      <c r="DB742" s="1782"/>
      <c r="DC742" s="1782"/>
      <c r="DD742" s="1782"/>
      <c r="DE742" s="1782">
        <f t="shared" si="23"/>
        <v>0</v>
      </c>
      <c r="DF742" s="1782"/>
      <c r="DG742" s="1782"/>
      <c r="DH742" s="1782"/>
      <c r="DI742" s="1782"/>
      <c r="DJ742" s="1782">
        <f t="shared" si="24"/>
        <v>0</v>
      </c>
      <c r="DK742" s="1782"/>
      <c r="DL742" s="1782"/>
      <c r="DM742" s="1782"/>
      <c r="DN742" s="1782"/>
      <c r="DO742" s="1782">
        <f t="shared" si="25"/>
        <v>0</v>
      </c>
      <c r="DP742" s="1782"/>
      <c r="DQ742" s="1782"/>
      <c r="DR742" s="1782"/>
      <c r="DS742" s="1782"/>
      <c r="DT742" s="6"/>
      <c r="DU742" s="1780">
        <f t="shared" si="26"/>
        <v>0</v>
      </c>
      <c r="DV742" s="1780"/>
      <c r="DW742" s="1780"/>
      <c r="DX742" s="1780"/>
      <c r="DY742" s="1780"/>
      <c r="DZ742" s="1780">
        <f t="shared" si="27"/>
        <v>0</v>
      </c>
      <c r="EA742" s="1780"/>
      <c r="EB742" s="1780"/>
      <c r="EC742" s="1780"/>
      <c r="ED742" s="1780"/>
      <c r="EE742" s="1780">
        <f t="shared" si="28"/>
        <v>0</v>
      </c>
      <c r="EF742" s="1780"/>
      <c r="EG742" s="1780"/>
      <c r="EH742" s="1780"/>
      <c r="EI742" s="1780"/>
      <c r="EJ742" s="1780">
        <f t="shared" si="29"/>
        <v>0</v>
      </c>
      <c r="EK742" s="1780"/>
      <c r="EL742" s="1780"/>
      <c r="EM742" s="1780"/>
      <c r="EN742" s="1780"/>
      <c r="EO742" s="1780">
        <f t="shared" si="30"/>
        <v>0</v>
      </c>
      <c r="EP742" s="1780"/>
      <c r="EQ742" s="1780"/>
      <c r="ER742" s="1780"/>
      <c r="ES742" s="1780"/>
      <c r="ET742" s="1780">
        <f t="shared" si="31"/>
        <v>0</v>
      </c>
      <c r="EU742" s="1780"/>
      <c r="EV742" s="1780"/>
      <c r="EW742" s="1780"/>
      <c r="EX742" s="1780"/>
      <c r="EZ742" s="1783" t="str">
        <f t="shared" si="32"/>
        <v/>
      </c>
      <c r="FA742" s="1795"/>
      <c r="FB742" s="1795"/>
      <c r="FC742" s="1795"/>
      <c r="FD742" s="1784"/>
      <c r="FE742" s="1783" t="str">
        <f t="shared" si="33"/>
        <v/>
      </c>
      <c r="FF742" s="1795"/>
      <c r="FG742" s="1795"/>
      <c r="FH742" s="1795"/>
      <c r="FI742" s="1784"/>
      <c r="FJ742" s="1783" t="str">
        <f t="shared" si="34"/>
        <v/>
      </c>
      <c r="FK742" s="1795"/>
      <c r="FL742" s="1795"/>
      <c r="FM742" s="1795"/>
      <c r="FN742" s="1784"/>
      <c r="FO742" s="1783" t="str">
        <f t="shared" si="35"/>
        <v/>
      </c>
      <c r="FP742" s="1795"/>
      <c r="FQ742" s="1795"/>
      <c r="FR742" s="1795"/>
      <c r="FS742" s="1784"/>
      <c r="FT742" s="1783" t="str">
        <f t="shared" si="36"/>
        <v/>
      </c>
      <c r="FU742" s="1795"/>
      <c r="FV742" s="1795"/>
      <c r="FW742" s="1795"/>
      <c r="FX742" s="1784"/>
      <c r="FY742" s="1783" t="str">
        <f t="shared" si="37"/>
        <v/>
      </c>
      <c r="FZ742" s="1795"/>
      <c r="GA742" s="1795"/>
      <c r="GB742" s="1795"/>
      <c r="GC742" s="1784"/>
    </row>
    <row r="743" spans="1:185" ht="12.95" customHeight="1">
      <c r="B743" s="1627"/>
      <c r="C743" s="1628"/>
      <c r="D743" s="1628"/>
      <c r="E743" s="1628"/>
      <c r="F743" s="1629"/>
      <c r="G743" s="1621"/>
      <c r="H743" s="1622"/>
      <c r="I743" s="1622"/>
      <c r="J743" s="1623"/>
      <c r="K743" s="1624"/>
      <c r="L743" s="1625"/>
      <c r="M743" s="1625"/>
      <c r="N743" s="1626"/>
      <c r="O743" s="1662"/>
      <c r="P743" s="1663"/>
      <c r="Q743" s="1663"/>
      <c r="R743" s="1663"/>
      <c r="S743" s="1664"/>
      <c r="T743" s="1662"/>
      <c r="U743" s="1663"/>
      <c r="V743" s="1663"/>
      <c r="W743" s="1664"/>
      <c r="X743" s="1665">
        <f t="shared" si="10"/>
        <v>0</v>
      </c>
      <c r="Y743" s="1661"/>
      <c r="Z743" s="1661"/>
      <c r="AA743" s="1661"/>
      <c r="AB743" s="1666"/>
      <c r="AC743" s="1667"/>
      <c r="AD743" s="1668"/>
      <c r="AE743" s="1668"/>
      <c r="AF743" s="1668"/>
      <c r="AG743" s="1669"/>
      <c r="AH743" s="1685" t="str">
        <f t="shared" si="39"/>
        <v/>
      </c>
      <c r="AI743" s="1686"/>
      <c r="AJ743" s="1687"/>
      <c r="AK743" s="1627" t="s">
        <v>590</v>
      </c>
      <c r="AL743" s="1628"/>
      <c r="AM743" s="1628"/>
      <c r="AN743" s="1628"/>
      <c r="AO743" s="1629"/>
      <c r="AP743" s="3"/>
      <c r="AQ743" s="3"/>
      <c r="AR743" s="3"/>
      <c r="AS743" s="3"/>
      <c r="AY743" s="1077"/>
      <c r="AZ743" s="118" t="str">
        <f t="shared" si="11"/>
        <v>N/A</v>
      </c>
      <c r="BA743" s="3"/>
      <c r="BB743" s="3"/>
      <c r="BC743" s="3"/>
      <c r="BD743" s="3"/>
      <c r="BE743" s="204"/>
      <c r="BF743" s="292">
        <f t="shared" si="12"/>
        <v>0</v>
      </c>
      <c r="BG743" s="295">
        <f t="shared" si="13"/>
        <v>0</v>
      </c>
      <c r="BH743" s="296" t="str">
        <f t="shared" si="14"/>
        <v/>
      </c>
      <c r="BI743" s="3"/>
      <c r="BJ743" s="3"/>
      <c r="BK743" s="3"/>
      <c r="BL743" s="3"/>
      <c r="BM743" s="3"/>
      <c r="BN743" s="3"/>
      <c r="BS743" s="292">
        <f t="shared" si="15"/>
        <v>0</v>
      </c>
      <c r="BT743" s="295">
        <f t="shared" si="16"/>
        <v>0</v>
      </c>
      <c r="BU743" s="296" t="str">
        <f t="shared" si="17"/>
        <v/>
      </c>
      <c r="BV743" s="3"/>
      <c r="BW743" s="3"/>
      <c r="BX743" s="3"/>
      <c r="BY743" s="3"/>
      <c r="BZ743" s="3"/>
      <c r="CA743" s="3"/>
      <c r="CB743" s="3"/>
      <c r="CC743" s="3"/>
      <c r="CE743" s="3"/>
      <c r="CF743" s="3"/>
      <c r="CG743" s="1783">
        <f t="shared" si="40"/>
        <v>0</v>
      </c>
      <c r="CH743" s="1784"/>
      <c r="CI743" s="1789">
        <f t="shared" si="41"/>
        <v>0</v>
      </c>
      <c r="CJ743" s="1790"/>
      <c r="CK743" s="1783">
        <f t="shared" si="18"/>
        <v>0</v>
      </c>
      <c r="CL743" s="1784"/>
      <c r="CM743" s="1789">
        <f t="shared" si="19"/>
        <v>0</v>
      </c>
      <c r="CN743" s="1790"/>
      <c r="CO743" s="3"/>
      <c r="CP743" s="1785">
        <f t="shared" si="20"/>
        <v>0</v>
      </c>
      <c r="CQ743" s="1786"/>
      <c r="CR743" s="1786"/>
      <c r="CS743" s="1786"/>
      <c r="CT743" s="1787"/>
      <c r="CU743" s="1782">
        <f t="shared" si="21"/>
        <v>0</v>
      </c>
      <c r="CV743" s="1782"/>
      <c r="CW743" s="1782"/>
      <c r="CX743" s="1782"/>
      <c r="CY743" s="1782"/>
      <c r="CZ743" s="1782">
        <f t="shared" si="22"/>
        <v>0</v>
      </c>
      <c r="DA743" s="1782"/>
      <c r="DB743" s="1782"/>
      <c r="DC743" s="1782"/>
      <c r="DD743" s="1782"/>
      <c r="DE743" s="1782">
        <f t="shared" si="23"/>
        <v>0</v>
      </c>
      <c r="DF743" s="1782"/>
      <c r="DG743" s="1782"/>
      <c r="DH743" s="1782"/>
      <c r="DI743" s="1782"/>
      <c r="DJ743" s="1782">
        <f t="shared" si="24"/>
        <v>0</v>
      </c>
      <c r="DK743" s="1782"/>
      <c r="DL743" s="1782"/>
      <c r="DM743" s="1782"/>
      <c r="DN743" s="1782"/>
      <c r="DO743" s="1782">
        <f t="shared" si="25"/>
        <v>0</v>
      </c>
      <c r="DP743" s="1782"/>
      <c r="DQ743" s="1782"/>
      <c r="DR743" s="1782"/>
      <c r="DS743" s="1782"/>
      <c r="DT743" s="6"/>
      <c r="DU743" s="1780">
        <f t="shared" si="26"/>
        <v>0</v>
      </c>
      <c r="DV743" s="1780"/>
      <c r="DW743" s="1780"/>
      <c r="DX743" s="1780"/>
      <c r="DY743" s="1780"/>
      <c r="DZ743" s="1780">
        <f t="shared" si="27"/>
        <v>0</v>
      </c>
      <c r="EA743" s="1780"/>
      <c r="EB743" s="1780"/>
      <c r="EC743" s="1780"/>
      <c r="ED743" s="1780"/>
      <c r="EE743" s="1780">
        <f t="shared" si="28"/>
        <v>0</v>
      </c>
      <c r="EF743" s="1780"/>
      <c r="EG743" s="1780"/>
      <c r="EH743" s="1780"/>
      <c r="EI743" s="1780"/>
      <c r="EJ743" s="1780">
        <f t="shared" si="29"/>
        <v>0</v>
      </c>
      <c r="EK743" s="1780"/>
      <c r="EL743" s="1780"/>
      <c r="EM743" s="1780"/>
      <c r="EN743" s="1780"/>
      <c r="EO743" s="1780">
        <f t="shared" si="30"/>
        <v>0</v>
      </c>
      <c r="EP743" s="1780"/>
      <c r="EQ743" s="1780"/>
      <c r="ER743" s="1780"/>
      <c r="ES743" s="1780"/>
      <c r="ET743" s="1780">
        <f t="shared" si="31"/>
        <v>0</v>
      </c>
      <c r="EU743" s="1780"/>
      <c r="EV743" s="1780"/>
      <c r="EW743" s="1780"/>
      <c r="EX743" s="1780"/>
      <c r="EZ743" s="1783" t="str">
        <f t="shared" si="32"/>
        <v/>
      </c>
      <c r="FA743" s="1795"/>
      <c r="FB743" s="1795"/>
      <c r="FC743" s="1795"/>
      <c r="FD743" s="1784"/>
      <c r="FE743" s="1783" t="str">
        <f t="shared" si="33"/>
        <v/>
      </c>
      <c r="FF743" s="1795"/>
      <c r="FG743" s="1795"/>
      <c r="FH743" s="1795"/>
      <c r="FI743" s="1784"/>
      <c r="FJ743" s="1783" t="str">
        <f t="shared" si="34"/>
        <v/>
      </c>
      <c r="FK743" s="1795"/>
      <c r="FL743" s="1795"/>
      <c r="FM743" s="1795"/>
      <c r="FN743" s="1784"/>
      <c r="FO743" s="1783" t="str">
        <f t="shared" si="35"/>
        <v/>
      </c>
      <c r="FP743" s="1795"/>
      <c r="FQ743" s="1795"/>
      <c r="FR743" s="1795"/>
      <c r="FS743" s="1784"/>
      <c r="FT743" s="1783" t="str">
        <f t="shared" si="36"/>
        <v/>
      </c>
      <c r="FU743" s="1795"/>
      <c r="FV743" s="1795"/>
      <c r="FW743" s="1795"/>
      <c r="FX743" s="1784"/>
      <c r="FY743" s="1783" t="str">
        <f t="shared" si="37"/>
        <v/>
      </c>
      <c r="FZ743" s="1795"/>
      <c r="GA743" s="1795"/>
      <c r="GB743" s="1795"/>
      <c r="GC743" s="1784"/>
    </row>
    <row r="744" spans="1:185" ht="12.95" customHeight="1">
      <c r="B744" s="1627"/>
      <c r="C744" s="1628"/>
      <c r="D744" s="1628"/>
      <c r="E744" s="1628"/>
      <c r="F744" s="1629"/>
      <c r="G744" s="1621"/>
      <c r="H744" s="1622"/>
      <c r="I744" s="1622"/>
      <c r="J744" s="1623"/>
      <c r="K744" s="1624"/>
      <c r="L744" s="1625"/>
      <c r="M744" s="1625"/>
      <c r="N744" s="1626"/>
      <c r="O744" s="1662"/>
      <c r="P744" s="1663"/>
      <c r="Q744" s="1663"/>
      <c r="R744" s="1663"/>
      <c r="S744" s="1664"/>
      <c r="T744" s="1662"/>
      <c r="U744" s="1663"/>
      <c r="V744" s="1663"/>
      <c r="W744" s="1664"/>
      <c r="X744" s="1665">
        <f t="shared" si="10"/>
        <v>0</v>
      </c>
      <c r="Y744" s="1661"/>
      <c r="Z744" s="1661"/>
      <c r="AA744" s="1661"/>
      <c r="AB744" s="1666"/>
      <c r="AC744" s="1667"/>
      <c r="AD744" s="1668"/>
      <c r="AE744" s="1668"/>
      <c r="AF744" s="1668"/>
      <c r="AG744" s="1669"/>
      <c r="AH744" s="1685" t="str">
        <f t="shared" si="39"/>
        <v/>
      </c>
      <c r="AI744" s="1686"/>
      <c r="AJ744" s="1687"/>
      <c r="AK744" s="1627" t="s">
        <v>590</v>
      </c>
      <c r="AL744" s="1628"/>
      <c r="AM744" s="1628"/>
      <c r="AN744" s="1628"/>
      <c r="AO744" s="1629"/>
      <c r="AP744" s="3"/>
      <c r="AQ744" s="3"/>
      <c r="AR744" s="3"/>
      <c r="AS744" s="3"/>
      <c r="AY744" s="1077"/>
      <c r="AZ744" s="118" t="str">
        <f t="shared" si="11"/>
        <v>N/A</v>
      </c>
      <c r="BA744" s="3"/>
      <c r="BB744" s="3"/>
      <c r="BC744" s="3"/>
      <c r="BD744" s="3"/>
      <c r="BE744" s="204"/>
      <c r="BF744" s="292">
        <f t="shared" si="12"/>
        <v>0</v>
      </c>
      <c r="BG744" s="295">
        <f t="shared" si="13"/>
        <v>0</v>
      </c>
      <c r="BH744" s="296" t="str">
        <f t="shared" si="14"/>
        <v/>
      </c>
      <c r="BI744" s="3"/>
      <c r="BJ744" s="3"/>
      <c r="BK744" s="3"/>
      <c r="BL744" s="3"/>
      <c r="BM744" s="3"/>
      <c r="BN744" s="3"/>
      <c r="BS744" s="292">
        <f t="shared" si="15"/>
        <v>0</v>
      </c>
      <c r="BT744" s="295">
        <f t="shared" si="16"/>
        <v>0</v>
      </c>
      <c r="BU744" s="296" t="str">
        <f t="shared" si="17"/>
        <v/>
      </c>
      <c r="BV744" s="3"/>
      <c r="BW744" s="3"/>
      <c r="BX744" s="3"/>
      <c r="BY744" s="3"/>
      <c r="BZ744" s="3"/>
      <c r="CA744" s="3"/>
      <c r="CB744" s="3"/>
      <c r="CC744" s="3"/>
      <c r="CE744" s="3"/>
      <c r="CF744" s="3"/>
      <c r="CG744" s="1783">
        <f t="shared" si="40"/>
        <v>0</v>
      </c>
      <c r="CH744" s="1784"/>
      <c r="CI744" s="1789">
        <f t="shared" si="41"/>
        <v>0</v>
      </c>
      <c r="CJ744" s="1790"/>
      <c r="CK744" s="1783">
        <f t="shared" si="18"/>
        <v>0</v>
      </c>
      <c r="CL744" s="1784"/>
      <c r="CM744" s="1789">
        <f t="shared" si="19"/>
        <v>0</v>
      </c>
      <c r="CN744" s="1790"/>
      <c r="CO744" s="3"/>
      <c r="CP744" s="1785">
        <f t="shared" si="20"/>
        <v>0</v>
      </c>
      <c r="CQ744" s="1786"/>
      <c r="CR744" s="1786"/>
      <c r="CS744" s="1786"/>
      <c r="CT744" s="1787"/>
      <c r="CU744" s="1782">
        <f t="shared" si="21"/>
        <v>0</v>
      </c>
      <c r="CV744" s="1782"/>
      <c r="CW744" s="1782"/>
      <c r="CX744" s="1782"/>
      <c r="CY744" s="1782"/>
      <c r="CZ744" s="1782">
        <f t="shared" si="22"/>
        <v>0</v>
      </c>
      <c r="DA744" s="1782"/>
      <c r="DB744" s="1782"/>
      <c r="DC744" s="1782"/>
      <c r="DD744" s="1782"/>
      <c r="DE744" s="1782">
        <f t="shared" si="23"/>
        <v>0</v>
      </c>
      <c r="DF744" s="1782"/>
      <c r="DG744" s="1782"/>
      <c r="DH744" s="1782"/>
      <c r="DI744" s="1782"/>
      <c r="DJ744" s="1782">
        <f t="shared" si="24"/>
        <v>0</v>
      </c>
      <c r="DK744" s="1782"/>
      <c r="DL744" s="1782"/>
      <c r="DM744" s="1782"/>
      <c r="DN744" s="1782"/>
      <c r="DO744" s="1782">
        <f t="shared" si="25"/>
        <v>0</v>
      </c>
      <c r="DP744" s="1782"/>
      <c r="DQ744" s="1782"/>
      <c r="DR744" s="1782"/>
      <c r="DS744" s="1782"/>
      <c r="DT744" s="6"/>
      <c r="DU744" s="1780">
        <f t="shared" si="26"/>
        <v>0</v>
      </c>
      <c r="DV744" s="1780"/>
      <c r="DW744" s="1780"/>
      <c r="DX744" s="1780"/>
      <c r="DY744" s="1780"/>
      <c r="DZ744" s="1780">
        <f t="shared" si="27"/>
        <v>0</v>
      </c>
      <c r="EA744" s="1780"/>
      <c r="EB744" s="1780"/>
      <c r="EC744" s="1780"/>
      <c r="ED744" s="1780"/>
      <c r="EE744" s="1780">
        <f t="shared" si="28"/>
        <v>0</v>
      </c>
      <c r="EF744" s="1780"/>
      <c r="EG744" s="1780"/>
      <c r="EH744" s="1780"/>
      <c r="EI744" s="1780"/>
      <c r="EJ744" s="1780">
        <f t="shared" si="29"/>
        <v>0</v>
      </c>
      <c r="EK744" s="1780"/>
      <c r="EL744" s="1780"/>
      <c r="EM744" s="1780"/>
      <c r="EN744" s="1780"/>
      <c r="EO744" s="1780">
        <f t="shared" si="30"/>
        <v>0</v>
      </c>
      <c r="EP744" s="1780"/>
      <c r="EQ744" s="1780"/>
      <c r="ER744" s="1780"/>
      <c r="ES744" s="1780"/>
      <c r="ET744" s="1780">
        <f t="shared" si="31"/>
        <v>0</v>
      </c>
      <c r="EU744" s="1780"/>
      <c r="EV744" s="1780"/>
      <c r="EW744" s="1780"/>
      <c r="EX744" s="1780"/>
      <c r="EZ744" s="1783" t="str">
        <f t="shared" si="32"/>
        <v/>
      </c>
      <c r="FA744" s="1795"/>
      <c r="FB744" s="1795"/>
      <c r="FC744" s="1795"/>
      <c r="FD744" s="1784"/>
      <c r="FE744" s="1783" t="str">
        <f t="shared" si="33"/>
        <v/>
      </c>
      <c r="FF744" s="1795"/>
      <c r="FG744" s="1795"/>
      <c r="FH744" s="1795"/>
      <c r="FI744" s="1784"/>
      <c r="FJ744" s="1783" t="str">
        <f t="shared" si="34"/>
        <v/>
      </c>
      <c r="FK744" s="1795"/>
      <c r="FL744" s="1795"/>
      <c r="FM744" s="1795"/>
      <c r="FN744" s="1784"/>
      <c r="FO744" s="1783" t="str">
        <f t="shared" si="35"/>
        <v/>
      </c>
      <c r="FP744" s="1795"/>
      <c r="FQ744" s="1795"/>
      <c r="FR744" s="1795"/>
      <c r="FS744" s="1784"/>
      <c r="FT744" s="1783" t="str">
        <f t="shared" si="36"/>
        <v/>
      </c>
      <c r="FU744" s="1795"/>
      <c r="FV744" s="1795"/>
      <c r="FW744" s="1795"/>
      <c r="FX744" s="1784"/>
      <c r="FY744" s="1783" t="str">
        <f t="shared" si="37"/>
        <v/>
      </c>
      <c r="FZ744" s="1795"/>
      <c r="GA744" s="1795"/>
      <c r="GB744" s="1795"/>
      <c r="GC744" s="1784"/>
    </row>
    <row r="745" spans="1:185" ht="12.95" customHeight="1">
      <c r="B745" s="1627"/>
      <c r="C745" s="1628"/>
      <c r="D745" s="1628"/>
      <c r="E745" s="1628"/>
      <c r="F745" s="1629"/>
      <c r="G745" s="1621"/>
      <c r="H745" s="1622"/>
      <c r="I745" s="1622"/>
      <c r="J745" s="1623"/>
      <c r="K745" s="1624"/>
      <c r="L745" s="1625"/>
      <c r="M745" s="1625"/>
      <c r="N745" s="1626"/>
      <c r="O745" s="1662"/>
      <c r="P745" s="1663"/>
      <c r="Q745" s="1663"/>
      <c r="R745" s="1663"/>
      <c r="S745" s="1664"/>
      <c r="T745" s="1662"/>
      <c r="U745" s="1663"/>
      <c r="V745" s="1663"/>
      <c r="W745" s="1664"/>
      <c r="X745" s="1665">
        <f t="shared" si="10"/>
        <v>0</v>
      </c>
      <c r="Y745" s="1661"/>
      <c r="Z745" s="1661"/>
      <c r="AA745" s="1661"/>
      <c r="AB745" s="1666"/>
      <c r="AC745" s="1667"/>
      <c r="AD745" s="1668"/>
      <c r="AE745" s="1668"/>
      <c r="AF745" s="1668"/>
      <c r="AG745" s="1669"/>
      <c r="AH745" s="1685" t="str">
        <f t="shared" si="39"/>
        <v/>
      </c>
      <c r="AI745" s="1686"/>
      <c r="AJ745" s="1687"/>
      <c r="AK745" s="1627" t="s">
        <v>590</v>
      </c>
      <c r="AL745" s="1628"/>
      <c r="AM745" s="1628"/>
      <c r="AN745" s="1628"/>
      <c r="AO745" s="1629"/>
      <c r="AP745" s="3"/>
      <c r="AQ745" s="3"/>
      <c r="AR745" s="3"/>
      <c r="AS745" s="3"/>
      <c r="AY745" s="1077"/>
      <c r="AZ745" s="118" t="str">
        <f t="shared" si="11"/>
        <v>N/A</v>
      </c>
      <c r="BA745" s="3"/>
      <c r="BB745" s="3"/>
      <c r="BC745" s="3"/>
      <c r="BD745" s="3"/>
      <c r="BE745" s="204"/>
      <c r="BF745" s="292">
        <f t="shared" si="12"/>
        <v>0</v>
      </c>
      <c r="BG745" s="295">
        <f t="shared" si="13"/>
        <v>0</v>
      </c>
      <c r="BH745" s="296" t="str">
        <f t="shared" si="14"/>
        <v/>
      </c>
      <c r="BI745" s="3"/>
      <c r="BJ745" s="3"/>
      <c r="BK745" s="3"/>
      <c r="BL745" s="3"/>
      <c r="BM745" s="3"/>
      <c r="BN745" s="3"/>
      <c r="BS745" s="292">
        <f t="shared" si="15"/>
        <v>0</v>
      </c>
      <c r="BT745" s="295">
        <f t="shared" si="16"/>
        <v>0</v>
      </c>
      <c r="BU745" s="296" t="str">
        <f t="shared" si="17"/>
        <v/>
      </c>
      <c r="BV745" s="3"/>
      <c r="BW745" s="3"/>
      <c r="BX745" s="3"/>
      <c r="BY745" s="3"/>
      <c r="BZ745" s="3"/>
      <c r="CA745" s="3"/>
      <c r="CB745" s="3"/>
      <c r="CC745" s="3"/>
      <c r="CE745" s="3"/>
      <c r="CF745" s="3"/>
      <c r="CG745" s="1783">
        <f t="shared" si="40"/>
        <v>0</v>
      </c>
      <c r="CH745" s="1784"/>
      <c r="CI745" s="1789">
        <f t="shared" si="41"/>
        <v>0</v>
      </c>
      <c r="CJ745" s="1790"/>
      <c r="CK745" s="1783">
        <f t="shared" si="18"/>
        <v>0</v>
      </c>
      <c r="CL745" s="1784"/>
      <c r="CM745" s="1789">
        <f t="shared" si="19"/>
        <v>0</v>
      </c>
      <c r="CN745" s="1790"/>
      <c r="CO745" s="3"/>
      <c r="CP745" s="1785">
        <f t="shared" si="20"/>
        <v>0</v>
      </c>
      <c r="CQ745" s="1786"/>
      <c r="CR745" s="1786"/>
      <c r="CS745" s="1786"/>
      <c r="CT745" s="1787"/>
      <c r="CU745" s="1782">
        <f t="shared" si="21"/>
        <v>0</v>
      </c>
      <c r="CV745" s="1782"/>
      <c r="CW745" s="1782"/>
      <c r="CX745" s="1782"/>
      <c r="CY745" s="1782"/>
      <c r="CZ745" s="1782">
        <f t="shared" si="22"/>
        <v>0</v>
      </c>
      <c r="DA745" s="1782"/>
      <c r="DB745" s="1782"/>
      <c r="DC745" s="1782"/>
      <c r="DD745" s="1782"/>
      <c r="DE745" s="1782">
        <f t="shared" si="23"/>
        <v>0</v>
      </c>
      <c r="DF745" s="1782"/>
      <c r="DG745" s="1782"/>
      <c r="DH745" s="1782"/>
      <c r="DI745" s="1782"/>
      <c r="DJ745" s="1782">
        <f t="shared" si="24"/>
        <v>0</v>
      </c>
      <c r="DK745" s="1782"/>
      <c r="DL745" s="1782"/>
      <c r="DM745" s="1782"/>
      <c r="DN745" s="1782"/>
      <c r="DO745" s="1782">
        <f t="shared" si="25"/>
        <v>0</v>
      </c>
      <c r="DP745" s="1782"/>
      <c r="DQ745" s="1782"/>
      <c r="DR745" s="1782"/>
      <c r="DS745" s="1782"/>
      <c r="DT745" s="6"/>
      <c r="DU745" s="1780">
        <f t="shared" si="26"/>
        <v>0</v>
      </c>
      <c r="DV745" s="1780"/>
      <c r="DW745" s="1780"/>
      <c r="DX745" s="1780"/>
      <c r="DY745" s="1780"/>
      <c r="DZ745" s="1780">
        <f t="shared" si="27"/>
        <v>0</v>
      </c>
      <c r="EA745" s="1780"/>
      <c r="EB745" s="1780"/>
      <c r="EC745" s="1780"/>
      <c r="ED745" s="1780"/>
      <c r="EE745" s="1780">
        <f t="shared" si="28"/>
        <v>0</v>
      </c>
      <c r="EF745" s="1780"/>
      <c r="EG745" s="1780"/>
      <c r="EH745" s="1780"/>
      <c r="EI745" s="1780"/>
      <c r="EJ745" s="1780">
        <f t="shared" si="29"/>
        <v>0</v>
      </c>
      <c r="EK745" s="1780"/>
      <c r="EL745" s="1780"/>
      <c r="EM745" s="1780"/>
      <c r="EN745" s="1780"/>
      <c r="EO745" s="1780">
        <f t="shared" si="30"/>
        <v>0</v>
      </c>
      <c r="EP745" s="1780"/>
      <c r="EQ745" s="1780"/>
      <c r="ER745" s="1780"/>
      <c r="ES745" s="1780"/>
      <c r="ET745" s="1780">
        <f t="shared" si="31"/>
        <v>0</v>
      </c>
      <c r="EU745" s="1780"/>
      <c r="EV745" s="1780"/>
      <c r="EW745" s="1780"/>
      <c r="EX745" s="1780"/>
      <c r="EZ745" s="1783" t="str">
        <f t="shared" si="32"/>
        <v/>
      </c>
      <c r="FA745" s="1795"/>
      <c r="FB745" s="1795"/>
      <c r="FC745" s="1795"/>
      <c r="FD745" s="1784"/>
      <c r="FE745" s="1783" t="str">
        <f t="shared" si="33"/>
        <v/>
      </c>
      <c r="FF745" s="1795"/>
      <c r="FG745" s="1795"/>
      <c r="FH745" s="1795"/>
      <c r="FI745" s="1784"/>
      <c r="FJ745" s="1783" t="str">
        <f t="shared" si="34"/>
        <v/>
      </c>
      <c r="FK745" s="1795"/>
      <c r="FL745" s="1795"/>
      <c r="FM745" s="1795"/>
      <c r="FN745" s="1784"/>
      <c r="FO745" s="1783" t="str">
        <f t="shared" si="35"/>
        <v/>
      </c>
      <c r="FP745" s="1795"/>
      <c r="FQ745" s="1795"/>
      <c r="FR745" s="1795"/>
      <c r="FS745" s="1784"/>
      <c r="FT745" s="1783" t="str">
        <f t="shared" si="36"/>
        <v/>
      </c>
      <c r="FU745" s="1795"/>
      <c r="FV745" s="1795"/>
      <c r="FW745" s="1795"/>
      <c r="FX745" s="1784"/>
      <c r="FY745" s="1783" t="str">
        <f t="shared" si="37"/>
        <v/>
      </c>
      <c r="FZ745" s="1795"/>
      <c r="GA745" s="1795"/>
      <c r="GB745" s="1795"/>
      <c r="GC745" s="1784"/>
    </row>
    <row r="746" spans="1:185" ht="12.95" customHeight="1">
      <c r="B746" s="1627"/>
      <c r="C746" s="1628"/>
      <c r="D746" s="1628"/>
      <c r="E746" s="1628"/>
      <c r="F746" s="1629"/>
      <c r="G746" s="1621"/>
      <c r="H746" s="1622"/>
      <c r="I746" s="1622"/>
      <c r="J746" s="1623"/>
      <c r="K746" s="1624"/>
      <c r="L746" s="1625"/>
      <c r="M746" s="1625"/>
      <c r="N746" s="1626"/>
      <c r="O746" s="1662"/>
      <c r="P746" s="1663"/>
      <c r="Q746" s="1663"/>
      <c r="R746" s="1663"/>
      <c r="S746" s="1664"/>
      <c r="T746" s="1662"/>
      <c r="U746" s="1663"/>
      <c r="V746" s="1663"/>
      <c r="W746" s="1664"/>
      <c r="X746" s="1665">
        <f t="shared" si="10"/>
        <v>0</v>
      </c>
      <c r="Y746" s="1661"/>
      <c r="Z746" s="1661"/>
      <c r="AA746" s="1661"/>
      <c r="AB746" s="1666"/>
      <c r="AC746" s="1667"/>
      <c r="AD746" s="1668"/>
      <c r="AE746" s="1668"/>
      <c r="AF746" s="1668"/>
      <c r="AG746" s="1669"/>
      <c r="AH746" s="1685" t="str">
        <f t="shared" si="39"/>
        <v/>
      </c>
      <c r="AI746" s="1686"/>
      <c r="AJ746" s="1687"/>
      <c r="AK746" s="1627" t="s">
        <v>590</v>
      </c>
      <c r="AL746" s="1628"/>
      <c r="AM746" s="1628"/>
      <c r="AN746" s="1628"/>
      <c r="AO746" s="1629"/>
      <c r="AP746" s="3"/>
      <c r="AQ746" s="3"/>
      <c r="AR746" s="3"/>
      <c r="AS746" s="3"/>
      <c r="AY746" s="1077"/>
      <c r="AZ746" s="118" t="str">
        <f t="shared" si="11"/>
        <v>N/A</v>
      </c>
      <c r="BA746" s="3"/>
      <c r="BE746" s="204"/>
      <c r="BF746" s="292">
        <f t="shared" si="12"/>
        <v>0</v>
      </c>
      <c r="BG746" s="295">
        <f t="shared" si="13"/>
        <v>0</v>
      </c>
      <c r="BH746" s="296" t="str">
        <f t="shared" si="14"/>
        <v/>
      </c>
      <c r="BK746" s="3"/>
      <c r="BL746" s="3"/>
      <c r="BM746" s="3"/>
      <c r="BN746" s="3"/>
      <c r="BS746" s="292">
        <f t="shared" si="15"/>
        <v>0</v>
      </c>
      <c r="BT746" s="295">
        <f t="shared" si="16"/>
        <v>0</v>
      </c>
      <c r="BU746" s="296" t="str">
        <f t="shared" si="17"/>
        <v/>
      </c>
      <c r="BV746" s="3"/>
      <c r="BW746" s="3"/>
      <c r="BX746" s="3"/>
      <c r="BY746" s="3"/>
      <c r="BZ746" s="3"/>
      <c r="CA746" s="3"/>
      <c r="CB746" s="3"/>
      <c r="CC746" s="3"/>
      <c r="CE746" s="3"/>
      <c r="CF746" s="3"/>
      <c r="CG746" s="1783">
        <f t="shared" si="40"/>
        <v>0</v>
      </c>
      <c r="CH746" s="1784"/>
      <c r="CI746" s="1789">
        <f t="shared" si="41"/>
        <v>0</v>
      </c>
      <c r="CJ746" s="1790"/>
      <c r="CK746" s="1783">
        <f t="shared" si="18"/>
        <v>0</v>
      </c>
      <c r="CL746" s="1784"/>
      <c r="CM746" s="1789">
        <f t="shared" si="19"/>
        <v>0</v>
      </c>
      <c r="CN746" s="1790"/>
      <c r="CO746" s="3"/>
      <c r="CP746" s="1785">
        <f t="shared" si="20"/>
        <v>0</v>
      </c>
      <c r="CQ746" s="1786"/>
      <c r="CR746" s="1786"/>
      <c r="CS746" s="1786"/>
      <c r="CT746" s="1787"/>
      <c r="CU746" s="1782">
        <f t="shared" si="21"/>
        <v>0</v>
      </c>
      <c r="CV746" s="1782"/>
      <c r="CW746" s="1782"/>
      <c r="CX746" s="1782"/>
      <c r="CY746" s="1782"/>
      <c r="CZ746" s="1782">
        <f t="shared" si="22"/>
        <v>0</v>
      </c>
      <c r="DA746" s="1782"/>
      <c r="DB746" s="1782"/>
      <c r="DC746" s="1782"/>
      <c r="DD746" s="1782"/>
      <c r="DE746" s="1782">
        <f t="shared" si="23"/>
        <v>0</v>
      </c>
      <c r="DF746" s="1782"/>
      <c r="DG746" s="1782"/>
      <c r="DH746" s="1782"/>
      <c r="DI746" s="1782"/>
      <c r="DJ746" s="1782">
        <f t="shared" si="24"/>
        <v>0</v>
      </c>
      <c r="DK746" s="1782"/>
      <c r="DL746" s="1782"/>
      <c r="DM746" s="1782"/>
      <c r="DN746" s="1782"/>
      <c r="DO746" s="1782">
        <f t="shared" si="25"/>
        <v>0</v>
      </c>
      <c r="DP746" s="1782"/>
      <c r="DQ746" s="1782"/>
      <c r="DR746" s="1782"/>
      <c r="DS746" s="1782"/>
      <c r="DT746" s="6"/>
      <c r="DU746" s="1780">
        <f t="shared" si="26"/>
        <v>0</v>
      </c>
      <c r="DV746" s="1780"/>
      <c r="DW746" s="1780"/>
      <c r="DX746" s="1780"/>
      <c r="DY746" s="1780"/>
      <c r="DZ746" s="1780">
        <f t="shared" si="27"/>
        <v>0</v>
      </c>
      <c r="EA746" s="1780"/>
      <c r="EB746" s="1780"/>
      <c r="EC746" s="1780"/>
      <c r="ED746" s="1780"/>
      <c r="EE746" s="1780">
        <f t="shared" si="28"/>
        <v>0</v>
      </c>
      <c r="EF746" s="1780"/>
      <c r="EG746" s="1780"/>
      <c r="EH746" s="1780"/>
      <c r="EI746" s="1780"/>
      <c r="EJ746" s="1780">
        <f t="shared" si="29"/>
        <v>0</v>
      </c>
      <c r="EK746" s="1780"/>
      <c r="EL746" s="1780"/>
      <c r="EM746" s="1780"/>
      <c r="EN746" s="1780"/>
      <c r="EO746" s="1780">
        <f t="shared" si="30"/>
        <v>0</v>
      </c>
      <c r="EP746" s="1780"/>
      <c r="EQ746" s="1780"/>
      <c r="ER746" s="1780"/>
      <c r="ES746" s="1780"/>
      <c r="ET746" s="1780">
        <f t="shared" si="31"/>
        <v>0</v>
      </c>
      <c r="EU746" s="1780"/>
      <c r="EV746" s="1780"/>
      <c r="EW746" s="1780"/>
      <c r="EX746" s="1780"/>
      <c r="EZ746" s="1783" t="str">
        <f t="shared" si="32"/>
        <v/>
      </c>
      <c r="FA746" s="1795"/>
      <c r="FB746" s="1795"/>
      <c r="FC746" s="1795"/>
      <c r="FD746" s="1784"/>
      <c r="FE746" s="1783" t="str">
        <f t="shared" si="33"/>
        <v/>
      </c>
      <c r="FF746" s="1795"/>
      <c r="FG746" s="1795"/>
      <c r="FH746" s="1795"/>
      <c r="FI746" s="1784"/>
      <c r="FJ746" s="1783" t="str">
        <f t="shared" si="34"/>
        <v/>
      </c>
      <c r="FK746" s="1795"/>
      <c r="FL746" s="1795"/>
      <c r="FM746" s="1795"/>
      <c r="FN746" s="1784"/>
      <c r="FO746" s="1783" t="str">
        <f t="shared" si="35"/>
        <v/>
      </c>
      <c r="FP746" s="1795"/>
      <c r="FQ746" s="1795"/>
      <c r="FR746" s="1795"/>
      <c r="FS746" s="1784"/>
      <c r="FT746" s="1783" t="str">
        <f t="shared" si="36"/>
        <v/>
      </c>
      <c r="FU746" s="1795"/>
      <c r="FV746" s="1795"/>
      <c r="FW746" s="1795"/>
      <c r="FX746" s="1784"/>
      <c r="FY746" s="1783" t="str">
        <f t="shared" si="37"/>
        <v/>
      </c>
      <c r="FZ746" s="1795"/>
      <c r="GA746" s="1795"/>
      <c r="GB746" s="1795"/>
      <c r="GC746" s="1784"/>
    </row>
    <row r="747" spans="1:185" ht="12.95" customHeight="1">
      <c r="B747" s="1627"/>
      <c r="C747" s="1628"/>
      <c r="D747" s="1628"/>
      <c r="E747" s="1628"/>
      <c r="F747" s="1629"/>
      <c r="G747" s="1621"/>
      <c r="H747" s="1622"/>
      <c r="I747" s="1622"/>
      <c r="J747" s="1623"/>
      <c r="K747" s="1624"/>
      <c r="L747" s="1625"/>
      <c r="M747" s="1625"/>
      <c r="N747" s="1626"/>
      <c r="O747" s="1662"/>
      <c r="P747" s="1663"/>
      <c r="Q747" s="1663"/>
      <c r="R747" s="1663"/>
      <c r="S747" s="1664"/>
      <c r="T747" s="1662"/>
      <c r="U747" s="1663"/>
      <c r="V747" s="1663"/>
      <c r="W747" s="1664"/>
      <c r="X747" s="1665">
        <f t="shared" si="10"/>
        <v>0</v>
      </c>
      <c r="Y747" s="1661"/>
      <c r="Z747" s="1661"/>
      <c r="AA747" s="1661"/>
      <c r="AB747" s="1666"/>
      <c r="AC747" s="1667"/>
      <c r="AD747" s="1668"/>
      <c r="AE747" s="1668"/>
      <c r="AF747" s="1668"/>
      <c r="AG747" s="1669"/>
      <c r="AH747" s="1685" t="str">
        <f t="shared" si="39"/>
        <v/>
      </c>
      <c r="AI747" s="1686"/>
      <c r="AJ747" s="1687"/>
      <c r="AK747" s="1627" t="s">
        <v>590</v>
      </c>
      <c r="AL747" s="1628"/>
      <c r="AM747" s="1628"/>
      <c r="AN747" s="1628"/>
      <c r="AO747" s="1629"/>
      <c r="AP747" s="3"/>
      <c r="AQ747" s="3"/>
      <c r="AR747" s="3"/>
      <c r="AS747" s="3"/>
      <c r="AY747" s="1077"/>
      <c r="AZ747" s="118" t="str">
        <f t="shared" si="11"/>
        <v>N/A</v>
      </c>
      <c r="BA747" s="3"/>
      <c r="BE747" s="204"/>
      <c r="BF747" s="292">
        <f t="shared" si="12"/>
        <v>0</v>
      </c>
      <c r="BG747" s="295">
        <f t="shared" si="13"/>
        <v>0</v>
      </c>
      <c r="BH747" s="296" t="str">
        <f t="shared" si="14"/>
        <v/>
      </c>
      <c r="BK747" s="3"/>
      <c r="BL747" s="3"/>
      <c r="BM747" s="3"/>
      <c r="BN747" s="3"/>
      <c r="BS747" s="292">
        <f t="shared" si="15"/>
        <v>0</v>
      </c>
      <c r="BT747" s="295">
        <f t="shared" si="16"/>
        <v>0</v>
      </c>
      <c r="BU747" s="296" t="str">
        <f t="shared" si="17"/>
        <v/>
      </c>
      <c r="BV747" s="3"/>
      <c r="BW747" s="3"/>
      <c r="BX747" s="3"/>
      <c r="BY747" s="3"/>
      <c r="BZ747" s="3"/>
      <c r="CA747" s="3"/>
      <c r="CB747" s="3"/>
      <c r="CC747" s="3"/>
      <c r="CE747" s="3"/>
      <c r="CF747" s="3"/>
      <c r="CG747" s="1783">
        <f t="shared" si="40"/>
        <v>0</v>
      </c>
      <c r="CH747" s="1784"/>
      <c r="CI747" s="1789">
        <f t="shared" si="41"/>
        <v>0</v>
      </c>
      <c r="CJ747" s="1790"/>
      <c r="CK747" s="1783">
        <f t="shared" si="18"/>
        <v>0</v>
      </c>
      <c r="CL747" s="1784"/>
      <c r="CM747" s="1789">
        <f t="shared" si="19"/>
        <v>0</v>
      </c>
      <c r="CN747" s="1790"/>
      <c r="CO747" s="3"/>
      <c r="CP747" s="1785">
        <f t="shared" si="20"/>
        <v>0</v>
      </c>
      <c r="CQ747" s="1786"/>
      <c r="CR747" s="1786"/>
      <c r="CS747" s="1786"/>
      <c r="CT747" s="1787"/>
      <c r="CU747" s="1782">
        <f t="shared" si="21"/>
        <v>0</v>
      </c>
      <c r="CV747" s="1782"/>
      <c r="CW747" s="1782"/>
      <c r="CX747" s="1782"/>
      <c r="CY747" s="1782"/>
      <c r="CZ747" s="1782">
        <f t="shared" si="22"/>
        <v>0</v>
      </c>
      <c r="DA747" s="1782"/>
      <c r="DB747" s="1782"/>
      <c r="DC747" s="1782"/>
      <c r="DD747" s="1782"/>
      <c r="DE747" s="1782">
        <f t="shared" si="23"/>
        <v>0</v>
      </c>
      <c r="DF747" s="1782"/>
      <c r="DG747" s="1782"/>
      <c r="DH747" s="1782"/>
      <c r="DI747" s="1782"/>
      <c r="DJ747" s="1782">
        <f t="shared" si="24"/>
        <v>0</v>
      </c>
      <c r="DK747" s="1782"/>
      <c r="DL747" s="1782"/>
      <c r="DM747" s="1782"/>
      <c r="DN747" s="1782"/>
      <c r="DO747" s="1782">
        <f t="shared" si="25"/>
        <v>0</v>
      </c>
      <c r="DP747" s="1782"/>
      <c r="DQ747" s="1782"/>
      <c r="DR747" s="1782"/>
      <c r="DS747" s="1782"/>
      <c r="DT747" s="6"/>
      <c r="DU747" s="1780">
        <f t="shared" si="26"/>
        <v>0</v>
      </c>
      <c r="DV747" s="1780"/>
      <c r="DW747" s="1780"/>
      <c r="DX747" s="1780"/>
      <c r="DY747" s="1780"/>
      <c r="DZ747" s="1780">
        <f t="shared" si="27"/>
        <v>0</v>
      </c>
      <c r="EA747" s="1780"/>
      <c r="EB747" s="1780"/>
      <c r="EC747" s="1780"/>
      <c r="ED747" s="1780"/>
      <c r="EE747" s="1780">
        <f t="shared" si="28"/>
        <v>0</v>
      </c>
      <c r="EF747" s="1780"/>
      <c r="EG747" s="1780"/>
      <c r="EH747" s="1780"/>
      <c r="EI747" s="1780"/>
      <c r="EJ747" s="1780">
        <f t="shared" si="29"/>
        <v>0</v>
      </c>
      <c r="EK747" s="1780"/>
      <c r="EL747" s="1780"/>
      <c r="EM747" s="1780"/>
      <c r="EN747" s="1780"/>
      <c r="EO747" s="1780">
        <f t="shared" si="30"/>
        <v>0</v>
      </c>
      <c r="EP747" s="1780"/>
      <c r="EQ747" s="1780"/>
      <c r="ER747" s="1780"/>
      <c r="ES747" s="1780"/>
      <c r="ET747" s="1780">
        <f t="shared" si="31"/>
        <v>0</v>
      </c>
      <c r="EU747" s="1780"/>
      <c r="EV747" s="1780"/>
      <c r="EW747" s="1780"/>
      <c r="EX747" s="1780"/>
      <c r="EZ747" s="1783" t="str">
        <f t="shared" si="32"/>
        <v/>
      </c>
      <c r="FA747" s="1795"/>
      <c r="FB747" s="1795"/>
      <c r="FC747" s="1795"/>
      <c r="FD747" s="1784"/>
      <c r="FE747" s="1783" t="str">
        <f t="shared" si="33"/>
        <v/>
      </c>
      <c r="FF747" s="1795"/>
      <c r="FG747" s="1795"/>
      <c r="FH747" s="1795"/>
      <c r="FI747" s="1784"/>
      <c r="FJ747" s="1783" t="str">
        <f t="shared" si="34"/>
        <v/>
      </c>
      <c r="FK747" s="1795"/>
      <c r="FL747" s="1795"/>
      <c r="FM747" s="1795"/>
      <c r="FN747" s="1784"/>
      <c r="FO747" s="1783" t="str">
        <f t="shared" si="35"/>
        <v/>
      </c>
      <c r="FP747" s="1795"/>
      <c r="FQ747" s="1795"/>
      <c r="FR747" s="1795"/>
      <c r="FS747" s="1784"/>
      <c r="FT747" s="1783" t="str">
        <f t="shared" si="36"/>
        <v/>
      </c>
      <c r="FU747" s="1795"/>
      <c r="FV747" s="1795"/>
      <c r="FW747" s="1795"/>
      <c r="FX747" s="1784"/>
      <c r="FY747" s="1783" t="str">
        <f t="shared" si="37"/>
        <v/>
      </c>
      <c r="FZ747" s="1795"/>
      <c r="GA747" s="1795"/>
      <c r="GB747" s="1795"/>
      <c r="GC747" s="1784"/>
    </row>
    <row r="748" spans="1:185" ht="12.95" customHeight="1">
      <c r="B748" s="1627"/>
      <c r="C748" s="1628"/>
      <c r="D748" s="1628"/>
      <c r="E748" s="1628"/>
      <c r="F748" s="1629"/>
      <c r="G748" s="1621"/>
      <c r="H748" s="1622"/>
      <c r="I748" s="1622"/>
      <c r="J748" s="1623"/>
      <c r="K748" s="1624"/>
      <c r="L748" s="1625"/>
      <c r="M748" s="1625"/>
      <c r="N748" s="1626"/>
      <c r="O748" s="1662"/>
      <c r="P748" s="1663"/>
      <c r="Q748" s="1663"/>
      <c r="R748" s="1663"/>
      <c r="S748" s="1664"/>
      <c r="T748" s="1662"/>
      <c r="U748" s="1663"/>
      <c r="V748" s="1663"/>
      <c r="W748" s="1664"/>
      <c r="X748" s="1665">
        <f t="shared" si="10"/>
        <v>0</v>
      </c>
      <c r="Y748" s="1661"/>
      <c r="Z748" s="1661"/>
      <c r="AA748" s="1661"/>
      <c r="AB748" s="1666"/>
      <c r="AC748" s="1667"/>
      <c r="AD748" s="1668"/>
      <c r="AE748" s="1668"/>
      <c r="AF748" s="1668"/>
      <c r="AG748" s="1669"/>
      <c r="AH748" s="1685" t="str">
        <f t="shared" si="39"/>
        <v/>
      </c>
      <c r="AI748" s="1686"/>
      <c r="AJ748" s="1687"/>
      <c r="AK748" s="1627" t="s">
        <v>590</v>
      </c>
      <c r="AL748" s="1628"/>
      <c r="AM748" s="1628"/>
      <c r="AN748" s="1628"/>
      <c r="AO748" s="1629"/>
      <c r="AP748" s="3"/>
      <c r="AQ748" s="3"/>
      <c r="AR748" s="3"/>
      <c r="AS748" s="3"/>
      <c r="AY748" s="1077"/>
      <c r="AZ748" s="118" t="str">
        <f t="shared" si="11"/>
        <v>N/A</v>
      </c>
      <c r="BA748" s="3"/>
      <c r="BE748" s="204"/>
      <c r="BF748" s="292">
        <f t="shared" si="12"/>
        <v>0</v>
      </c>
      <c r="BG748" s="295">
        <f t="shared" si="13"/>
        <v>0</v>
      </c>
      <c r="BH748" s="296" t="str">
        <f t="shared" si="14"/>
        <v/>
      </c>
      <c r="BK748" s="3"/>
      <c r="BL748" s="3"/>
      <c r="BM748" s="3"/>
      <c r="BN748" s="3"/>
      <c r="BS748" s="292">
        <f t="shared" si="15"/>
        <v>0</v>
      </c>
      <c r="BT748" s="295">
        <f t="shared" si="16"/>
        <v>0</v>
      </c>
      <c r="BU748" s="296" t="str">
        <f t="shared" si="17"/>
        <v/>
      </c>
      <c r="BV748" s="3"/>
      <c r="BW748" s="3"/>
      <c r="BX748" s="3"/>
      <c r="BY748" s="3"/>
      <c r="BZ748" s="3"/>
      <c r="CA748" s="3"/>
      <c r="CB748" s="3"/>
      <c r="CC748" s="3"/>
      <c r="CE748" s="3"/>
      <c r="CF748" s="3"/>
      <c r="CG748" s="1783">
        <f t="shared" si="40"/>
        <v>0</v>
      </c>
      <c r="CH748" s="1784"/>
      <c r="CI748" s="1789">
        <f t="shared" si="41"/>
        <v>0</v>
      </c>
      <c r="CJ748" s="1790"/>
      <c r="CK748" s="1783">
        <f t="shared" si="18"/>
        <v>0</v>
      </c>
      <c r="CL748" s="1784"/>
      <c r="CM748" s="1789">
        <f t="shared" si="19"/>
        <v>0</v>
      </c>
      <c r="CN748" s="1790"/>
      <c r="CO748" s="3"/>
      <c r="CP748" s="1785">
        <f t="shared" si="20"/>
        <v>0</v>
      </c>
      <c r="CQ748" s="1786"/>
      <c r="CR748" s="1786"/>
      <c r="CS748" s="1786"/>
      <c r="CT748" s="1787"/>
      <c r="CU748" s="1782">
        <f t="shared" si="21"/>
        <v>0</v>
      </c>
      <c r="CV748" s="1782"/>
      <c r="CW748" s="1782"/>
      <c r="CX748" s="1782"/>
      <c r="CY748" s="1782"/>
      <c r="CZ748" s="1782">
        <f t="shared" si="22"/>
        <v>0</v>
      </c>
      <c r="DA748" s="1782"/>
      <c r="DB748" s="1782"/>
      <c r="DC748" s="1782"/>
      <c r="DD748" s="1782"/>
      <c r="DE748" s="1782">
        <f t="shared" si="23"/>
        <v>0</v>
      </c>
      <c r="DF748" s="1782"/>
      <c r="DG748" s="1782"/>
      <c r="DH748" s="1782"/>
      <c r="DI748" s="1782"/>
      <c r="DJ748" s="1782">
        <f t="shared" si="24"/>
        <v>0</v>
      </c>
      <c r="DK748" s="1782"/>
      <c r="DL748" s="1782"/>
      <c r="DM748" s="1782"/>
      <c r="DN748" s="1782"/>
      <c r="DO748" s="1782">
        <f t="shared" si="25"/>
        <v>0</v>
      </c>
      <c r="DP748" s="1782"/>
      <c r="DQ748" s="1782"/>
      <c r="DR748" s="1782"/>
      <c r="DS748" s="1782"/>
      <c r="DT748" s="6"/>
      <c r="DU748" s="1780">
        <f t="shared" si="26"/>
        <v>0</v>
      </c>
      <c r="DV748" s="1780"/>
      <c r="DW748" s="1780"/>
      <c r="DX748" s="1780"/>
      <c r="DY748" s="1780"/>
      <c r="DZ748" s="1780">
        <f t="shared" si="27"/>
        <v>0</v>
      </c>
      <c r="EA748" s="1780"/>
      <c r="EB748" s="1780"/>
      <c r="EC748" s="1780"/>
      <c r="ED748" s="1780"/>
      <c r="EE748" s="1780">
        <f t="shared" si="28"/>
        <v>0</v>
      </c>
      <c r="EF748" s="1780"/>
      <c r="EG748" s="1780"/>
      <c r="EH748" s="1780"/>
      <c r="EI748" s="1780"/>
      <c r="EJ748" s="1780">
        <f t="shared" si="29"/>
        <v>0</v>
      </c>
      <c r="EK748" s="1780"/>
      <c r="EL748" s="1780"/>
      <c r="EM748" s="1780"/>
      <c r="EN748" s="1780"/>
      <c r="EO748" s="1780">
        <f t="shared" si="30"/>
        <v>0</v>
      </c>
      <c r="EP748" s="1780"/>
      <c r="EQ748" s="1780"/>
      <c r="ER748" s="1780"/>
      <c r="ES748" s="1780"/>
      <c r="ET748" s="1780">
        <f t="shared" si="31"/>
        <v>0</v>
      </c>
      <c r="EU748" s="1780"/>
      <c r="EV748" s="1780"/>
      <c r="EW748" s="1780"/>
      <c r="EX748" s="1780"/>
      <c r="EZ748" s="1783" t="str">
        <f t="shared" si="32"/>
        <v/>
      </c>
      <c r="FA748" s="1795"/>
      <c r="FB748" s="1795"/>
      <c r="FC748" s="1795"/>
      <c r="FD748" s="1784"/>
      <c r="FE748" s="1783" t="str">
        <f t="shared" si="33"/>
        <v/>
      </c>
      <c r="FF748" s="1795"/>
      <c r="FG748" s="1795"/>
      <c r="FH748" s="1795"/>
      <c r="FI748" s="1784"/>
      <c r="FJ748" s="1783" t="str">
        <f t="shared" si="34"/>
        <v/>
      </c>
      <c r="FK748" s="1795"/>
      <c r="FL748" s="1795"/>
      <c r="FM748" s="1795"/>
      <c r="FN748" s="1784"/>
      <c r="FO748" s="1783" t="str">
        <f t="shared" si="35"/>
        <v/>
      </c>
      <c r="FP748" s="1795"/>
      <c r="FQ748" s="1795"/>
      <c r="FR748" s="1795"/>
      <c r="FS748" s="1784"/>
      <c r="FT748" s="1783" t="str">
        <f t="shared" si="36"/>
        <v/>
      </c>
      <c r="FU748" s="1795"/>
      <c r="FV748" s="1795"/>
      <c r="FW748" s="1795"/>
      <c r="FX748" s="1784"/>
      <c r="FY748" s="1783" t="str">
        <f t="shared" si="37"/>
        <v/>
      </c>
      <c r="FZ748" s="1795"/>
      <c r="GA748" s="1795"/>
      <c r="GB748" s="1795"/>
      <c r="GC748" s="1784"/>
    </row>
    <row r="749" spans="1:185" ht="12.95" customHeight="1">
      <c r="B749" s="1627"/>
      <c r="C749" s="1628"/>
      <c r="D749" s="1628"/>
      <c r="E749" s="1628"/>
      <c r="F749" s="1629"/>
      <c r="G749" s="1621"/>
      <c r="H749" s="1622"/>
      <c r="I749" s="1622"/>
      <c r="J749" s="1623"/>
      <c r="K749" s="1624"/>
      <c r="L749" s="1625"/>
      <c r="M749" s="1625"/>
      <c r="N749" s="1626"/>
      <c r="O749" s="1662"/>
      <c r="P749" s="1663"/>
      <c r="Q749" s="1663"/>
      <c r="R749" s="1663"/>
      <c r="S749" s="1664"/>
      <c r="T749" s="1662"/>
      <c r="U749" s="1663"/>
      <c r="V749" s="1663"/>
      <c r="W749" s="1664"/>
      <c r="X749" s="1665">
        <f t="shared" si="10"/>
        <v>0</v>
      </c>
      <c r="Y749" s="1661"/>
      <c r="Z749" s="1661"/>
      <c r="AA749" s="1661"/>
      <c r="AB749" s="1666"/>
      <c r="AC749" s="1667"/>
      <c r="AD749" s="1668"/>
      <c r="AE749" s="1668"/>
      <c r="AF749" s="1668"/>
      <c r="AG749" s="1669"/>
      <c r="AH749" s="1685" t="str">
        <f t="shared" si="39"/>
        <v/>
      </c>
      <c r="AI749" s="1686"/>
      <c r="AJ749" s="1687"/>
      <c r="AK749" s="1627" t="s">
        <v>590</v>
      </c>
      <c r="AL749" s="1628"/>
      <c r="AM749" s="1628"/>
      <c r="AN749" s="1628"/>
      <c r="AO749" s="1629"/>
      <c r="AP749" s="3"/>
      <c r="AQ749" s="3"/>
      <c r="AR749" s="3"/>
      <c r="AS749" s="3"/>
      <c r="AY749" s="1077"/>
      <c r="AZ749" s="118" t="str">
        <f t="shared" si="11"/>
        <v>N/A</v>
      </c>
      <c r="BA749" s="3"/>
      <c r="BE749" s="204"/>
      <c r="BF749" s="292">
        <f t="shared" si="12"/>
        <v>0</v>
      </c>
      <c r="BG749" s="295">
        <f t="shared" si="13"/>
        <v>0</v>
      </c>
      <c r="BH749" s="296" t="str">
        <f t="shared" si="14"/>
        <v/>
      </c>
      <c r="BK749" s="3"/>
      <c r="BL749" s="3"/>
      <c r="BM749" s="3"/>
      <c r="BN749" s="3"/>
      <c r="BS749" s="292">
        <f t="shared" si="15"/>
        <v>0</v>
      </c>
      <c r="BT749" s="295">
        <f t="shared" si="16"/>
        <v>0</v>
      </c>
      <c r="BU749" s="296" t="str">
        <f t="shared" si="17"/>
        <v/>
      </c>
      <c r="BV749" s="3"/>
      <c r="BW749" s="3"/>
      <c r="BX749" s="3"/>
      <c r="BY749" s="3"/>
      <c r="BZ749" s="3"/>
      <c r="CA749" s="3"/>
      <c r="CB749" s="3"/>
      <c r="CC749" s="3"/>
      <c r="CE749" s="3"/>
      <c r="CF749" s="3"/>
      <c r="CG749" s="1783">
        <f t="shared" si="40"/>
        <v>0</v>
      </c>
      <c r="CH749" s="1784"/>
      <c r="CI749" s="1789">
        <f t="shared" si="41"/>
        <v>0</v>
      </c>
      <c r="CJ749" s="1790"/>
      <c r="CK749" s="1783">
        <f t="shared" si="18"/>
        <v>0</v>
      </c>
      <c r="CL749" s="1784"/>
      <c r="CM749" s="1789">
        <f t="shared" si="19"/>
        <v>0</v>
      </c>
      <c r="CN749" s="1790"/>
      <c r="CO749" s="3"/>
      <c r="CP749" s="1785">
        <f t="shared" si="20"/>
        <v>0</v>
      </c>
      <c r="CQ749" s="1786"/>
      <c r="CR749" s="1786"/>
      <c r="CS749" s="1786"/>
      <c r="CT749" s="1787"/>
      <c r="CU749" s="1782">
        <f t="shared" si="21"/>
        <v>0</v>
      </c>
      <c r="CV749" s="1782"/>
      <c r="CW749" s="1782"/>
      <c r="CX749" s="1782"/>
      <c r="CY749" s="1782"/>
      <c r="CZ749" s="1782">
        <f t="shared" si="22"/>
        <v>0</v>
      </c>
      <c r="DA749" s="1782"/>
      <c r="DB749" s="1782"/>
      <c r="DC749" s="1782"/>
      <c r="DD749" s="1782"/>
      <c r="DE749" s="1782">
        <f t="shared" si="23"/>
        <v>0</v>
      </c>
      <c r="DF749" s="1782"/>
      <c r="DG749" s="1782"/>
      <c r="DH749" s="1782"/>
      <c r="DI749" s="1782"/>
      <c r="DJ749" s="1782">
        <f t="shared" si="24"/>
        <v>0</v>
      </c>
      <c r="DK749" s="1782"/>
      <c r="DL749" s="1782"/>
      <c r="DM749" s="1782"/>
      <c r="DN749" s="1782"/>
      <c r="DO749" s="1782">
        <f t="shared" si="25"/>
        <v>0</v>
      </c>
      <c r="DP749" s="1782"/>
      <c r="DQ749" s="1782"/>
      <c r="DR749" s="1782"/>
      <c r="DS749" s="1782"/>
      <c r="DT749" s="6"/>
      <c r="DU749" s="1780">
        <f t="shared" si="26"/>
        <v>0</v>
      </c>
      <c r="DV749" s="1780"/>
      <c r="DW749" s="1780"/>
      <c r="DX749" s="1780"/>
      <c r="DY749" s="1780"/>
      <c r="DZ749" s="1780">
        <f t="shared" si="27"/>
        <v>0</v>
      </c>
      <c r="EA749" s="1780"/>
      <c r="EB749" s="1780"/>
      <c r="EC749" s="1780"/>
      <c r="ED749" s="1780"/>
      <c r="EE749" s="1780">
        <f t="shared" si="28"/>
        <v>0</v>
      </c>
      <c r="EF749" s="1780"/>
      <c r="EG749" s="1780"/>
      <c r="EH749" s="1780"/>
      <c r="EI749" s="1780"/>
      <c r="EJ749" s="1780">
        <f t="shared" si="29"/>
        <v>0</v>
      </c>
      <c r="EK749" s="1780"/>
      <c r="EL749" s="1780"/>
      <c r="EM749" s="1780"/>
      <c r="EN749" s="1780"/>
      <c r="EO749" s="1780">
        <f t="shared" si="30"/>
        <v>0</v>
      </c>
      <c r="EP749" s="1780"/>
      <c r="EQ749" s="1780"/>
      <c r="ER749" s="1780"/>
      <c r="ES749" s="1780"/>
      <c r="ET749" s="1780">
        <f t="shared" si="31"/>
        <v>0</v>
      </c>
      <c r="EU749" s="1780"/>
      <c r="EV749" s="1780"/>
      <c r="EW749" s="1780"/>
      <c r="EX749" s="1780"/>
      <c r="EZ749" s="1783" t="str">
        <f t="shared" si="32"/>
        <v/>
      </c>
      <c r="FA749" s="1795"/>
      <c r="FB749" s="1795"/>
      <c r="FC749" s="1795"/>
      <c r="FD749" s="1784"/>
      <c r="FE749" s="1783" t="str">
        <f t="shared" si="33"/>
        <v/>
      </c>
      <c r="FF749" s="1795"/>
      <c r="FG749" s="1795"/>
      <c r="FH749" s="1795"/>
      <c r="FI749" s="1784"/>
      <c r="FJ749" s="1783" t="str">
        <f t="shared" si="34"/>
        <v/>
      </c>
      <c r="FK749" s="1795"/>
      <c r="FL749" s="1795"/>
      <c r="FM749" s="1795"/>
      <c r="FN749" s="1784"/>
      <c r="FO749" s="1783" t="str">
        <f t="shared" si="35"/>
        <v/>
      </c>
      <c r="FP749" s="1795"/>
      <c r="FQ749" s="1795"/>
      <c r="FR749" s="1795"/>
      <c r="FS749" s="1784"/>
      <c r="FT749" s="1783" t="str">
        <f t="shared" si="36"/>
        <v/>
      </c>
      <c r="FU749" s="1795"/>
      <c r="FV749" s="1795"/>
      <c r="FW749" s="1795"/>
      <c r="FX749" s="1784"/>
      <c r="FY749" s="1783" t="str">
        <f t="shared" si="37"/>
        <v/>
      </c>
      <c r="FZ749" s="1795"/>
      <c r="GA749" s="1795"/>
      <c r="GB749" s="1795"/>
      <c r="GC749" s="1784"/>
    </row>
    <row r="750" spans="1:185" ht="12.95" customHeight="1">
      <c r="B750" s="1627"/>
      <c r="C750" s="1628"/>
      <c r="D750" s="1628"/>
      <c r="E750" s="1628"/>
      <c r="F750" s="1629"/>
      <c r="G750" s="1621"/>
      <c r="H750" s="1622"/>
      <c r="I750" s="1622"/>
      <c r="J750" s="1623"/>
      <c r="K750" s="1624"/>
      <c r="L750" s="1625"/>
      <c r="M750" s="1625"/>
      <c r="N750" s="1626"/>
      <c r="O750" s="1662"/>
      <c r="P750" s="1663"/>
      <c r="Q750" s="1663"/>
      <c r="R750" s="1663"/>
      <c r="S750" s="1664"/>
      <c r="T750" s="1662"/>
      <c r="U750" s="1663"/>
      <c r="V750" s="1663"/>
      <c r="W750" s="1664"/>
      <c r="X750" s="1665">
        <f t="shared" ref="X750:X759" si="44">O750+T750</f>
        <v>0</v>
      </c>
      <c r="Y750" s="1661"/>
      <c r="Z750" s="1661"/>
      <c r="AA750" s="1661"/>
      <c r="AB750" s="1666"/>
      <c r="AC750" s="1667"/>
      <c r="AD750" s="1668"/>
      <c r="AE750" s="1668"/>
      <c r="AF750" s="1668"/>
      <c r="AG750" s="1669"/>
      <c r="AH750" s="1685" t="str">
        <f t="shared" si="39"/>
        <v/>
      </c>
      <c r="AI750" s="1686"/>
      <c r="AJ750" s="1687"/>
      <c r="AK750" s="1627" t="s">
        <v>590</v>
      </c>
      <c r="AL750" s="1628"/>
      <c r="AM750" s="1628"/>
      <c r="AN750" s="1628"/>
      <c r="AO750" s="1629"/>
      <c r="AP750" s="3"/>
      <c r="AQ750" s="3"/>
      <c r="AR750" s="3"/>
      <c r="AS750" s="3"/>
      <c r="AY750" s="1077"/>
      <c r="AZ750" s="118" t="str">
        <f t="shared" si="11"/>
        <v>N/A</v>
      </c>
      <c r="BA750" s="3"/>
      <c r="BB750" s="3"/>
      <c r="BE750" s="204"/>
      <c r="BF750" s="292">
        <f t="shared" si="12"/>
        <v>0</v>
      </c>
      <c r="BG750" s="295">
        <f t="shared" si="13"/>
        <v>0</v>
      </c>
      <c r="BH750" s="296" t="str">
        <f t="shared" si="14"/>
        <v/>
      </c>
      <c r="BL750" s="3"/>
      <c r="BM750" s="3"/>
      <c r="BN750" s="3"/>
      <c r="BS750" s="292">
        <f t="shared" si="15"/>
        <v>0</v>
      </c>
      <c r="BT750" s="295">
        <f t="shared" si="16"/>
        <v>0</v>
      </c>
      <c r="BU750" s="296" t="str">
        <f t="shared" si="17"/>
        <v/>
      </c>
      <c r="BV750" s="3"/>
      <c r="BW750" s="3"/>
      <c r="BX750" s="3"/>
      <c r="BY750" s="3"/>
      <c r="BZ750" s="3"/>
      <c r="CA750" s="3"/>
      <c r="CB750" s="3"/>
      <c r="CC750" s="3"/>
      <c r="CE750" s="3"/>
      <c r="CF750" s="3"/>
      <c r="CG750" s="1783">
        <f t="shared" si="40"/>
        <v>0</v>
      </c>
      <c r="CH750" s="1784"/>
      <c r="CI750" s="1789">
        <f t="shared" si="41"/>
        <v>0</v>
      </c>
      <c r="CJ750" s="1790"/>
      <c r="CK750" s="1783">
        <f t="shared" si="18"/>
        <v>0</v>
      </c>
      <c r="CL750" s="1784"/>
      <c r="CM750" s="1789">
        <f t="shared" si="19"/>
        <v>0</v>
      </c>
      <c r="CN750" s="1790"/>
      <c r="CO750" s="3"/>
      <c r="CP750" s="1785">
        <f t="shared" si="20"/>
        <v>0</v>
      </c>
      <c r="CQ750" s="1786"/>
      <c r="CR750" s="1786"/>
      <c r="CS750" s="1786"/>
      <c r="CT750" s="1787"/>
      <c r="CU750" s="1782">
        <f t="shared" si="21"/>
        <v>0</v>
      </c>
      <c r="CV750" s="1782"/>
      <c r="CW750" s="1782"/>
      <c r="CX750" s="1782"/>
      <c r="CY750" s="1782"/>
      <c r="CZ750" s="1782">
        <f t="shared" si="22"/>
        <v>0</v>
      </c>
      <c r="DA750" s="1782"/>
      <c r="DB750" s="1782"/>
      <c r="DC750" s="1782"/>
      <c r="DD750" s="1782"/>
      <c r="DE750" s="1782">
        <f t="shared" si="23"/>
        <v>0</v>
      </c>
      <c r="DF750" s="1782"/>
      <c r="DG750" s="1782"/>
      <c r="DH750" s="1782"/>
      <c r="DI750" s="1782"/>
      <c r="DJ750" s="1782">
        <f t="shared" si="24"/>
        <v>0</v>
      </c>
      <c r="DK750" s="1782"/>
      <c r="DL750" s="1782"/>
      <c r="DM750" s="1782"/>
      <c r="DN750" s="1782"/>
      <c r="DO750" s="1782">
        <f t="shared" si="25"/>
        <v>0</v>
      </c>
      <c r="DP750" s="1782"/>
      <c r="DQ750" s="1782"/>
      <c r="DR750" s="1782"/>
      <c r="DS750" s="1782"/>
      <c r="DT750" s="6"/>
      <c r="DU750" s="1780">
        <f t="shared" si="26"/>
        <v>0</v>
      </c>
      <c r="DV750" s="1780"/>
      <c r="DW750" s="1780"/>
      <c r="DX750" s="1780"/>
      <c r="DY750" s="1780"/>
      <c r="DZ750" s="1780">
        <f t="shared" si="27"/>
        <v>0</v>
      </c>
      <c r="EA750" s="1780"/>
      <c r="EB750" s="1780"/>
      <c r="EC750" s="1780"/>
      <c r="ED750" s="1780"/>
      <c r="EE750" s="1780">
        <f t="shared" si="28"/>
        <v>0</v>
      </c>
      <c r="EF750" s="1780"/>
      <c r="EG750" s="1780"/>
      <c r="EH750" s="1780"/>
      <c r="EI750" s="1780"/>
      <c r="EJ750" s="1780">
        <f t="shared" si="29"/>
        <v>0</v>
      </c>
      <c r="EK750" s="1780"/>
      <c r="EL750" s="1780"/>
      <c r="EM750" s="1780"/>
      <c r="EN750" s="1780"/>
      <c r="EO750" s="1780">
        <f t="shared" si="30"/>
        <v>0</v>
      </c>
      <c r="EP750" s="1780"/>
      <c r="EQ750" s="1780"/>
      <c r="ER750" s="1780"/>
      <c r="ES750" s="1780"/>
      <c r="ET750" s="1780">
        <f t="shared" si="31"/>
        <v>0</v>
      </c>
      <c r="EU750" s="1780"/>
      <c r="EV750" s="1780"/>
      <c r="EW750" s="1780"/>
      <c r="EX750" s="1780"/>
      <c r="EZ750" s="1783" t="str">
        <f t="shared" si="32"/>
        <v/>
      </c>
      <c r="FA750" s="1795"/>
      <c r="FB750" s="1795"/>
      <c r="FC750" s="1795"/>
      <c r="FD750" s="1784"/>
      <c r="FE750" s="1783" t="str">
        <f t="shared" si="33"/>
        <v/>
      </c>
      <c r="FF750" s="1795"/>
      <c r="FG750" s="1795"/>
      <c r="FH750" s="1795"/>
      <c r="FI750" s="1784"/>
      <c r="FJ750" s="1783" t="str">
        <f t="shared" si="34"/>
        <v/>
      </c>
      <c r="FK750" s="1795"/>
      <c r="FL750" s="1795"/>
      <c r="FM750" s="1795"/>
      <c r="FN750" s="1784"/>
      <c r="FO750" s="1783" t="str">
        <f t="shared" si="35"/>
        <v/>
      </c>
      <c r="FP750" s="1795"/>
      <c r="FQ750" s="1795"/>
      <c r="FR750" s="1795"/>
      <c r="FS750" s="1784"/>
      <c r="FT750" s="1783" t="str">
        <f t="shared" si="36"/>
        <v/>
      </c>
      <c r="FU750" s="1795"/>
      <c r="FV750" s="1795"/>
      <c r="FW750" s="1795"/>
      <c r="FX750" s="1784"/>
      <c r="FY750" s="1783" t="str">
        <f t="shared" si="37"/>
        <v/>
      </c>
      <c r="FZ750" s="1795"/>
      <c r="GA750" s="1795"/>
      <c r="GB750" s="1795"/>
      <c r="GC750" s="1784"/>
    </row>
    <row r="751" spans="1:185" s="3" customFormat="1" ht="12.95" customHeight="1">
      <c r="A751"/>
      <c r="B751" s="1627"/>
      <c r="C751" s="1628"/>
      <c r="D751" s="1628"/>
      <c r="E751" s="1628"/>
      <c r="F751" s="1629"/>
      <c r="G751" s="1621"/>
      <c r="H751" s="1622"/>
      <c r="I751" s="1622"/>
      <c r="J751" s="1623"/>
      <c r="K751" s="1624"/>
      <c r="L751" s="1625"/>
      <c r="M751" s="1625"/>
      <c r="N751" s="1626"/>
      <c r="O751" s="1662"/>
      <c r="P751" s="1663"/>
      <c r="Q751" s="1663"/>
      <c r="R751" s="1663"/>
      <c r="S751" s="1664"/>
      <c r="T751" s="1662"/>
      <c r="U751" s="1663"/>
      <c r="V751" s="1663"/>
      <c r="W751" s="1664"/>
      <c r="X751" s="1665">
        <f t="shared" si="44"/>
        <v>0</v>
      </c>
      <c r="Y751" s="1661"/>
      <c r="Z751" s="1661"/>
      <c r="AA751" s="1661"/>
      <c r="AB751" s="1666"/>
      <c r="AC751" s="1667"/>
      <c r="AD751" s="1668"/>
      <c r="AE751" s="1668"/>
      <c r="AF751" s="1668"/>
      <c r="AG751" s="1669"/>
      <c r="AH751" s="1685" t="str">
        <f t="shared" si="39"/>
        <v/>
      </c>
      <c r="AI751" s="1686"/>
      <c r="AJ751" s="1687"/>
      <c r="AK751" s="1627" t="s">
        <v>590</v>
      </c>
      <c r="AL751" s="1628"/>
      <c r="AM751" s="1628"/>
      <c r="AN751" s="1628"/>
      <c r="AO751" s="1629"/>
      <c r="AT751"/>
      <c r="AU751"/>
      <c r="AV751"/>
      <c r="AW751"/>
      <c r="AX751"/>
      <c r="AY751" s="1077"/>
      <c r="AZ751" s="118" t="str">
        <f t="shared" si="11"/>
        <v>N/A</v>
      </c>
      <c r="BD751"/>
      <c r="BE751"/>
      <c r="BF751" s="292">
        <f t="shared" si="12"/>
        <v>0</v>
      </c>
      <c r="BG751" s="295">
        <f t="shared" si="13"/>
        <v>0</v>
      </c>
      <c r="BH751" s="296" t="str">
        <f t="shared" si="14"/>
        <v/>
      </c>
      <c r="BI751"/>
      <c r="BJ751"/>
      <c r="BK751"/>
      <c r="BL751"/>
      <c r="BM751"/>
      <c r="BN751"/>
      <c r="BO751"/>
      <c r="BP751"/>
      <c r="BQ751"/>
      <c r="BR751"/>
      <c r="BS751" s="292">
        <f t="shared" si="15"/>
        <v>0</v>
      </c>
      <c r="BT751" s="295">
        <f t="shared" si="16"/>
        <v>0</v>
      </c>
      <c r="BU751" s="296" t="str">
        <f t="shared" si="17"/>
        <v/>
      </c>
      <c r="CD751"/>
      <c r="CG751" s="1783">
        <f t="shared" si="40"/>
        <v>0</v>
      </c>
      <c r="CH751" s="1784"/>
      <c r="CI751" s="1789">
        <f t="shared" si="41"/>
        <v>0</v>
      </c>
      <c r="CJ751" s="1790"/>
      <c r="CK751" s="1783">
        <f t="shared" si="18"/>
        <v>0</v>
      </c>
      <c r="CL751" s="1784"/>
      <c r="CM751" s="1789">
        <f t="shared" si="19"/>
        <v>0</v>
      </c>
      <c r="CN751" s="1790"/>
      <c r="CP751" s="1785">
        <f t="shared" si="20"/>
        <v>0</v>
      </c>
      <c r="CQ751" s="1786"/>
      <c r="CR751" s="1786"/>
      <c r="CS751" s="1786"/>
      <c r="CT751" s="1787"/>
      <c r="CU751" s="1782">
        <f t="shared" si="21"/>
        <v>0</v>
      </c>
      <c r="CV751" s="1782"/>
      <c r="CW751" s="1782"/>
      <c r="CX751" s="1782"/>
      <c r="CY751" s="1782"/>
      <c r="CZ751" s="1782">
        <f t="shared" si="22"/>
        <v>0</v>
      </c>
      <c r="DA751" s="1782"/>
      <c r="DB751" s="1782"/>
      <c r="DC751" s="1782"/>
      <c r="DD751" s="1782"/>
      <c r="DE751" s="1782">
        <f t="shared" si="23"/>
        <v>0</v>
      </c>
      <c r="DF751" s="1782"/>
      <c r="DG751" s="1782"/>
      <c r="DH751" s="1782"/>
      <c r="DI751" s="1782"/>
      <c r="DJ751" s="1782">
        <f t="shared" si="24"/>
        <v>0</v>
      </c>
      <c r="DK751" s="1782"/>
      <c r="DL751" s="1782"/>
      <c r="DM751" s="1782"/>
      <c r="DN751" s="1782"/>
      <c r="DO751" s="1782">
        <f t="shared" si="25"/>
        <v>0</v>
      </c>
      <c r="DP751" s="1782"/>
      <c r="DQ751" s="1782"/>
      <c r="DR751" s="1782"/>
      <c r="DS751" s="1782"/>
      <c r="DT751" s="6"/>
      <c r="DU751" s="1780">
        <f t="shared" si="26"/>
        <v>0</v>
      </c>
      <c r="DV751" s="1780"/>
      <c r="DW751" s="1780"/>
      <c r="DX751" s="1780"/>
      <c r="DY751" s="1780"/>
      <c r="DZ751" s="1780">
        <f t="shared" si="27"/>
        <v>0</v>
      </c>
      <c r="EA751" s="1780"/>
      <c r="EB751" s="1780"/>
      <c r="EC751" s="1780"/>
      <c r="ED751" s="1780"/>
      <c r="EE751" s="1780">
        <f t="shared" si="28"/>
        <v>0</v>
      </c>
      <c r="EF751" s="1780"/>
      <c r="EG751" s="1780"/>
      <c r="EH751" s="1780"/>
      <c r="EI751" s="1780"/>
      <c r="EJ751" s="1780">
        <f t="shared" si="29"/>
        <v>0</v>
      </c>
      <c r="EK751" s="1780"/>
      <c r="EL751" s="1780"/>
      <c r="EM751" s="1780"/>
      <c r="EN751" s="1780"/>
      <c r="EO751" s="1780">
        <f t="shared" si="30"/>
        <v>0</v>
      </c>
      <c r="EP751" s="1780"/>
      <c r="EQ751" s="1780"/>
      <c r="ER751" s="1780"/>
      <c r="ES751" s="1780"/>
      <c r="ET751" s="1780">
        <f t="shared" si="31"/>
        <v>0</v>
      </c>
      <c r="EU751" s="1780"/>
      <c r="EV751" s="1780"/>
      <c r="EW751" s="1780"/>
      <c r="EX751" s="1780"/>
      <c r="EY751"/>
      <c r="EZ751" s="1783" t="str">
        <f t="shared" si="32"/>
        <v/>
      </c>
      <c r="FA751" s="1795"/>
      <c r="FB751" s="1795"/>
      <c r="FC751" s="1795"/>
      <c r="FD751" s="1784"/>
      <c r="FE751" s="1783" t="str">
        <f t="shared" si="33"/>
        <v/>
      </c>
      <c r="FF751" s="1795"/>
      <c r="FG751" s="1795"/>
      <c r="FH751" s="1795"/>
      <c r="FI751" s="1784"/>
      <c r="FJ751" s="1783" t="str">
        <f t="shared" si="34"/>
        <v/>
      </c>
      <c r="FK751" s="1795"/>
      <c r="FL751" s="1795"/>
      <c r="FM751" s="1795"/>
      <c r="FN751" s="1784"/>
      <c r="FO751" s="1783" t="str">
        <f t="shared" si="35"/>
        <v/>
      </c>
      <c r="FP751" s="1795"/>
      <c r="FQ751" s="1795"/>
      <c r="FR751" s="1795"/>
      <c r="FS751" s="1784"/>
      <c r="FT751" s="1783" t="str">
        <f t="shared" si="36"/>
        <v/>
      </c>
      <c r="FU751" s="1795"/>
      <c r="FV751" s="1795"/>
      <c r="FW751" s="1795"/>
      <c r="FX751" s="1784"/>
      <c r="FY751" s="1783" t="str">
        <f t="shared" si="37"/>
        <v/>
      </c>
      <c r="FZ751" s="1795"/>
      <c r="GA751" s="1795"/>
      <c r="GB751" s="1795"/>
      <c r="GC751" s="1784"/>
    </row>
    <row r="752" spans="1:185" ht="12.95" customHeight="1">
      <c r="B752" s="1627"/>
      <c r="C752" s="1628"/>
      <c r="D752" s="1628"/>
      <c r="E752" s="1628"/>
      <c r="F752" s="1629"/>
      <c r="G752" s="1621"/>
      <c r="H752" s="1622"/>
      <c r="I752" s="1622"/>
      <c r="J752" s="1623"/>
      <c r="K752" s="1624"/>
      <c r="L752" s="1625"/>
      <c r="M752" s="1625"/>
      <c r="N752" s="1626"/>
      <c r="O752" s="1662"/>
      <c r="P752" s="1663"/>
      <c r="Q752" s="1663"/>
      <c r="R752" s="1663"/>
      <c r="S752" s="1664"/>
      <c r="T752" s="1662"/>
      <c r="U752" s="1663"/>
      <c r="V752" s="1663"/>
      <c r="W752" s="1664"/>
      <c r="X752" s="1665">
        <f t="shared" si="44"/>
        <v>0</v>
      </c>
      <c r="Y752" s="1661"/>
      <c r="Z752" s="1661"/>
      <c r="AA752" s="1661"/>
      <c r="AB752" s="1666"/>
      <c r="AC752" s="1667"/>
      <c r="AD752" s="1668"/>
      <c r="AE752" s="1668"/>
      <c r="AF752" s="1668"/>
      <c r="AG752" s="1669"/>
      <c r="AH752" s="1685" t="str">
        <f t="shared" si="39"/>
        <v/>
      </c>
      <c r="AI752" s="1686"/>
      <c r="AJ752" s="1687"/>
      <c r="AK752" s="1627" t="s">
        <v>590</v>
      </c>
      <c r="AL752" s="1628"/>
      <c r="AM752" s="1628"/>
      <c r="AN752" s="1628"/>
      <c r="AO752" s="1629"/>
      <c r="AP752" s="3"/>
      <c r="AQ752" s="3"/>
      <c r="AR752" s="3"/>
      <c r="AS752" s="3"/>
      <c r="AY752" s="1077"/>
      <c r="AZ752" s="118" t="str">
        <f t="shared" si="11"/>
        <v>N/A</v>
      </c>
      <c r="BA752" s="3"/>
      <c r="BB752" s="3"/>
      <c r="BC752" s="3"/>
      <c r="BD752" s="3"/>
      <c r="BE752" s="3"/>
      <c r="BF752" s="292">
        <f t="shared" si="12"/>
        <v>0</v>
      </c>
      <c r="BG752" s="295">
        <f t="shared" si="13"/>
        <v>0</v>
      </c>
      <c r="BH752" s="296" t="str">
        <f t="shared" si="14"/>
        <v/>
      </c>
      <c r="BI752" s="3"/>
      <c r="BJ752" s="3"/>
      <c r="BK752" s="3"/>
      <c r="BL752" s="3"/>
      <c r="BM752" s="3"/>
      <c r="BN752" s="3"/>
      <c r="BS752" s="292">
        <f t="shared" si="15"/>
        <v>0</v>
      </c>
      <c r="BT752" s="295">
        <f t="shared" si="16"/>
        <v>0</v>
      </c>
      <c r="BU752" s="296" t="str">
        <f t="shared" si="17"/>
        <v/>
      </c>
      <c r="BV752" s="3"/>
      <c r="BW752" s="3"/>
      <c r="BX752" s="3"/>
      <c r="BY752" s="3"/>
      <c r="BZ752" s="3"/>
      <c r="CA752" s="3"/>
      <c r="CB752" s="3"/>
      <c r="CC752" s="3"/>
      <c r="CE752" s="3"/>
      <c r="CF752" s="3"/>
      <c r="CG752" s="1783">
        <f t="shared" si="40"/>
        <v>0</v>
      </c>
      <c r="CH752" s="1784"/>
      <c r="CI752" s="1789">
        <f t="shared" si="41"/>
        <v>0</v>
      </c>
      <c r="CJ752" s="1790"/>
      <c r="CK752" s="1783">
        <f t="shared" si="18"/>
        <v>0</v>
      </c>
      <c r="CL752" s="1784"/>
      <c r="CM752" s="1789">
        <f t="shared" si="19"/>
        <v>0</v>
      </c>
      <c r="CN752" s="1790"/>
      <c r="CO752" s="3"/>
      <c r="CP752" s="1785">
        <f t="shared" si="20"/>
        <v>0</v>
      </c>
      <c r="CQ752" s="1786"/>
      <c r="CR752" s="1786"/>
      <c r="CS752" s="1786"/>
      <c r="CT752" s="1787"/>
      <c r="CU752" s="1782">
        <f t="shared" si="21"/>
        <v>0</v>
      </c>
      <c r="CV752" s="1782"/>
      <c r="CW752" s="1782"/>
      <c r="CX752" s="1782"/>
      <c r="CY752" s="1782"/>
      <c r="CZ752" s="1782">
        <f t="shared" si="22"/>
        <v>0</v>
      </c>
      <c r="DA752" s="1782"/>
      <c r="DB752" s="1782"/>
      <c r="DC752" s="1782"/>
      <c r="DD752" s="1782"/>
      <c r="DE752" s="1782">
        <f t="shared" si="23"/>
        <v>0</v>
      </c>
      <c r="DF752" s="1782"/>
      <c r="DG752" s="1782"/>
      <c r="DH752" s="1782"/>
      <c r="DI752" s="1782"/>
      <c r="DJ752" s="1782">
        <f t="shared" si="24"/>
        <v>0</v>
      </c>
      <c r="DK752" s="1782"/>
      <c r="DL752" s="1782"/>
      <c r="DM752" s="1782"/>
      <c r="DN752" s="1782"/>
      <c r="DO752" s="1782">
        <f t="shared" si="25"/>
        <v>0</v>
      </c>
      <c r="DP752" s="1782"/>
      <c r="DQ752" s="1782"/>
      <c r="DR752" s="1782"/>
      <c r="DS752" s="1782"/>
      <c r="DT752" s="6"/>
      <c r="DU752" s="1780">
        <f t="shared" si="26"/>
        <v>0</v>
      </c>
      <c r="DV752" s="1780"/>
      <c r="DW752" s="1780"/>
      <c r="DX752" s="1780"/>
      <c r="DY752" s="1780"/>
      <c r="DZ752" s="1780">
        <f t="shared" si="27"/>
        <v>0</v>
      </c>
      <c r="EA752" s="1780"/>
      <c r="EB752" s="1780"/>
      <c r="EC752" s="1780"/>
      <c r="ED752" s="1780"/>
      <c r="EE752" s="1780">
        <f t="shared" si="28"/>
        <v>0</v>
      </c>
      <c r="EF752" s="1780"/>
      <c r="EG752" s="1780"/>
      <c r="EH752" s="1780"/>
      <c r="EI752" s="1780"/>
      <c r="EJ752" s="1780">
        <f t="shared" si="29"/>
        <v>0</v>
      </c>
      <c r="EK752" s="1780"/>
      <c r="EL752" s="1780"/>
      <c r="EM752" s="1780"/>
      <c r="EN752" s="1780"/>
      <c r="EO752" s="1780">
        <f t="shared" si="30"/>
        <v>0</v>
      </c>
      <c r="EP752" s="1780"/>
      <c r="EQ752" s="1780"/>
      <c r="ER752" s="1780"/>
      <c r="ES752" s="1780"/>
      <c r="ET752" s="1780">
        <f t="shared" si="31"/>
        <v>0</v>
      </c>
      <c r="EU752" s="1780"/>
      <c r="EV752" s="1780"/>
      <c r="EW752" s="1780"/>
      <c r="EX752" s="1780"/>
      <c r="EZ752" s="1783" t="str">
        <f t="shared" si="32"/>
        <v/>
      </c>
      <c r="FA752" s="1795"/>
      <c r="FB752" s="1795"/>
      <c r="FC752" s="1795"/>
      <c r="FD752" s="1784"/>
      <c r="FE752" s="1783" t="str">
        <f t="shared" si="33"/>
        <v/>
      </c>
      <c r="FF752" s="1795"/>
      <c r="FG752" s="1795"/>
      <c r="FH752" s="1795"/>
      <c r="FI752" s="1784"/>
      <c r="FJ752" s="1783" t="str">
        <f t="shared" si="34"/>
        <v/>
      </c>
      <c r="FK752" s="1795"/>
      <c r="FL752" s="1795"/>
      <c r="FM752" s="1795"/>
      <c r="FN752" s="1784"/>
      <c r="FO752" s="1783" t="str">
        <f t="shared" si="35"/>
        <v/>
      </c>
      <c r="FP752" s="1795"/>
      <c r="FQ752" s="1795"/>
      <c r="FR752" s="1795"/>
      <c r="FS752" s="1784"/>
      <c r="FT752" s="1783" t="str">
        <f t="shared" si="36"/>
        <v/>
      </c>
      <c r="FU752" s="1795"/>
      <c r="FV752" s="1795"/>
      <c r="FW752" s="1795"/>
      <c r="FX752" s="1784"/>
      <c r="FY752" s="1783" t="str">
        <f t="shared" si="37"/>
        <v/>
      </c>
      <c r="FZ752" s="1795"/>
      <c r="GA752" s="1795"/>
      <c r="GB752" s="1795"/>
      <c r="GC752" s="1784"/>
    </row>
    <row r="753" spans="1:185" ht="12.95" customHeight="1">
      <c r="B753" s="1627"/>
      <c r="C753" s="1628"/>
      <c r="D753" s="1628"/>
      <c r="E753" s="1628"/>
      <c r="F753" s="1629"/>
      <c r="G753" s="1621"/>
      <c r="H753" s="1622"/>
      <c r="I753" s="1622"/>
      <c r="J753" s="1623"/>
      <c r="K753" s="1624"/>
      <c r="L753" s="1625"/>
      <c r="M753" s="1625"/>
      <c r="N753" s="1626"/>
      <c r="O753" s="1662"/>
      <c r="P753" s="1663"/>
      <c r="Q753" s="1663"/>
      <c r="R753" s="1663"/>
      <c r="S753" s="1664"/>
      <c r="T753" s="1662"/>
      <c r="U753" s="1663"/>
      <c r="V753" s="1663"/>
      <c r="W753" s="1664"/>
      <c r="X753" s="1665">
        <f t="shared" si="44"/>
        <v>0</v>
      </c>
      <c r="Y753" s="1661"/>
      <c r="Z753" s="1661"/>
      <c r="AA753" s="1661"/>
      <c r="AB753" s="1666"/>
      <c r="AC753" s="1667"/>
      <c r="AD753" s="1668"/>
      <c r="AE753" s="1668"/>
      <c r="AF753" s="1668"/>
      <c r="AG753" s="1669"/>
      <c r="AH753" s="1685" t="str">
        <f t="shared" si="39"/>
        <v/>
      </c>
      <c r="AI753" s="1686"/>
      <c r="AJ753" s="1687"/>
      <c r="AK753" s="1627" t="s">
        <v>590</v>
      </c>
      <c r="AL753" s="1628"/>
      <c r="AM753" s="1628"/>
      <c r="AN753" s="1628"/>
      <c r="AO753" s="1629"/>
      <c r="AP753" s="3"/>
      <c r="AQ753" s="3"/>
      <c r="AR753" s="3"/>
      <c r="AS753" s="3"/>
      <c r="AY753" s="1077"/>
      <c r="AZ753" s="118" t="str">
        <f t="shared" si="11"/>
        <v>N/A</v>
      </c>
      <c r="BA753" s="3"/>
      <c r="BB753" s="3"/>
      <c r="BC753" s="3"/>
      <c r="BD753" s="3"/>
      <c r="BE753" s="3"/>
      <c r="BF753" s="292">
        <f t="shared" si="12"/>
        <v>0</v>
      </c>
      <c r="BG753" s="295">
        <f t="shared" si="13"/>
        <v>0</v>
      </c>
      <c r="BH753" s="296" t="str">
        <f t="shared" si="14"/>
        <v/>
      </c>
      <c r="BI753" s="3"/>
      <c r="BJ753" s="3"/>
      <c r="BK753" s="3"/>
      <c r="BL753" s="3"/>
      <c r="BM753" s="3"/>
      <c r="BN753" s="3"/>
      <c r="BS753" s="292">
        <f t="shared" si="15"/>
        <v>0</v>
      </c>
      <c r="BT753" s="295">
        <f t="shared" si="16"/>
        <v>0</v>
      </c>
      <c r="BU753" s="296" t="str">
        <f t="shared" si="17"/>
        <v/>
      </c>
      <c r="BV753" s="3"/>
      <c r="BW753" s="3"/>
      <c r="BX753" s="3"/>
      <c r="BY753" s="3"/>
      <c r="BZ753" s="3"/>
      <c r="CA753" s="3"/>
      <c r="CB753" s="3"/>
      <c r="CC753" s="3"/>
      <c r="CE753" s="3"/>
      <c r="CF753" s="3"/>
      <c r="CG753" s="1783">
        <f t="shared" si="40"/>
        <v>0</v>
      </c>
      <c r="CH753" s="1784"/>
      <c r="CI753" s="1789">
        <f t="shared" si="41"/>
        <v>0</v>
      </c>
      <c r="CJ753" s="1790"/>
      <c r="CK753" s="1783">
        <f t="shared" si="18"/>
        <v>0</v>
      </c>
      <c r="CL753" s="1784"/>
      <c r="CM753" s="1789">
        <f t="shared" si="19"/>
        <v>0</v>
      </c>
      <c r="CN753" s="1790"/>
      <c r="CO753" s="3"/>
      <c r="CP753" s="1785">
        <f t="shared" si="20"/>
        <v>0</v>
      </c>
      <c r="CQ753" s="1786"/>
      <c r="CR753" s="1786"/>
      <c r="CS753" s="1786"/>
      <c r="CT753" s="1787"/>
      <c r="CU753" s="1782">
        <f t="shared" si="21"/>
        <v>0</v>
      </c>
      <c r="CV753" s="1782"/>
      <c r="CW753" s="1782"/>
      <c r="CX753" s="1782"/>
      <c r="CY753" s="1782"/>
      <c r="CZ753" s="1782">
        <f t="shared" si="22"/>
        <v>0</v>
      </c>
      <c r="DA753" s="1782"/>
      <c r="DB753" s="1782"/>
      <c r="DC753" s="1782"/>
      <c r="DD753" s="1782"/>
      <c r="DE753" s="1782">
        <f t="shared" si="23"/>
        <v>0</v>
      </c>
      <c r="DF753" s="1782"/>
      <c r="DG753" s="1782"/>
      <c r="DH753" s="1782"/>
      <c r="DI753" s="1782"/>
      <c r="DJ753" s="1782">
        <f t="shared" si="24"/>
        <v>0</v>
      </c>
      <c r="DK753" s="1782"/>
      <c r="DL753" s="1782"/>
      <c r="DM753" s="1782"/>
      <c r="DN753" s="1782"/>
      <c r="DO753" s="1782">
        <f t="shared" si="25"/>
        <v>0</v>
      </c>
      <c r="DP753" s="1782"/>
      <c r="DQ753" s="1782"/>
      <c r="DR753" s="1782"/>
      <c r="DS753" s="1782"/>
      <c r="DT753" s="6"/>
      <c r="DU753" s="1780">
        <f t="shared" si="26"/>
        <v>0</v>
      </c>
      <c r="DV753" s="1780"/>
      <c r="DW753" s="1780"/>
      <c r="DX753" s="1780"/>
      <c r="DY753" s="1780"/>
      <c r="DZ753" s="1780">
        <f t="shared" si="27"/>
        <v>0</v>
      </c>
      <c r="EA753" s="1780"/>
      <c r="EB753" s="1780"/>
      <c r="EC753" s="1780"/>
      <c r="ED753" s="1780"/>
      <c r="EE753" s="1780">
        <f t="shared" si="28"/>
        <v>0</v>
      </c>
      <c r="EF753" s="1780"/>
      <c r="EG753" s="1780"/>
      <c r="EH753" s="1780"/>
      <c r="EI753" s="1780"/>
      <c r="EJ753" s="1780">
        <f t="shared" si="29"/>
        <v>0</v>
      </c>
      <c r="EK753" s="1780"/>
      <c r="EL753" s="1780"/>
      <c r="EM753" s="1780"/>
      <c r="EN753" s="1780"/>
      <c r="EO753" s="1780">
        <f t="shared" si="30"/>
        <v>0</v>
      </c>
      <c r="EP753" s="1780"/>
      <c r="EQ753" s="1780"/>
      <c r="ER753" s="1780"/>
      <c r="ES753" s="1780"/>
      <c r="ET753" s="1780">
        <f t="shared" si="31"/>
        <v>0</v>
      </c>
      <c r="EU753" s="1780"/>
      <c r="EV753" s="1780"/>
      <c r="EW753" s="1780"/>
      <c r="EX753" s="1780"/>
      <c r="EZ753" s="1783" t="str">
        <f t="shared" si="32"/>
        <v/>
      </c>
      <c r="FA753" s="1795"/>
      <c r="FB753" s="1795"/>
      <c r="FC753" s="1795"/>
      <c r="FD753" s="1784"/>
      <c r="FE753" s="1783" t="str">
        <f t="shared" si="33"/>
        <v/>
      </c>
      <c r="FF753" s="1795"/>
      <c r="FG753" s="1795"/>
      <c r="FH753" s="1795"/>
      <c r="FI753" s="1784"/>
      <c r="FJ753" s="1783" t="str">
        <f t="shared" si="34"/>
        <v/>
      </c>
      <c r="FK753" s="1795"/>
      <c r="FL753" s="1795"/>
      <c r="FM753" s="1795"/>
      <c r="FN753" s="1784"/>
      <c r="FO753" s="1783" t="str">
        <f t="shared" si="35"/>
        <v/>
      </c>
      <c r="FP753" s="1795"/>
      <c r="FQ753" s="1795"/>
      <c r="FR753" s="1795"/>
      <c r="FS753" s="1784"/>
      <c r="FT753" s="1783" t="str">
        <f t="shared" si="36"/>
        <v/>
      </c>
      <c r="FU753" s="1795"/>
      <c r="FV753" s="1795"/>
      <c r="FW753" s="1795"/>
      <c r="FX753" s="1784"/>
      <c r="FY753" s="1783" t="str">
        <f t="shared" si="37"/>
        <v/>
      </c>
      <c r="FZ753" s="1795"/>
      <c r="GA753" s="1795"/>
      <c r="GB753" s="1795"/>
      <c r="GC753" s="1784"/>
    </row>
    <row r="754" spans="1:185" ht="12.95" customHeight="1">
      <c r="B754" s="1627"/>
      <c r="C754" s="1628"/>
      <c r="D754" s="1628"/>
      <c r="E754" s="1628"/>
      <c r="F754" s="1629"/>
      <c r="G754" s="1621"/>
      <c r="H754" s="1622"/>
      <c r="I754" s="1622"/>
      <c r="J754" s="1623"/>
      <c r="K754" s="1624"/>
      <c r="L754" s="1625"/>
      <c r="M754" s="1625"/>
      <c r="N754" s="1626"/>
      <c r="O754" s="1662"/>
      <c r="P754" s="1663"/>
      <c r="Q754" s="1663"/>
      <c r="R754" s="1663"/>
      <c r="S754" s="1664"/>
      <c r="T754" s="1662"/>
      <c r="U754" s="1663"/>
      <c r="V754" s="1663"/>
      <c r="W754" s="1664"/>
      <c r="X754" s="1665">
        <f t="shared" si="44"/>
        <v>0</v>
      </c>
      <c r="Y754" s="1661"/>
      <c r="Z754" s="1661"/>
      <c r="AA754" s="1661"/>
      <c r="AB754" s="1666"/>
      <c r="AC754" s="1667"/>
      <c r="AD754" s="1668"/>
      <c r="AE754" s="1668"/>
      <c r="AF754" s="1668"/>
      <c r="AG754" s="1669"/>
      <c r="AH754" s="1685" t="str">
        <f t="shared" si="39"/>
        <v/>
      </c>
      <c r="AI754" s="1686"/>
      <c r="AJ754" s="1687"/>
      <c r="AK754" s="1627" t="s">
        <v>590</v>
      </c>
      <c r="AL754" s="1628"/>
      <c r="AM754" s="1628"/>
      <c r="AN754" s="1628"/>
      <c r="AO754" s="1629"/>
      <c r="AP754" s="3"/>
      <c r="AQ754" s="3"/>
      <c r="AR754" s="3"/>
      <c r="AS754" s="3"/>
      <c r="AY754" s="1077"/>
      <c r="AZ754" s="118" t="str">
        <f t="shared" si="11"/>
        <v>N/A</v>
      </c>
      <c r="BA754" s="34"/>
      <c r="BB754" s="34"/>
      <c r="BC754" s="34"/>
      <c r="BD754" s="34"/>
      <c r="BE754" s="34"/>
      <c r="BF754" s="292">
        <f t="shared" si="12"/>
        <v>0</v>
      </c>
      <c r="BG754" s="295">
        <f t="shared" si="13"/>
        <v>0</v>
      </c>
      <c r="BH754" s="296" t="str">
        <f t="shared" si="14"/>
        <v/>
      </c>
      <c r="BI754" s="34"/>
      <c r="BJ754" s="34"/>
      <c r="BK754" s="34"/>
      <c r="BL754" s="34"/>
      <c r="BM754" s="34"/>
      <c r="BN754" s="34"/>
      <c r="BS754" s="292">
        <f t="shared" si="15"/>
        <v>0</v>
      </c>
      <c r="BT754" s="295">
        <f t="shared" si="16"/>
        <v>0</v>
      </c>
      <c r="BU754" s="296" t="str">
        <f t="shared" si="17"/>
        <v/>
      </c>
      <c r="BV754" s="3"/>
      <c r="BW754" s="3"/>
      <c r="BX754" s="3"/>
      <c r="BY754" s="3"/>
      <c r="BZ754" s="3"/>
      <c r="CA754" s="3"/>
      <c r="CB754" s="3"/>
      <c r="CC754" s="3"/>
      <c r="CE754" s="3"/>
      <c r="CF754" s="3"/>
      <c r="CG754" s="1783">
        <f t="shared" si="40"/>
        <v>0</v>
      </c>
      <c r="CH754" s="1784"/>
      <c r="CI754" s="1789">
        <f t="shared" si="41"/>
        <v>0</v>
      </c>
      <c r="CJ754" s="1790"/>
      <c r="CK754" s="1783">
        <f t="shared" si="18"/>
        <v>0</v>
      </c>
      <c r="CL754" s="1784"/>
      <c r="CM754" s="1789">
        <f t="shared" si="19"/>
        <v>0</v>
      </c>
      <c r="CN754" s="1790"/>
      <c r="CO754" s="3"/>
      <c r="CP754" s="1785">
        <f t="shared" si="20"/>
        <v>0</v>
      </c>
      <c r="CQ754" s="1786"/>
      <c r="CR754" s="1786"/>
      <c r="CS754" s="1786"/>
      <c r="CT754" s="1787"/>
      <c r="CU754" s="1782">
        <f t="shared" si="21"/>
        <v>0</v>
      </c>
      <c r="CV754" s="1782"/>
      <c r="CW754" s="1782"/>
      <c r="CX754" s="1782"/>
      <c r="CY754" s="1782"/>
      <c r="CZ754" s="1782">
        <f t="shared" si="22"/>
        <v>0</v>
      </c>
      <c r="DA754" s="1782"/>
      <c r="DB754" s="1782"/>
      <c r="DC754" s="1782"/>
      <c r="DD754" s="1782"/>
      <c r="DE754" s="1782">
        <f t="shared" si="23"/>
        <v>0</v>
      </c>
      <c r="DF754" s="1782"/>
      <c r="DG754" s="1782"/>
      <c r="DH754" s="1782"/>
      <c r="DI754" s="1782"/>
      <c r="DJ754" s="1782">
        <f t="shared" si="24"/>
        <v>0</v>
      </c>
      <c r="DK754" s="1782"/>
      <c r="DL754" s="1782"/>
      <c r="DM754" s="1782"/>
      <c r="DN754" s="1782"/>
      <c r="DO754" s="1782">
        <f t="shared" si="25"/>
        <v>0</v>
      </c>
      <c r="DP754" s="1782"/>
      <c r="DQ754" s="1782"/>
      <c r="DR754" s="1782"/>
      <c r="DS754" s="1782"/>
      <c r="DT754" s="6"/>
      <c r="DU754" s="1780">
        <f t="shared" si="26"/>
        <v>0</v>
      </c>
      <c r="DV754" s="1780"/>
      <c r="DW754" s="1780"/>
      <c r="DX754" s="1780"/>
      <c r="DY754" s="1780"/>
      <c r="DZ754" s="1780">
        <f t="shared" si="27"/>
        <v>0</v>
      </c>
      <c r="EA754" s="1780"/>
      <c r="EB754" s="1780"/>
      <c r="EC754" s="1780"/>
      <c r="ED754" s="1780"/>
      <c r="EE754" s="1780">
        <f t="shared" si="28"/>
        <v>0</v>
      </c>
      <c r="EF754" s="1780"/>
      <c r="EG754" s="1780"/>
      <c r="EH754" s="1780"/>
      <c r="EI754" s="1780"/>
      <c r="EJ754" s="1780">
        <f t="shared" si="29"/>
        <v>0</v>
      </c>
      <c r="EK754" s="1780"/>
      <c r="EL754" s="1780"/>
      <c r="EM754" s="1780"/>
      <c r="EN754" s="1780"/>
      <c r="EO754" s="1780">
        <f t="shared" si="30"/>
        <v>0</v>
      </c>
      <c r="EP754" s="1780"/>
      <c r="EQ754" s="1780"/>
      <c r="ER754" s="1780"/>
      <c r="ES754" s="1780"/>
      <c r="ET754" s="1780">
        <f t="shared" si="31"/>
        <v>0</v>
      </c>
      <c r="EU754" s="1780"/>
      <c r="EV754" s="1780"/>
      <c r="EW754" s="1780"/>
      <c r="EX754" s="1780"/>
      <c r="EZ754" s="1783" t="str">
        <f t="shared" si="32"/>
        <v/>
      </c>
      <c r="FA754" s="1795"/>
      <c r="FB754" s="1795"/>
      <c r="FC754" s="1795"/>
      <c r="FD754" s="1784"/>
      <c r="FE754" s="1783" t="str">
        <f t="shared" si="33"/>
        <v/>
      </c>
      <c r="FF754" s="1795"/>
      <c r="FG754" s="1795"/>
      <c r="FH754" s="1795"/>
      <c r="FI754" s="1784"/>
      <c r="FJ754" s="1783" t="str">
        <f t="shared" si="34"/>
        <v/>
      </c>
      <c r="FK754" s="1795"/>
      <c r="FL754" s="1795"/>
      <c r="FM754" s="1795"/>
      <c r="FN754" s="1784"/>
      <c r="FO754" s="1783" t="str">
        <f t="shared" si="35"/>
        <v/>
      </c>
      <c r="FP754" s="1795"/>
      <c r="FQ754" s="1795"/>
      <c r="FR754" s="1795"/>
      <c r="FS754" s="1784"/>
      <c r="FT754" s="1783" t="str">
        <f t="shared" si="36"/>
        <v/>
      </c>
      <c r="FU754" s="1795"/>
      <c r="FV754" s="1795"/>
      <c r="FW754" s="1795"/>
      <c r="FX754" s="1784"/>
      <c r="FY754" s="1783" t="str">
        <f t="shared" si="37"/>
        <v/>
      </c>
      <c r="FZ754" s="1795"/>
      <c r="GA754" s="1795"/>
      <c r="GB754" s="1795"/>
      <c r="GC754" s="1784"/>
    </row>
    <row r="755" spans="1:185" ht="12.95" customHeight="1">
      <c r="B755" s="1627"/>
      <c r="C755" s="1628"/>
      <c r="D755" s="1628"/>
      <c r="E755" s="1628"/>
      <c r="F755" s="1629"/>
      <c r="G755" s="1621"/>
      <c r="H755" s="1622"/>
      <c r="I755" s="1622"/>
      <c r="J755" s="1623"/>
      <c r="K755" s="1624"/>
      <c r="L755" s="1625"/>
      <c r="M755" s="1625"/>
      <c r="N755" s="1626"/>
      <c r="O755" s="1662"/>
      <c r="P755" s="1663"/>
      <c r="Q755" s="1663"/>
      <c r="R755" s="1663"/>
      <c r="S755" s="1664"/>
      <c r="T755" s="1662"/>
      <c r="U755" s="1663"/>
      <c r="V755" s="1663"/>
      <c r="W755" s="1664"/>
      <c r="X755" s="1665">
        <f t="shared" si="44"/>
        <v>0</v>
      </c>
      <c r="Y755" s="1661"/>
      <c r="Z755" s="1661"/>
      <c r="AA755" s="1661"/>
      <c r="AB755" s="1666"/>
      <c r="AC755" s="1667"/>
      <c r="AD755" s="1668"/>
      <c r="AE755" s="1668"/>
      <c r="AF755" s="1668"/>
      <c r="AG755" s="1669"/>
      <c r="AH755" s="1685" t="str">
        <f t="shared" si="39"/>
        <v/>
      </c>
      <c r="AI755" s="1686"/>
      <c r="AJ755" s="1687"/>
      <c r="AK755" s="1627" t="s">
        <v>590</v>
      </c>
      <c r="AL755" s="1628"/>
      <c r="AM755" s="1628"/>
      <c r="AN755" s="1628"/>
      <c r="AO755" s="1629"/>
      <c r="AP755" s="3"/>
      <c r="AQ755" s="3"/>
      <c r="AR755" s="3"/>
      <c r="AS755" s="3"/>
      <c r="AY755" s="1077"/>
      <c r="AZ755" s="118" t="str">
        <f t="shared" si="11"/>
        <v>N/A</v>
      </c>
      <c r="BA755" s="34"/>
      <c r="BB755" s="34"/>
      <c r="BC755" s="34"/>
      <c r="BD755" s="34"/>
      <c r="BE755" s="34"/>
      <c r="BF755" s="292">
        <f t="shared" si="12"/>
        <v>0</v>
      </c>
      <c r="BG755" s="295">
        <f t="shared" si="13"/>
        <v>0</v>
      </c>
      <c r="BH755" s="296" t="str">
        <f t="shared" si="14"/>
        <v/>
      </c>
      <c r="BI755" s="34"/>
      <c r="BJ755" s="34"/>
      <c r="BK755" s="34"/>
      <c r="BL755" s="34"/>
      <c r="BM755" s="34"/>
      <c r="BN755" s="34"/>
      <c r="BS755" s="292">
        <f t="shared" si="15"/>
        <v>0</v>
      </c>
      <c r="BT755" s="295">
        <f t="shared" si="16"/>
        <v>0</v>
      </c>
      <c r="BU755" s="296" t="str">
        <f t="shared" si="17"/>
        <v/>
      </c>
      <c r="BV755" s="3"/>
      <c r="BW755" s="3"/>
      <c r="BX755" s="3"/>
      <c r="BY755" s="3"/>
      <c r="BZ755" s="3"/>
      <c r="CA755" s="3"/>
      <c r="CB755" s="3"/>
      <c r="CC755" s="3"/>
      <c r="CE755" s="3"/>
      <c r="CF755" s="3"/>
      <c r="CG755" s="1783">
        <f t="shared" si="40"/>
        <v>0</v>
      </c>
      <c r="CH755" s="1784"/>
      <c r="CI755" s="1789">
        <f t="shared" si="41"/>
        <v>0</v>
      </c>
      <c r="CJ755" s="1790"/>
      <c r="CK755" s="1783">
        <f t="shared" si="18"/>
        <v>0</v>
      </c>
      <c r="CL755" s="1784"/>
      <c r="CM755" s="1789">
        <f t="shared" si="19"/>
        <v>0</v>
      </c>
      <c r="CN755" s="1790"/>
      <c r="CO755" s="3"/>
      <c r="CP755" s="1785">
        <f t="shared" si="20"/>
        <v>0</v>
      </c>
      <c r="CQ755" s="1786"/>
      <c r="CR755" s="1786"/>
      <c r="CS755" s="1786"/>
      <c r="CT755" s="1787"/>
      <c r="CU755" s="1782">
        <f t="shared" si="21"/>
        <v>0</v>
      </c>
      <c r="CV755" s="1782"/>
      <c r="CW755" s="1782"/>
      <c r="CX755" s="1782"/>
      <c r="CY755" s="1782"/>
      <c r="CZ755" s="1782">
        <f t="shared" si="22"/>
        <v>0</v>
      </c>
      <c r="DA755" s="1782"/>
      <c r="DB755" s="1782"/>
      <c r="DC755" s="1782"/>
      <c r="DD755" s="1782"/>
      <c r="DE755" s="1782">
        <f t="shared" si="23"/>
        <v>0</v>
      </c>
      <c r="DF755" s="1782"/>
      <c r="DG755" s="1782"/>
      <c r="DH755" s="1782"/>
      <c r="DI755" s="1782"/>
      <c r="DJ755" s="1782">
        <f t="shared" si="24"/>
        <v>0</v>
      </c>
      <c r="DK755" s="1782"/>
      <c r="DL755" s="1782"/>
      <c r="DM755" s="1782"/>
      <c r="DN755" s="1782"/>
      <c r="DO755" s="1782">
        <f t="shared" si="25"/>
        <v>0</v>
      </c>
      <c r="DP755" s="1782"/>
      <c r="DQ755" s="1782"/>
      <c r="DR755" s="1782"/>
      <c r="DS755" s="1782"/>
      <c r="DT755" s="6"/>
      <c r="DU755" s="1780">
        <f t="shared" si="26"/>
        <v>0</v>
      </c>
      <c r="DV755" s="1780"/>
      <c r="DW755" s="1780"/>
      <c r="DX755" s="1780"/>
      <c r="DY755" s="1780"/>
      <c r="DZ755" s="1780">
        <f t="shared" si="27"/>
        <v>0</v>
      </c>
      <c r="EA755" s="1780"/>
      <c r="EB755" s="1780"/>
      <c r="EC755" s="1780"/>
      <c r="ED755" s="1780"/>
      <c r="EE755" s="1780">
        <f t="shared" si="28"/>
        <v>0</v>
      </c>
      <c r="EF755" s="1780"/>
      <c r="EG755" s="1780"/>
      <c r="EH755" s="1780"/>
      <c r="EI755" s="1780"/>
      <c r="EJ755" s="1780">
        <f t="shared" si="29"/>
        <v>0</v>
      </c>
      <c r="EK755" s="1780"/>
      <c r="EL755" s="1780"/>
      <c r="EM755" s="1780"/>
      <c r="EN755" s="1780"/>
      <c r="EO755" s="1780">
        <f t="shared" si="30"/>
        <v>0</v>
      </c>
      <c r="EP755" s="1780"/>
      <c r="EQ755" s="1780"/>
      <c r="ER755" s="1780"/>
      <c r="ES755" s="1780"/>
      <c r="ET755" s="1780">
        <f t="shared" si="31"/>
        <v>0</v>
      </c>
      <c r="EU755" s="1780"/>
      <c r="EV755" s="1780"/>
      <c r="EW755" s="1780"/>
      <c r="EX755" s="1780"/>
      <c r="EZ755" s="1783" t="str">
        <f t="shared" si="32"/>
        <v/>
      </c>
      <c r="FA755" s="1795"/>
      <c r="FB755" s="1795"/>
      <c r="FC755" s="1795"/>
      <c r="FD755" s="1784"/>
      <c r="FE755" s="1783" t="str">
        <f t="shared" si="33"/>
        <v/>
      </c>
      <c r="FF755" s="1795"/>
      <c r="FG755" s="1795"/>
      <c r="FH755" s="1795"/>
      <c r="FI755" s="1784"/>
      <c r="FJ755" s="1783" t="str">
        <f t="shared" si="34"/>
        <v/>
      </c>
      <c r="FK755" s="1795"/>
      <c r="FL755" s="1795"/>
      <c r="FM755" s="1795"/>
      <c r="FN755" s="1784"/>
      <c r="FO755" s="1783" t="str">
        <f t="shared" si="35"/>
        <v/>
      </c>
      <c r="FP755" s="1795"/>
      <c r="FQ755" s="1795"/>
      <c r="FR755" s="1795"/>
      <c r="FS755" s="1784"/>
      <c r="FT755" s="1783" t="str">
        <f t="shared" si="36"/>
        <v/>
      </c>
      <c r="FU755" s="1795"/>
      <c r="FV755" s="1795"/>
      <c r="FW755" s="1795"/>
      <c r="FX755" s="1784"/>
      <c r="FY755" s="1783" t="str">
        <f t="shared" si="37"/>
        <v/>
      </c>
      <c r="FZ755" s="1795"/>
      <c r="GA755" s="1795"/>
      <c r="GB755" s="1795"/>
      <c r="GC755" s="1784"/>
    </row>
    <row r="756" spans="1:185" s="3" customFormat="1" ht="12.95" customHeight="1">
      <c r="A756"/>
      <c r="B756" s="1627"/>
      <c r="C756" s="1628"/>
      <c r="D756" s="1628"/>
      <c r="E756" s="1628"/>
      <c r="F756" s="1629"/>
      <c r="G756" s="1621"/>
      <c r="H756" s="1622"/>
      <c r="I756" s="1622"/>
      <c r="J756" s="1623"/>
      <c r="K756" s="1624"/>
      <c r="L756" s="1625"/>
      <c r="M756" s="1625"/>
      <c r="N756" s="1626"/>
      <c r="O756" s="1662"/>
      <c r="P756" s="1663"/>
      <c r="Q756" s="1663"/>
      <c r="R756" s="1663"/>
      <c r="S756" s="1664"/>
      <c r="T756" s="1662"/>
      <c r="U756" s="1663"/>
      <c r="V756" s="1663"/>
      <c r="W756" s="1664"/>
      <c r="X756" s="1665">
        <f t="shared" si="44"/>
        <v>0</v>
      </c>
      <c r="Y756" s="1661"/>
      <c r="Z756" s="1661"/>
      <c r="AA756" s="1661"/>
      <c r="AB756" s="1666"/>
      <c r="AC756" s="1667"/>
      <c r="AD756" s="1668"/>
      <c r="AE756" s="1668"/>
      <c r="AF756" s="1668"/>
      <c r="AG756" s="1669"/>
      <c r="AH756" s="1685" t="str">
        <f t="shared" si="39"/>
        <v/>
      </c>
      <c r="AI756" s="1686"/>
      <c r="AJ756" s="1687"/>
      <c r="AK756" s="1627" t="s">
        <v>590</v>
      </c>
      <c r="AL756" s="1628"/>
      <c r="AM756" s="1628"/>
      <c r="AN756" s="1628"/>
      <c r="AO756" s="1629"/>
      <c r="AT756"/>
      <c r="AU756"/>
      <c r="AV756"/>
      <c r="AW756"/>
      <c r="AX756"/>
      <c r="AY756" s="1077"/>
      <c r="AZ756" s="118" t="str">
        <f t="shared" si="11"/>
        <v>N/A</v>
      </c>
      <c r="BA756" s="34"/>
      <c r="BB756" s="34"/>
      <c r="BC756" s="34"/>
      <c r="BD756" s="34"/>
      <c r="BE756" s="34"/>
      <c r="BF756" s="292">
        <f t="shared" si="12"/>
        <v>0</v>
      </c>
      <c r="BG756" s="295">
        <f t="shared" si="13"/>
        <v>0</v>
      </c>
      <c r="BH756" s="296" t="str">
        <f t="shared" si="14"/>
        <v/>
      </c>
      <c r="BJ756" s="34"/>
      <c r="BK756" s="34"/>
      <c r="BL756" s="34"/>
      <c r="BM756" s="34"/>
      <c r="BN756" s="34"/>
      <c r="BO756"/>
      <c r="BP756"/>
      <c r="BQ756"/>
      <c r="BR756"/>
      <c r="BS756" s="292">
        <f t="shared" si="15"/>
        <v>0</v>
      </c>
      <c r="BT756" s="295">
        <f t="shared" si="16"/>
        <v>0</v>
      </c>
      <c r="BU756" s="296" t="str">
        <f t="shared" si="17"/>
        <v/>
      </c>
      <c r="CD756"/>
      <c r="CG756" s="1783">
        <f t="shared" si="40"/>
        <v>0</v>
      </c>
      <c r="CH756" s="1784"/>
      <c r="CI756" s="1789">
        <f t="shared" si="41"/>
        <v>0</v>
      </c>
      <c r="CJ756" s="1790"/>
      <c r="CK756" s="1783">
        <f t="shared" si="18"/>
        <v>0</v>
      </c>
      <c r="CL756" s="1784"/>
      <c r="CM756" s="1789">
        <f t="shared" si="19"/>
        <v>0</v>
      </c>
      <c r="CN756" s="1790"/>
      <c r="CP756" s="1785">
        <f t="shared" si="20"/>
        <v>0</v>
      </c>
      <c r="CQ756" s="1786"/>
      <c r="CR756" s="1786"/>
      <c r="CS756" s="1786"/>
      <c r="CT756" s="1787"/>
      <c r="CU756" s="1782">
        <f t="shared" si="21"/>
        <v>0</v>
      </c>
      <c r="CV756" s="1782"/>
      <c r="CW756" s="1782"/>
      <c r="CX756" s="1782"/>
      <c r="CY756" s="1782"/>
      <c r="CZ756" s="1782">
        <f t="shared" si="22"/>
        <v>0</v>
      </c>
      <c r="DA756" s="1782"/>
      <c r="DB756" s="1782"/>
      <c r="DC756" s="1782"/>
      <c r="DD756" s="1782"/>
      <c r="DE756" s="1782">
        <f t="shared" si="23"/>
        <v>0</v>
      </c>
      <c r="DF756" s="1782"/>
      <c r="DG756" s="1782"/>
      <c r="DH756" s="1782"/>
      <c r="DI756" s="1782"/>
      <c r="DJ756" s="1782">
        <f t="shared" si="24"/>
        <v>0</v>
      </c>
      <c r="DK756" s="1782"/>
      <c r="DL756" s="1782"/>
      <c r="DM756" s="1782"/>
      <c r="DN756" s="1782"/>
      <c r="DO756" s="1782">
        <f t="shared" si="25"/>
        <v>0</v>
      </c>
      <c r="DP756" s="1782"/>
      <c r="DQ756" s="1782"/>
      <c r="DR756" s="1782"/>
      <c r="DS756" s="1782"/>
      <c r="DT756" s="6"/>
      <c r="DU756" s="1780">
        <f t="shared" si="26"/>
        <v>0</v>
      </c>
      <c r="DV756" s="1780"/>
      <c r="DW756" s="1780"/>
      <c r="DX756" s="1780"/>
      <c r="DY756" s="1780"/>
      <c r="DZ756" s="1780">
        <f t="shared" si="27"/>
        <v>0</v>
      </c>
      <c r="EA756" s="1780"/>
      <c r="EB756" s="1780"/>
      <c r="EC756" s="1780"/>
      <c r="ED756" s="1780"/>
      <c r="EE756" s="1780">
        <f t="shared" si="28"/>
        <v>0</v>
      </c>
      <c r="EF756" s="1780"/>
      <c r="EG756" s="1780"/>
      <c r="EH756" s="1780"/>
      <c r="EI756" s="1780"/>
      <c r="EJ756" s="1780">
        <f t="shared" si="29"/>
        <v>0</v>
      </c>
      <c r="EK756" s="1780"/>
      <c r="EL756" s="1780"/>
      <c r="EM756" s="1780"/>
      <c r="EN756" s="1780"/>
      <c r="EO756" s="1780">
        <f t="shared" si="30"/>
        <v>0</v>
      </c>
      <c r="EP756" s="1780"/>
      <c r="EQ756" s="1780"/>
      <c r="ER756" s="1780"/>
      <c r="ES756" s="1780"/>
      <c r="ET756" s="1780">
        <f t="shared" si="31"/>
        <v>0</v>
      </c>
      <c r="EU756" s="1780"/>
      <c r="EV756" s="1780"/>
      <c r="EW756" s="1780"/>
      <c r="EX756" s="1780"/>
      <c r="EY756"/>
      <c r="EZ756" s="1783" t="str">
        <f t="shared" si="32"/>
        <v/>
      </c>
      <c r="FA756" s="1795"/>
      <c r="FB756" s="1795"/>
      <c r="FC756" s="1795"/>
      <c r="FD756" s="1784"/>
      <c r="FE756" s="1783" t="str">
        <f t="shared" si="33"/>
        <v/>
      </c>
      <c r="FF756" s="1795"/>
      <c r="FG756" s="1795"/>
      <c r="FH756" s="1795"/>
      <c r="FI756" s="1784"/>
      <c r="FJ756" s="1783" t="str">
        <f t="shared" si="34"/>
        <v/>
      </c>
      <c r="FK756" s="1795"/>
      <c r="FL756" s="1795"/>
      <c r="FM756" s="1795"/>
      <c r="FN756" s="1784"/>
      <c r="FO756" s="1783" t="str">
        <f t="shared" si="35"/>
        <v/>
      </c>
      <c r="FP756" s="1795"/>
      <c r="FQ756" s="1795"/>
      <c r="FR756" s="1795"/>
      <c r="FS756" s="1784"/>
      <c r="FT756" s="1783" t="str">
        <f t="shared" si="36"/>
        <v/>
      </c>
      <c r="FU756" s="1795"/>
      <c r="FV756" s="1795"/>
      <c r="FW756" s="1795"/>
      <c r="FX756" s="1784"/>
      <c r="FY756" s="1783" t="str">
        <f t="shared" si="37"/>
        <v/>
      </c>
      <c r="FZ756" s="1795"/>
      <c r="GA756" s="1795"/>
      <c r="GB756" s="1795"/>
      <c r="GC756" s="1784"/>
    </row>
    <row r="757" spans="1:185" s="3" customFormat="1" ht="12.95" customHeight="1">
      <c r="A757"/>
      <c r="B757" s="1627"/>
      <c r="C757" s="1628"/>
      <c r="D757" s="1628"/>
      <c r="E757" s="1628"/>
      <c r="F757" s="1629"/>
      <c r="G757" s="1621"/>
      <c r="H757" s="1622"/>
      <c r="I757" s="1622"/>
      <c r="J757" s="1623"/>
      <c r="K757" s="1624"/>
      <c r="L757" s="1625"/>
      <c r="M757" s="1625"/>
      <c r="N757" s="1626"/>
      <c r="O757" s="1662"/>
      <c r="P757" s="1663"/>
      <c r="Q757" s="1663"/>
      <c r="R757" s="1663"/>
      <c r="S757" s="1664"/>
      <c r="T757" s="1662"/>
      <c r="U757" s="1663"/>
      <c r="V757" s="1663"/>
      <c r="W757" s="1664"/>
      <c r="X757" s="1665">
        <f t="shared" si="44"/>
        <v>0</v>
      </c>
      <c r="Y757" s="1661"/>
      <c r="Z757" s="1661"/>
      <c r="AA757" s="1661"/>
      <c r="AB757" s="1666"/>
      <c r="AC757" s="1667"/>
      <c r="AD757" s="1668"/>
      <c r="AE757" s="1668"/>
      <c r="AF757" s="1668"/>
      <c r="AG757" s="1669"/>
      <c r="AH757" s="1685" t="str">
        <f t="shared" si="39"/>
        <v/>
      </c>
      <c r="AI757" s="1686"/>
      <c r="AJ757" s="1687"/>
      <c r="AK757" s="1627" t="s">
        <v>590</v>
      </c>
      <c r="AL757" s="1628"/>
      <c r="AM757" s="1628"/>
      <c r="AN757" s="1628"/>
      <c r="AO757" s="1629"/>
      <c r="AT757"/>
      <c r="AU757"/>
      <c r="AV757"/>
      <c r="AW757"/>
      <c r="AX757"/>
      <c r="AY757" s="1077"/>
      <c r="AZ757" s="118" t="str">
        <f t="shared" si="11"/>
        <v>N/A</v>
      </c>
      <c r="BA757" s="34"/>
      <c r="BB757" s="34"/>
      <c r="BC757" s="34"/>
      <c r="BD757" s="34"/>
      <c r="BE757" s="34"/>
      <c r="BF757" s="292">
        <f t="shared" si="12"/>
        <v>0</v>
      </c>
      <c r="BG757" s="295">
        <f t="shared" si="13"/>
        <v>0</v>
      </c>
      <c r="BH757" s="296" t="str">
        <f t="shared" si="14"/>
        <v/>
      </c>
      <c r="BJ757" s="34"/>
      <c r="BK757" s="34"/>
      <c r="BL757" s="34"/>
      <c r="BM757" s="34"/>
      <c r="BN757" s="34"/>
      <c r="BO757"/>
      <c r="BP757"/>
      <c r="BQ757"/>
      <c r="BR757"/>
      <c r="BS757" s="292">
        <f t="shared" si="15"/>
        <v>0</v>
      </c>
      <c r="BT757" s="295">
        <f t="shared" si="16"/>
        <v>0</v>
      </c>
      <c r="BU757" s="296" t="str">
        <f t="shared" si="17"/>
        <v/>
      </c>
      <c r="CD757"/>
      <c r="CG757" s="1783">
        <f t="shared" si="40"/>
        <v>0</v>
      </c>
      <c r="CH757" s="1784"/>
      <c r="CI757" s="1789">
        <f t="shared" si="41"/>
        <v>0</v>
      </c>
      <c r="CJ757" s="1790"/>
      <c r="CK757" s="1783">
        <f t="shared" si="18"/>
        <v>0</v>
      </c>
      <c r="CL757" s="1784"/>
      <c r="CM757" s="1789">
        <f t="shared" si="19"/>
        <v>0</v>
      </c>
      <c r="CN757" s="1790"/>
      <c r="CP757" s="1785">
        <f t="shared" si="20"/>
        <v>0</v>
      </c>
      <c r="CQ757" s="1786"/>
      <c r="CR757" s="1786"/>
      <c r="CS757" s="1786"/>
      <c r="CT757" s="1787"/>
      <c r="CU757" s="1782">
        <f t="shared" si="21"/>
        <v>0</v>
      </c>
      <c r="CV757" s="1782"/>
      <c r="CW757" s="1782"/>
      <c r="CX757" s="1782"/>
      <c r="CY757" s="1782"/>
      <c r="CZ757" s="1782">
        <f t="shared" si="22"/>
        <v>0</v>
      </c>
      <c r="DA757" s="1782"/>
      <c r="DB757" s="1782"/>
      <c r="DC757" s="1782"/>
      <c r="DD757" s="1782"/>
      <c r="DE757" s="1782">
        <f t="shared" si="23"/>
        <v>0</v>
      </c>
      <c r="DF757" s="1782"/>
      <c r="DG757" s="1782"/>
      <c r="DH757" s="1782"/>
      <c r="DI757" s="1782"/>
      <c r="DJ757" s="1782">
        <f t="shared" si="24"/>
        <v>0</v>
      </c>
      <c r="DK757" s="1782"/>
      <c r="DL757" s="1782"/>
      <c r="DM757" s="1782"/>
      <c r="DN757" s="1782"/>
      <c r="DO757" s="1782">
        <f t="shared" si="25"/>
        <v>0</v>
      </c>
      <c r="DP757" s="1782"/>
      <c r="DQ757" s="1782"/>
      <c r="DR757" s="1782"/>
      <c r="DS757" s="1782"/>
      <c r="DT757" s="6"/>
      <c r="DU757" s="1780">
        <f t="shared" si="26"/>
        <v>0</v>
      </c>
      <c r="DV757" s="1780"/>
      <c r="DW757" s="1780"/>
      <c r="DX757" s="1780"/>
      <c r="DY757" s="1780"/>
      <c r="DZ757" s="1780">
        <f t="shared" si="27"/>
        <v>0</v>
      </c>
      <c r="EA757" s="1780"/>
      <c r="EB757" s="1780"/>
      <c r="EC757" s="1780"/>
      <c r="ED757" s="1780"/>
      <c r="EE757" s="1780">
        <f t="shared" si="28"/>
        <v>0</v>
      </c>
      <c r="EF757" s="1780"/>
      <c r="EG757" s="1780"/>
      <c r="EH757" s="1780"/>
      <c r="EI757" s="1780"/>
      <c r="EJ757" s="1780">
        <f t="shared" si="29"/>
        <v>0</v>
      </c>
      <c r="EK757" s="1780"/>
      <c r="EL757" s="1780"/>
      <c r="EM757" s="1780"/>
      <c r="EN757" s="1780"/>
      <c r="EO757" s="1780">
        <f t="shared" si="30"/>
        <v>0</v>
      </c>
      <c r="EP757" s="1780"/>
      <c r="EQ757" s="1780"/>
      <c r="ER757" s="1780"/>
      <c r="ES757" s="1780"/>
      <c r="ET757" s="1780">
        <f t="shared" si="31"/>
        <v>0</v>
      </c>
      <c r="EU757" s="1780"/>
      <c r="EV757" s="1780"/>
      <c r="EW757" s="1780"/>
      <c r="EX757" s="1780"/>
      <c r="EY757"/>
      <c r="EZ757" s="1783" t="str">
        <f t="shared" si="32"/>
        <v/>
      </c>
      <c r="FA757" s="1795"/>
      <c r="FB757" s="1795"/>
      <c r="FC757" s="1795"/>
      <c r="FD757" s="1784"/>
      <c r="FE757" s="1783" t="str">
        <f t="shared" si="33"/>
        <v/>
      </c>
      <c r="FF757" s="1795"/>
      <c r="FG757" s="1795"/>
      <c r="FH757" s="1795"/>
      <c r="FI757" s="1784"/>
      <c r="FJ757" s="1783" t="str">
        <f t="shared" si="34"/>
        <v/>
      </c>
      <c r="FK757" s="1795"/>
      <c r="FL757" s="1795"/>
      <c r="FM757" s="1795"/>
      <c r="FN757" s="1784"/>
      <c r="FO757" s="1783" t="str">
        <f t="shared" si="35"/>
        <v/>
      </c>
      <c r="FP757" s="1795"/>
      <c r="FQ757" s="1795"/>
      <c r="FR757" s="1795"/>
      <c r="FS757" s="1784"/>
      <c r="FT757" s="1783" t="str">
        <f t="shared" si="36"/>
        <v/>
      </c>
      <c r="FU757" s="1795"/>
      <c r="FV757" s="1795"/>
      <c r="FW757" s="1795"/>
      <c r="FX757" s="1784"/>
      <c r="FY757" s="1783" t="str">
        <f t="shared" si="37"/>
        <v/>
      </c>
      <c r="FZ757" s="1795"/>
      <c r="GA757" s="1795"/>
      <c r="GB757" s="1795"/>
      <c r="GC757" s="1784"/>
    </row>
    <row r="758" spans="1:185" s="3" customFormat="1" ht="12.95" customHeight="1">
      <c r="A758"/>
      <c r="B758" s="1627"/>
      <c r="C758" s="1628"/>
      <c r="D758" s="1628"/>
      <c r="E758" s="1628"/>
      <c r="F758" s="1629"/>
      <c r="G758" s="1621"/>
      <c r="H758" s="1622"/>
      <c r="I758" s="1622"/>
      <c r="J758" s="1623"/>
      <c r="K758" s="1624"/>
      <c r="L758" s="1625"/>
      <c r="M758" s="1625"/>
      <c r="N758" s="1626"/>
      <c r="O758" s="1662"/>
      <c r="P758" s="1663"/>
      <c r="Q758" s="1663"/>
      <c r="R758" s="1663"/>
      <c r="S758" s="1664"/>
      <c r="T758" s="1662"/>
      <c r="U758" s="1663"/>
      <c r="V758" s="1663"/>
      <c r="W758" s="1664"/>
      <c r="X758" s="1665">
        <f t="shared" si="44"/>
        <v>0</v>
      </c>
      <c r="Y758" s="1661"/>
      <c r="Z758" s="1661"/>
      <c r="AA758" s="1661"/>
      <c r="AB758" s="1666"/>
      <c r="AC758" s="1667"/>
      <c r="AD758" s="1668"/>
      <c r="AE758" s="1668"/>
      <c r="AF758" s="1668"/>
      <c r="AG758" s="1669"/>
      <c r="AH758" s="1685" t="str">
        <f t="shared" si="39"/>
        <v/>
      </c>
      <c r="AI758" s="1686"/>
      <c r="AJ758" s="1687"/>
      <c r="AK758" s="1627" t="s">
        <v>590</v>
      </c>
      <c r="AL758" s="1628"/>
      <c r="AM758" s="1628"/>
      <c r="AN758" s="1628"/>
      <c r="AO758" s="1629"/>
      <c r="AT758"/>
      <c r="AU758"/>
      <c r="AV758"/>
      <c r="AW758"/>
      <c r="AX758"/>
      <c r="AY758"/>
      <c r="AZ758" s="118" t="str">
        <f t="shared" si="11"/>
        <v>N/A</v>
      </c>
      <c r="BA758" s="34"/>
      <c r="BB758" s="34"/>
      <c r="BC758" s="34"/>
      <c r="BD758" s="34"/>
      <c r="BE758" s="34"/>
      <c r="BF758" s="292">
        <f t="shared" si="12"/>
        <v>0</v>
      </c>
      <c r="BG758" s="295">
        <f t="shared" si="13"/>
        <v>0</v>
      </c>
      <c r="BH758" s="296" t="str">
        <f t="shared" si="14"/>
        <v/>
      </c>
      <c r="BJ758" s="34"/>
      <c r="BK758" s="34"/>
      <c r="BL758" s="34"/>
      <c r="BM758" s="34"/>
      <c r="BN758" s="34"/>
      <c r="BO758"/>
      <c r="BP758"/>
      <c r="BQ758"/>
      <c r="BR758"/>
      <c r="BS758" s="292">
        <f t="shared" si="15"/>
        <v>0</v>
      </c>
      <c r="BT758" s="295">
        <f t="shared" si="16"/>
        <v>0</v>
      </c>
      <c r="BU758" s="296" t="str">
        <f t="shared" si="17"/>
        <v/>
      </c>
      <c r="CD758"/>
      <c r="CG758" s="1783">
        <f t="shared" si="40"/>
        <v>0</v>
      </c>
      <c r="CH758" s="1784"/>
      <c r="CI758" s="1789">
        <f t="shared" si="41"/>
        <v>0</v>
      </c>
      <c r="CJ758" s="1790"/>
      <c r="CK758" s="1783">
        <f t="shared" si="18"/>
        <v>0</v>
      </c>
      <c r="CL758" s="1784"/>
      <c r="CM758" s="1789">
        <f t="shared" si="19"/>
        <v>0</v>
      </c>
      <c r="CN758" s="1790"/>
      <c r="CP758" s="1785">
        <f t="shared" si="20"/>
        <v>0</v>
      </c>
      <c r="CQ758" s="1786"/>
      <c r="CR758" s="1786"/>
      <c r="CS758" s="1786"/>
      <c r="CT758" s="1787"/>
      <c r="CU758" s="1782">
        <f t="shared" si="21"/>
        <v>0</v>
      </c>
      <c r="CV758" s="1782"/>
      <c r="CW758" s="1782"/>
      <c r="CX758" s="1782"/>
      <c r="CY758" s="1782"/>
      <c r="CZ758" s="1782">
        <f t="shared" si="22"/>
        <v>0</v>
      </c>
      <c r="DA758" s="1782"/>
      <c r="DB758" s="1782"/>
      <c r="DC758" s="1782"/>
      <c r="DD758" s="1782"/>
      <c r="DE758" s="1782">
        <f t="shared" si="23"/>
        <v>0</v>
      </c>
      <c r="DF758" s="1782"/>
      <c r="DG758" s="1782"/>
      <c r="DH758" s="1782"/>
      <c r="DI758" s="1782"/>
      <c r="DJ758" s="1782">
        <f t="shared" si="24"/>
        <v>0</v>
      </c>
      <c r="DK758" s="1782"/>
      <c r="DL758" s="1782"/>
      <c r="DM758" s="1782"/>
      <c r="DN758" s="1782"/>
      <c r="DO758" s="1782">
        <f t="shared" si="25"/>
        <v>0</v>
      </c>
      <c r="DP758" s="1782"/>
      <c r="DQ758" s="1782"/>
      <c r="DR758" s="1782"/>
      <c r="DS758" s="1782"/>
      <c r="DT758" s="6"/>
      <c r="DU758" s="1780">
        <f t="shared" si="26"/>
        <v>0</v>
      </c>
      <c r="DV758" s="1780"/>
      <c r="DW758" s="1780"/>
      <c r="DX758" s="1780"/>
      <c r="DY758" s="1780"/>
      <c r="DZ758" s="1780">
        <f t="shared" si="27"/>
        <v>0</v>
      </c>
      <c r="EA758" s="1780"/>
      <c r="EB758" s="1780"/>
      <c r="EC758" s="1780"/>
      <c r="ED758" s="1780"/>
      <c r="EE758" s="1780">
        <f t="shared" si="28"/>
        <v>0</v>
      </c>
      <c r="EF758" s="1780"/>
      <c r="EG758" s="1780"/>
      <c r="EH758" s="1780"/>
      <c r="EI758" s="1780"/>
      <c r="EJ758" s="1780">
        <f t="shared" si="29"/>
        <v>0</v>
      </c>
      <c r="EK758" s="1780"/>
      <c r="EL758" s="1780"/>
      <c r="EM758" s="1780"/>
      <c r="EN758" s="1780"/>
      <c r="EO758" s="1780">
        <f t="shared" si="30"/>
        <v>0</v>
      </c>
      <c r="EP758" s="1780"/>
      <c r="EQ758" s="1780"/>
      <c r="ER758" s="1780"/>
      <c r="ES758" s="1780"/>
      <c r="ET758" s="1780">
        <f t="shared" si="31"/>
        <v>0</v>
      </c>
      <c r="EU758" s="1780"/>
      <c r="EV758" s="1780"/>
      <c r="EW758" s="1780"/>
      <c r="EX758" s="1780"/>
      <c r="EY758"/>
      <c r="EZ758" s="1783" t="str">
        <f t="shared" si="32"/>
        <v/>
      </c>
      <c r="FA758" s="1795"/>
      <c r="FB758" s="1795"/>
      <c r="FC758" s="1795"/>
      <c r="FD758" s="1784"/>
      <c r="FE758" s="1783" t="str">
        <f t="shared" si="33"/>
        <v/>
      </c>
      <c r="FF758" s="1795"/>
      <c r="FG758" s="1795"/>
      <c r="FH758" s="1795"/>
      <c r="FI758" s="1784"/>
      <c r="FJ758" s="1783" t="str">
        <f t="shared" si="34"/>
        <v/>
      </c>
      <c r="FK758" s="1795"/>
      <c r="FL758" s="1795"/>
      <c r="FM758" s="1795"/>
      <c r="FN758" s="1784"/>
      <c r="FO758" s="1783" t="str">
        <f t="shared" si="35"/>
        <v/>
      </c>
      <c r="FP758" s="1795"/>
      <c r="FQ758" s="1795"/>
      <c r="FR758" s="1795"/>
      <c r="FS758" s="1784"/>
      <c r="FT758" s="1783" t="str">
        <f t="shared" si="36"/>
        <v/>
      </c>
      <c r="FU758" s="1795"/>
      <c r="FV758" s="1795"/>
      <c r="FW758" s="1795"/>
      <c r="FX758" s="1784"/>
      <c r="FY758" s="1783" t="str">
        <f t="shared" si="37"/>
        <v/>
      </c>
      <c r="FZ758" s="1795"/>
      <c r="GA758" s="1795"/>
      <c r="GB758" s="1795"/>
      <c r="GC758" s="1784"/>
    </row>
    <row r="759" spans="1:185" s="3" customFormat="1" ht="12.95" customHeight="1">
      <c r="A759"/>
      <c r="B759" s="1627"/>
      <c r="C759" s="1628"/>
      <c r="D759" s="1628"/>
      <c r="E759" s="1628"/>
      <c r="F759" s="1629"/>
      <c r="G759" s="1621"/>
      <c r="H759" s="1622"/>
      <c r="I759" s="1622"/>
      <c r="J759" s="1623"/>
      <c r="K759" s="1624"/>
      <c r="L759" s="1625"/>
      <c r="M759" s="1625"/>
      <c r="N759" s="1626"/>
      <c r="O759" s="1662"/>
      <c r="P759" s="1663"/>
      <c r="Q759" s="1663"/>
      <c r="R759" s="1663"/>
      <c r="S759" s="1664"/>
      <c r="T759" s="1662"/>
      <c r="U759" s="1663"/>
      <c r="V759" s="1663"/>
      <c r="W759" s="1664"/>
      <c r="X759" s="1665">
        <f t="shared" si="44"/>
        <v>0</v>
      </c>
      <c r="Y759" s="1661"/>
      <c r="Z759" s="1661"/>
      <c r="AA759" s="1661"/>
      <c r="AB759" s="1666"/>
      <c r="AC759" s="1667"/>
      <c r="AD759" s="1668"/>
      <c r="AE759" s="1668"/>
      <c r="AF759" s="1668"/>
      <c r="AG759" s="1669"/>
      <c r="AH759" s="1685" t="str">
        <f t="shared" si="39"/>
        <v/>
      </c>
      <c r="AI759" s="1686"/>
      <c r="AJ759" s="1687"/>
      <c r="AK759" s="1627" t="s">
        <v>590</v>
      </c>
      <c r="AL759" s="1628"/>
      <c r="AM759" s="1628"/>
      <c r="AN759" s="1628"/>
      <c r="AO759" s="1629"/>
      <c r="AT759"/>
      <c r="AU759"/>
      <c r="AV759"/>
      <c r="AW759"/>
      <c r="AX759"/>
      <c r="AY759"/>
      <c r="AZ759" s="118" t="str">
        <f t="shared" si="11"/>
        <v>N/A</v>
      </c>
      <c r="BA759" s="34"/>
      <c r="BB759" s="34"/>
      <c r="BC759" s="34"/>
      <c r="BD759" s="34"/>
      <c r="BE759" s="34"/>
      <c r="BF759" s="292">
        <f t="shared" si="12"/>
        <v>0</v>
      </c>
      <c r="BG759" s="295">
        <f t="shared" si="13"/>
        <v>0</v>
      </c>
      <c r="BH759" s="296" t="str">
        <f t="shared" si="14"/>
        <v/>
      </c>
      <c r="BJ759" s="34"/>
      <c r="BK759" s="34"/>
      <c r="BL759" s="34"/>
      <c r="BM759" s="34"/>
      <c r="BN759" s="34"/>
      <c r="BO759"/>
      <c r="BP759"/>
      <c r="BQ759"/>
      <c r="BR759"/>
      <c r="BS759" s="292">
        <f t="shared" si="15"/>
        <v>0</v>
      </c>
      <c r="BT759" s="295">
        <f t="shared" si="16"/>
        <v>0</v>
      </c>
      <c r="BU759" s="296" t="str">
        <f t="shared" si="17"/>
        <v/>
      </c>
      <c r="CD759"/>
      <c r="CG759" s="1783">
        <f t="shared" si="40"/>
        <v>0</v>
      </c>
      <c r="CH759" s="1784"/>
      <c r="CI759" s="1789">
        <f t="shared" si="41"/>
        <v>0</v>
      </c>
      <c r="CJ759" s="1790"/>
      <c r="CK759" s="1783">
        <f t="shared" si="18"/>
        <v>0</v>
      </c>
      <c r="CL759" s="1784"/>
      <c r="CM759" s="1789">
        <f t="shared" si="19"/>
        <v>0</v>
      </c>
      <c r="CN759" s="1790"/>
      <c r="CP759" s="1785">
        <f t="shared" si="20"/>
        <v>0</v>
      </c>
      <c r="CQ759" s="1786"/>
      <c r="CR759" s="1786"/>
      <c r="CS759" s="1786"/>
      <c r="CT759" s="1787"/>
      <c r="CU759" s="1782">
        <f t="shared" si="21"/>
        <v>0</v>
      </c>
      <c r="CV759" s="1782"/>
      <c r="CW759" s="1782"/>
      <c r="CX759" s="1782"/>
      <c r="CY759" s="1782"/>
      <c r="CZ759" s="1782">
        <f t="shared" si="22"/>
        <v>0</v>
      </c>
      <c r="DA759" s="1782"/>
      <c r="DB759" s="1782"/>
      <c r="DC759" s="1782"/>
      <c r="DD759" s="1782"/>
      <c r="DE759" s="1782">
        <f t="shared" si="23"/>
        <v>0</v>
      </c>
      <c r="DF759" s="1782"/>
      <c r="DG759" s="1782"/>
      <c r="DH759" s="1782"/>
      <c r="DI759" s="1782"/>
      <c r="DJ759" s="1782">
        <f t="shared" si="24"/>
        <v>0</v>
      </c>
      <c r="DK759" s="1782"/>
      <c r="DL759" s="1782"/>
      <c r="DM759" s="1782"/>
      <c r="DN759" s="1782"/>
      <c r="DO759" s="1782">
        <f t="shared" si="25"/>
        <v>0</v>
      </c>
      <c r="DP759" s="1782"/>
      <c r="DQ759" s="1782"/>
      <c r="DR759" s="1782"/>
      <c r="DS759" s="1782"/>
      <c r="DT759" s="6"/>
      <c r="DU759" s="1780">
        <f t="shared" si="26"/>
        <v>0</v>
      </c>
      <c r="DV759" s="1780"/>
      <c r="DW759" s="1780"/>
      <c r="DX759" s="1780"/>
      <c r="DY759" s="1780"/>
      <c r="DZ759" s="1780">
        <f t="shared" si="27"/>
        <v>0</v>
      </c>
      <c r="EA759" s="1780"/>
      <c r="EB759" s="1780"/>
      <c r="EC759" s="1780"/>
      <c r="ED759" s="1780"/>
      <c r="EE759" s="1780">
        <f t="shared" si="28"/>
        <v>0</v>
      </c>
      <c r="EF759" s="1780"/>
      <c r="EG759" s="1780"/>
      <c r="EH759" s="1780"/>
      <c r="EI759" s="1780"/>
      <c r="EJ759" s="1780">
        <f t="shared" si="29"/>
        <v>0</v>
      </c>
      <c r="EK759" s="1780"/>
      <c r="EL759" s="1780"/>
      <c r="EM759" s="1780"/>
      <c r="EN759" s="1780"/>
      <c r="EO759" s="1780">
        <f t="shared" si="30"/>
        <v>0</v>
      </c>
      <c r="EP759" s="1780"/>
      <c r="EQ759" s="1780"/>
      <c r="ER759" s="1780"/>
      <c r="ES759" s="1780"/>
      <c r="ET759" s="1780">
        <f t="shared" si="31"/>
        <v>0</v>
      </c>
      <c r="EU759" s="1780"/>
      <c r="EV759" s="1780"/>
      <c r="EW759" s="1780"/>
      <c r="EX759" s="1780"/>
      <c r="EY759"/>
      <c r="EZ759" s="1783" t="str">
        <f t="shared" si="32"/>
        <v/>
      </c>
      <c r="FA759" s="1795"/>
      <c r="FB759" s="1795"/>
      <c r="FC759" s="1795"/>
      <c r="FD759" s="1784"/>
      <c r="FE759" s="1783" t="str">
        <f t="shared" si="33"/>
        <v/>
      </c>
      <c r="FF759" s="1795"/>
      <c r="FG759" s="1795"/>
      <c r="FH759" s="1795"/>
      <c r="FI759" s="1784"/>
      <c r="FJ759" s="1783" t="str">
        <f t="shared" si="34"/>
        <v/>
      </c>
      <c r="FK759" s="1795"/>
      <c r="FL759" s="1795"/>
      <c r="FM759" s="1795"/>
      <c r="FN759" s="1784"/>
      <c r="FO759" s="1783" t="str">
        <f t="shared" si="35"/>
        <v/>
      </c>
      <c r="FP759" s="1795"/>
      <c r="FQ759" s="1795"/>
      <c r="FR759" s="1795"/>
      <c r="FS759" s="1784"/>
      <c r="FT759" s="1783" t="str">
        <f t="shared" si="36"/>
        <v/>
      </c>
      <c r="FU759" s="1795"/>
      <c r="FV759" s="1795"/>
      <c r="FW759" s="1795"/>
      <c r="FX759" s="1784"/>
      <c r="FY759" s="1783" t="str">
        <f t="shared" si="37"/>
        <v/>
      </c>
      <c r="FZ759" s="1795"/>
      <c r="GA759" s="1795"/>
      <c r="GB759" s="1795"/>
      <c r="GC759" s="1784"/>
    </row>
    <row r="760" spans="1:185" s="3" customFormat="1" ht="12.95" customHeight="1">
      <c r="A760"/>
      <c r="B760" s="1627"/>
      <c r="C760" s="1628"/>
      <c r="D760" s="1628"/>
      <c r="E760" s="1628"/>
      <c r="F760" s="1629"/>
      <c r="G760" s="1621"/>
      <c r="H760" s="1622"/>
      <c r="I760" s="1622"/>
      <c r="J760" s="1623"/>
      <c r="K760" s="1624"/>
      <c r="L760" s="1625"/>
      <c r="M760" s="1625"/>
      <c r="N760" s="1626"/>
      <c r="O760" s="1662"/>
      <c r="P760" s="1663"/>
      <c r="Q760" s="1663"/>
      <c r="R760" s="1663"/>
      <c r="S760" s="1664"/>
      <c r="T760" s="1662"/>
      <c r="U760" s="1663"/>
      <c r="V760" s="1663"/>
      <c r="W760" s="1664"/>
      <c r="X760" s="1665">
        <f>O760+T760</f>
        <v>0</v>
      </c>
      <c r="Y760" s="1661"/>
      <c r="Z760" s="1661"/>
      <c r="AA760" s="1661"/>
      <c r="AB760" s="1666"/>
      <c r="AC760" s="1667"/>
      <c r="AD760" s="1668"/>
      <c r="AE760" s="1668"/>
      <c r="AF760" s="1668"/>
      <c r="AG760" s="1669"/>
      <c r="AH760" s="1685" t="str">
        <f t="shared" si="39"/>
        <v/>
      </c>
      <c r="AI760" s="1686"/>
      <c r="AJ760" s="1687"/>
      <c r="AK760" s="1627" t="s">
        <v>590</v>
      </c>
      <c r="AL760" s="1628"/>
      <c r="AM760" s="1628"/>
      <c r="AN760" s="1628"/>
      <c r="AO760" s="1629"/>
      <c r="AT760"/>
      <c r="AU760"/>
      <c r="AV760"/>
      <c r="AW760"/>
      <c r="AX760"/>
      <c r="AY760"/>
      <c r="AZ760" s="118" t="str">
        <f t="shared" si="11"/>
        <v>N/A</v>
      </c>
      <c r="BA760" s="34"/>
      <c r="BB760" s="34"/>
      <c r="BC760" s="34"/>
      <c r="BE760"/>
      <c r="BF760" s="292">
        <f t="shared" si="12"/>
        <v>0</v>
      </c>
      <c r="BG760" s="295">
        <f t="shared" si="13"/>
        <v>0</v>
      </c>
      <c r="BH760" s="296" t="str">
        <f t="shared" si="14"/>
        <v/>
      </c>
      <c r="BJ760" s="34"/>
      <c r="BK760" s="34"/>
      <c r="BL760" s="34"/>
      <c r="BM760" s="34"/>
      <c r="BN760" s="34"/>
      <c r="BO760"/>
      <c r="BP760"/>
      <c r="BQ760"/>
      <c r="BR760"/>
      <c r="BS760" s="854">
        <f t="shared" si="15"/>
        <v>0</v>
      </c>
      <c r="BT760" s="295">
        <f t="shared" si="16"/>
        <v>0</v>
      </c>
      <c r="BU760" s="296" t="str">
        <f t="shared" si="17"/>
        <v/>
      </c>
      <c r="CD760"/>
      <c r="CG760" s="1783">
        <f t="shared" si="40"/>
        <v>0</v>
      </c>
      <c r="CH760" s="1784"/>
      <c r="CI760" s="1789">
        <f t="shared" si="41"/>
        <v>0</v>
      </c>
      <c r="CJ760" s="1790"/>
      <c r="CK760" s="1783">
        <f t="shared" si="18"/>
        <v>0</v>
      </c>
      <c r="CL760" s="1784"/>
      <c r="CM760" s="1789">
        <f t="shared" si="19"/>
        <v>0</v>
      </c>
      <c r="CN760" s="1790"/>
      <c r="CP760" s="1785">
        <f t="shared" si="20"/>
        <v>0</v>
      </c>
      <c r="CQ760" s="1786"/>
      <c r="CR760" s="1786"/>
      <c r="CS760" s="1786"/>
      <c r="CT760" s="1787"/>
      <c r="CU760" s="1782">
        <f t="shared" si="21"/>
        <v>0</v>
      </c>
      <c r="CV760" s="1782"/>
      <c r="CW760" s="1782"/>
      <c r="CX760" s="1782"/>
      <c r="CY760" s="1782"/>
      <c r="CZ760" s="1782">
        <f t="shared" si="22"/>
        <v>0</v>
      </c>
      <c r="DA760" s="1782"/>
      <c r="DB760" s="1782"/>
      <c r="DC760" s="1782"/>
      <c r="DD760" s="1782"/>
      <c r="DE760" s="1782">
        <f t="shared" si="23"/>
        <v>0</v>
      </c>
      <c r="DF760" s="1782"/>
      <c r="DG760" s="1782"/>
      <c r="DH760" s="1782"/>
      <c r="DI760" s="1782"/>
      <c r="DJ760" s="1782">
        <f t="shared" si="24"/>
        <v>0</v>
      </c>
      <c r="DK760" s="1782"/>
      <c r="DL760" s="1782"/>
      <c r="DM760" s="1782"/>
      <c r="DN760" s="1782"/>
      <c r="DO760" s="1782">
        <f t="shared" si="25"/>
        <v>0</v>
      </c>
      <c r="DP760" s="1782"/>
      <c r="DQ760" s="1782"/>
      <c r="DR760" s="1782"/>
      <c r="DS760" s="1782"/>
      <c r="DT760" s="6"/>
      <c r="DU760" s="1780">
        <f t="shared" si="26"/>
        <v>0</v>
      </c>
      <c r="DV760" s="1780"/>
      <c r="DW760" s="1780"/>
      <c r="DX760" s="1780"/>
      <c r="DY760" s="1780"/>
      <c r="DZ760" s="1780">
        <f t="shared" si="27"/>
        <v>0</v>
      </c>
      <c r="EA760" s="1780"/>
      <c r="EB760" s="1780"/>
      <c r="EC760" s="1780"/>
      <c r="ED760" s="1780"/>
      <c r="EE760" s="1780">
        <f t="shared" si="28"/>
        <v>0</v>
      </c>
      <c r="EF760" s="1780"/>
      <c r="EG760" s="1780"/>
      <c r="EH760" s="1780"/>
      <c r="EI760" s="1780"/>
      <c r="EJ760" s="1780">
        <f t="shared" si="29"/>
        <v>0</v>
      </c>
      <c r="EK760" s="1780"/>
      <c r="EL760" s="1780"/>
      <c r="EM760" s="1780"/>
      <c r="EN760" s="1780"/>
      <c r="EO760" s="1780">
        <f t="shared" si="30"/>
        <v>0</v>
      </c>
      <c r="EP760" s="1780"/>
      <c r="EQ760" s="1780"/>
      <c r="ER760" s="1780"/>
      <c r="ES760" s="1780"/>
      <c r="ET760" s="1780">
        <f t="shared" si="31"/>
        <v>0</v>
      </c>
      <c r="EU760" s="1780"/>
      <c r="EV760" s="1780"/>
      <c r="EW760" s="1780"/>
      <c r="EX760" s="1780"/>
      <c r="EY760"/>
      <c r="EZ760" s="1783" t="str">
        <f t="shared" si="32"/>
        <v/>
      </c>
      <c r="FA760" s="1795"/>
      <c r="FB760" s="1795"/>
      <c r="FC760" s="1795"/>
      <c r="FD760" s="1784"/>
      <c r="FE760" s="1783" t="str">
        <f t="shared" si="33"/>
        <v/>
      </c>
      <c r="FF760" s="1795"/>
      <c r="FG760" s="1795"/>
      <c r="FH760" s="1795"/>
      <c r="FI760" s="1784"/>
      <c r="FJ760" s="1783" t="str">
        <f t="shared" si="34"/>
        <v/>
      </c>
      <c r="FK760" s="1795"/>
      <c r="FL760" s="1795"/>
      <c r="FM760" s="1795"/>
      <c r="FN760" s="1784"/>
      <c r="FO760" s="1783" t="str">
        <f t="shared" si="35"/>
        <v/>
      </c>
      <c r="FP760" s="1795"/>
      <c r="FQ760" s="1795"/>
      <c r="FR760" s="1795"/>
      <c r="FS760" s="1784"/>
      <c r="FT760" s="1783" t="str">
        <f t="shared" si="36"/>
        <v/>
      </c>
      <c r="FU760" s="1795"/>
      <c r="FV760" s="1795"/>
      <c r="FW760" s="1795"/>
      <c r="FX760" s="1784"/>
      <c r="FY760" s="1783" t="str">
        <f t="shared" si="37"/>
        <v/>
      </c>
      <c r="FZ760" s="1795"/>
      <c r="GA760" s="1795"/>
      <c r="GB760" s="1795"/>
      <c r="GC760" s="1784"/>
    </row>
    <row r="761" spans="1:185" s="3" customFormat="1" ht="12.95" customHeight="1">
      <c r="A761"/>
      <c r="B761" s="1774" t="s">
        <v>125</v>
      </c>
      <c r="C761" s="1775"/>
      <c r="D761" s="1775"/>
      <c r="E761" s="1775"/>
      <c r="F761" s="1776"/>
      <c r="G761" s="1921">
        <f>SUM(G726:G760)</f>
        <v>118</v>
      </c>
      <c r="H761" s="1922"/>
      <c r="I761" s="1922"/>
      <c r="J761" s="1923"/>
      <c r="K761" s="896" t="s">
        <v>124</v>
      </c>
      <c r="L761" s="5"/>
      <c r="M761" s="5"/>
      <c r="N761" s="46"/>
      <c r="O761" s="1665">
        <f>SUMPRODUCT(G726:G760,O726:O760)</f>
        <v>182839.79</v>
      </c>
      <c r="P761" s="1661"/>
      <c r="Q761" s="1661"/>
      <c r="R761" s="1661"/>
      <c r="S761" s="1666"/>
      <c r="T761"/>
      <c r="U761"/>
      <c r="V761"/>
      <c r="W761"/>
      <c r="X761" s="898" t="s">
        <v>897</v>
      </c>
      <c r="Y761" s="897"/>
      <c r="Z761" s="897"/>
      <c r="AA761" s="897"/>
      <c r="AB761" s="899"/>
      <c r="AC761" s="1940">
        <f>BH761</f>
        <v>0.56779661016949134</v>
      </c>
      <c r="AD761" s="1941"/>
      <c r="AE761" s="1941"/>
      <c r="AF761" s="1941"/>
      <c r="AG761" s="1942"/>
      <c r="AH761" s="1940">
        <f>IFERROR(BU761,"")</f>
        <v>0.56778623741625522</v>
      </c>
      <c r="AI761" s="1941"/>
      <c r="AJ761" s="1942"/>
      <c r="AK761"/>
      <c r="AL761"/>
      <c r="AM761"/>
      <c r="AN761"/>
      <c r="AO761"/>
      <c r="AP761" s="205"/>
      <c r="AQ761" s="205"/>
      <c r="AR761" s="205"/>
      <c r="AS761" s="205"/>
      <c r="AT761"/>
      <c r="AU761"/>
      <c r="AV761"/>
      <c r="AW761"/>
      <c r="AX761"/>
      <c r="AY761"/>
      <c r="AZ761" s="34"/>
      <c r="BA761" s="34"/>
      <c r="BB761" s="34"/>
      <c r="BC761" s="34"/>
      <c r="BE761" s="288" t="s">
        <v>896</v>
      </c>
      <c r="BF761" s="297">
        <f>SUM(BF726:BF760)</f>
        <v>118</v>
      </c>
      <c r="BG761" s="298">
        <f>SUM(BG726:BG760)</f>
        <v>0.99999999999999989</v>
      </c>
      <c r="BH761" s="298">
        <f>SUM(BH726:BH760)</f>
        <v>0.56779661016949134</v>
      </c>
      <c r="BI761"/>
      <c r="BJ761"/>
      <c r="BK761"/>
      <c r="BL761"/>
      <c r="BO761"/>
      <c r="BP761"/>
      <c r="BQ761"/>
      <c r="BR761"/>
      <c r="BS761" s="853">
        <f>SUM(BS726:BS760)</f>
        <v>118</v>
      </c>
      <c r="BT761" s="298">
        <f>SUM(BT726:BT760)</f>
        <v>0.99999999999999989</v>
      </c>
      <c r="BU761" s="298">
        <f>SUM(BU726:BU760)</f>
        <v>0.56778623741625522</v>
      </c>
      <c r="CI761" s="1783">
        <f>SUM(CI726:CJ760)</f>
        <v>24</v>
      </c>
      <c r="CJ761" s="1784"/>
      <c r="CM761" s="1783">
        <f>SUM(CM726:CN760)</f>
        <v>12</v>
      </c>
      <c r="CN761" s="1784"/>
      <c r="CP761" s="1783">
        <f>SUM(CP726:CT760)</f>
        <v>0</v>
      </c>
      <c r="CQ761" s="1795"/>
      <c r="CR761" s="1795"/>
      <c r="CS761" s="1795"/>
      <c r="CT761" s="1784"/>
      <c r="CU761" s="1788">
        <f>SUM(CU726:CY760)</f>
        <v>56</v>
      </c>
      <c r="CV761" s="1788"/>
      <c r="CW761" s="1788"/>
      <c r="CX761" s="1788"/>
      <c r="CY761" s="1788"/>
      <c r="CZ761" s="1788">
        <f>SUM(CZ726:DD760)</f>
        <v>30</v>
      </c>
      <c r="DA761" s="1788"/>
      <c r="DB761" s="1788"/>
      <c r="DC761" s="1788"/>
      <c r="DD761" s="1788"/>
      <c r="DE761" s="1788">
        <f>SUM(DE726:DI760)</f>
        <v>32</v>
      </c>
      <c r="DF761" s="1788"/>
      <c r="DG761" s="1788"/>
      <c r="DH761" s="1788"/>
      <c r="DI761" s="1788"/>
      <c r="DJ761" s="1788">
        <f>SUM(DJ726:DN760)</f>
        <v>0</v>
      </c>
      <c r="DK761" s="1788"/>
      <c r="DL761" s="1788"/>
      <c r="DM761" s="1788"/>
      <c r="DN761" s="1788"/>
      <c r="DO761" s="1788">
        <f>SUM(DO726:DS760)</f>
        <v>0</v>
      </c>
      <c r="DP761" s="1788"/>
      <c r="DQ761" s="1788"/>
      <c r="DR761" s="1788"/>
      <c r="DS761" s="1788"/>
      <c r="DT761" s="352"/>
      <c r="DU761" s="1788">
        <f>SUM(DU726:DY760)</f>
        <v>0</v>
      </c>
      <c r="DV761" s="1788"/>
      <c r="DW761" s="1788"/>
      <c r="DX761" s="1788"/>
      <c r="DY761" s="1788"/>
      <c r="DZ761" s="1788">
        <f>SUM(DZ726:ED760)</f>
        <v>6</v>
      </c>
      <c r="EA761" s="1788"/>
      <c r="EB761" s="1788"/>
      <c r="EC761" s="1788"/>
      <c r="ED761" s="1788"/>
      <c r="EE761" s="1788">
        <f>SUM(EE726:EI760)</f>
        <v>3</v>
      </c>
      <c r="EF761" s="1788"/>
      <c r="EG761" s="1788"/>
      <c r="EH761" s="1788"/>
      <c r="EI761" s="1788"/>
      <c r="EJ761" s="1788">
        <f>SUM(EJ726:EN760)</f>
        <v>3</v>
      </c>
      <c r="EK761" s="1788"/>
      <c r="EL761" s="1788"/>
      <c r="EM761" s="1788"/>
      <c r="EN761" s="1788"/>
      <c r="EO761" s="1788">
        <f>SUM(EO726:ES760)</f>
        <v>0</v>
      </c>
      <c r="EP761" s="1788"/>
      <c r="EQ761" s="1788"/>
      <c r="ER761" s="1788"/>
      <c r="ES761" s="1788"/>
      <c r="ET761" s="1788">
        <f>SUM(ET726:EX760)</f>
        <v>0</v>
      </c>
      <c r="EU761" s="1788"/>
      <c r="EV761" s="1788"/>
      <c r="EW761" s="1788"/>
      <c r="EX761" s="1788"/>
      <c r="EY761"/>
      <c r="EZ761" s="1788">
        <f>SUM(EZ726:FD760)</f>
        <v>0</v>
      </c>
      <c r="FA761" s="1788"/>
      <c r="FB761" s="1788"/>
      <c r="FC761" s="1788"/>
      <c r="FD761" s="1788"/>
      <c r="FE761" s="1788">
        <f>SUM(FE726:FI760)</f>
        <v>4936</v>
      </c>
      <c r="FF761" s="1788"/>
      <c r="FG761" s="1788"/>
      <c r="FH761" s="1788"/>
      <c r="FI761" s="1788"/>
      <c r="FJ761" s="1788">
        <f>SUM(FJ726:FN760)</f>
        <v>5942</v>
      </c>
      <c r="FK761" s="1788"/>
      <c r="FL761" s="1788"/>
      <c r="FM761" s="1788"/>
      <c r="FN761" s="1788"/>
      <c r="FO761" s="1788">
        <f>SUM(FO726:FS760)</f>
        <v>6878.5300000000007</v>
      </c>
      <c r="FP761" s="1788"/>
      <c r="FQ761" s="1788"/>
      <c r="FR761" s="1788"/>
      <c r="FS761" s="1788"/>
      <c r="FT761" s="1788">
        <f>SUM(FT726:FX760)</f>
        <v>0</v>
      </c>
      <c r="FU761" s="1788"/>
      <c r="FV761" s="1788"/>
      <c r="FW761" s="1788"/>
      <c r="FX761" s="1788"/>
      <c r="FY761" s="1788">
        <f>SUM(FY726:GC760)</f>
        <v>0</v>
      </c>
      <c r="FZ761" s="1788"/>
      <c r="GA761" s="1788"/>
      <c r="GB761" s="1788"/>
      <c r="GC761" s="1788"/>
    </row>
    <row r="762" spans="1:185" s="3" customFormat="1" ht="12.95" customHeight="1">
      <c r="A762"/>
      <c r="B762" s="1797" t="s">
        <v>1863</v>
      </c>
      <c r="C762" s="1797"/>
      <c r="D762" s="1797"/>
      <c r="E762" s="1797"/>
      <c r="F762" s="1797"/>
      <c r="G762" s="1797"/>
      <c r="H762" s="1797"/>
      <c r="I762" s="1797"/>
      <c r="J762" s="1797"/>
      <c r="K762" s="1797"/>
      <c r="L762" s="1797"/>
      <c r="M762" s="1797"/>
      <c r="N762" s="1797"/>
      <c r="O762" s="1797"/>
      <c r="P762" s="1797"/>
      <c r="Q762" s="1797"/>
      <c r="R762" s="1797"/>
      <c r="S762" s="1797"/>
      <c r="T762" s="1797"/>
      <c r="U762" s="1797"/>
      <c r="V762" s="1797"/>
      <c r="W762" s="1797"/>
      <c r="X762" s="1797"/>
      <c r="Y762" s="1797"/>
      <c r="Z762" s="1797"/>
      <c r="AA762" s="1797"/>
      <c r="AB762" s="1797"/>
      <c r="AC762" s="1797"/>
      <c r="AD762" s="1797"/>
      <c r="AE762" s="1797"/>
      <c r="AF762" s="1797"/>
      <c r="AG762" s="1797"/>
      <c r="AH762" s="1797"/>
      <c r="AI762"/>
      <c r="AJ762"/>
      <c r="AK762"/>
      <c r="AT762"/>
      <c r="AU762"/>
      <c r="AV762"/>
      <c r="AW762"/>
      <c r="AX762"/>
      <c r="AY762"/>
      <c r="CD762"/>
      <c r="DN762" s="56" t="s">
        <v>1831</v>
      </c>
      <c r="DO762" s="1783">
        <f>CP761+CU761+CZ761+DE761+DJ761+DO761</f>
        <v>118</v>
      </c>
      <c r="DP762" s="1795"/>
      <c r="DQ762" s="1795"/>
      <c r="DR762" s="1795"/>
      <c r="DS762" s="1784"/>
      <c r="DT762" s="35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97"/>
      <c r="C763" s="1797"/>
      <c r="D763" s="1797"/>
      <c r="E763" s="1797"/>
      <c r="F763" s="1797"/>
      <c r="G763" s="1797"/>
      <c r="H763" s="1797"/>
      <c r="I763" s="1797"/>
      <c r="J763" s="1797"/>
      <c r="K763" s="1797"/>
      <c r="L763" s="1797"/>
      <c r="M763" s="1797"/>
      <c r="N763" s="1797"/>
      <c r="O763" s="1797"/>
      <c r="P763" s="1797"/>
      <c r="Q763" s="1797"/>
      <c r="R763" s="1797"/>
      <c r="S763" s="1797"/>
      <c r="T763" s="1797"/>
      <c r="U763" s="1797"/>
      <c r="V763" s="1797"/>
      <c r="W763" s="1797"/>
      <c r="X763" s="1797"/>
      <c r="Y763" s="1797"/>
      <c r="Z763" s="1797"/>
      <c r="AA763" s="1797"/>
      <c r="AB763" s="1797"/>
      <c r="AC763" s="1797"/>
      <c r="AD763" s="1797"/>
      <c r="AE763" s="1797"/>
      <c r="AF763" s="1797"/>
      <c r="AG763" s="1797"/>
      <c r="AH763" s="179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5">
        <f>CP761*1</f>
        <v>0</v>
      </c>
      <c r="CU763" s="3"/>
      <c r="CV763" s="3"/>
      <c r="CW763" s="3"/>
      <c r="CX763" s="3"/>
      <c r="CY763" s="855">
        <f>CU761*1</f>
        <v>56</v>
      </c>
      <c r="CZ763" s="3"/>
      <c r="DA763" s="3"/>
      <c r="DB763" s="3"/>
      <c r="DC763" s="3"/>
      <c r="DD763" s="855">
        <f>CZ761*2</f>
        <v>60</v>
      </c>
      <c r="DE763" s="3"/>
      <c r="DF763" s="3"/>
      <c r="DG763" s="3"/>
      <c r="DH763" s="3"/>
      <c r="DI763" s="855">
        <f>DE761*3</f>
        <v>96</v>
      </c>
      <c r="DJ763" s="3"/>
      <c r="DK763" s="3"/>
      <c r="DL763" s="3"/>
      <c r="DM763" s="3"/>
      <c r="DN763" s="855">
        <f>DJ761*4</f>
        <v>0</v>
      </c>
      <c r="DO763" s="3"/>
      <c r="DP763" s="3"/>
      <c r="DQ763" s="3"/>
      <c r="DR763" s="3"/>
      <c r="DS763" s="855">
        <f>DO761*5</f>
        <v>0</v>
      </c>
      <c r="DU763" s="855">
        <f>CT763+CY763+DD763+DI763+DN763+DS763</f>
        <v>212</v>
      </c>
      <c r="DV763" s="57" t="s">
        <v>1833</v>
      </c>
      <c r="DW763" s="3"/>
      <c r="DX763" s="3"/>
      <c r="DY763" s="3"/>
      <c r="DZ763" s="3"/>
      <c r="EA763" s="3"/>
      <c r="EB763" s="3"/>
      <c r="EC763" s="3"/>
      <c r="ED763" s="3"/>
      <c r="EE763" s="3"/>
      <c r="EF763" s="3"/>
      <c r="EG763" s="3"/>
      <c r="EH763" s="3"/>
    </row>
    <row r="764" spans="1:185" ht="12.95" customHeight="1">
      <c r="A764" s="3"/>
      <c r="B764" s="3"/>
      <c r="C764" s="118" t="s">
        <v>1861</v>
      </c>
      <c r="D764" s="1024"/>
      <c r="E764" s="1024"/>
      <c r="F764" s="1024"/>
      <c r="G764" s="1025"/>
      <c r="H764" s="1025"/>
      <c r="I764" s="1025"/>
      <c r="J764" s="1025"/>
      <c r="K764" s="1024"/>
      <c r="L764" s="1024"/>
      <c r="M764" s="1024"/>
      <c r="N764" s="1024"/>
      <c r="O764" s="1788">
        <f>DU763</f>
        <v>212</v>
      </c>
      <c r="P764" s="1788"/>
      <c r="Q764" s="1788"/>
      <c r="R764" s="1788"/>
      <c r="S764" s="962"/>
      <c r="T764" s="962"/>
      <c r="U764" s="118" t="s">
        <v>1862</v>
      </c>
      <c r="V764" s="1024"/>
      <c r="W764" s="1024"/>
      <c r="X764" s="1024"/>
      <c r="Y764" s="1025"/>
      <c r="Z764" s="1025"/>
      <c r="AA764" s="1025"/>
      <c r="AB764" s="1025"/>
      <c r="AC764" s="1024"/>
      <c r="AD764" s="1024"/>
      <c r="AE764" s="1024"/>
      <c r="AF764" s="1024"/>
      <c r="AG764" s="1884">
        <v>0</v>
      </c>
      <c r="AH764" s="1884"/>
      <c r="AI764" s="1884"/>
      <c r="AJ764" s="1884"/>
      <c r="AK764" s="3"/>
      <c r="AL764" s="3"/>
      <c r="AM764" s="3"/>
      <c r="AN764" s="3"/>
      <c r="AO764" s="3"/>
      <c r="AP764" s="3"/>
      <c r="AQ764" s="3"/>
      <c r="AR764" s="3"/>
      <c r="AS764" s="3"/>
      <c r="AZ764" s="3"/>
      <c r="BA764" s="3"/>
      <c r="BB764" s="288"/>
      <c r="BC764" s="288"/>
      <c r="BD764" s="288"/>
      <c r="BE764" s="288"/>
      <c r="BF764" s="288"/>
      <c r="BG764" s="288"/>
      <c r="BH764" s="288"/>
      <c r="BI764" s="288"/>
      <c r="BJ764" s="288"/>
      <c r="BK764" s="288"/>
      <c r="BL764" s="288"/>
      <c r="BM764" s="288"/>
      <c r="BN764" s="288"/>
      <c r="BO764" s="288"/>
      <c r="BP764" s="288"/>
      <c r="BQ764" s="288"/>
      <c r="BR764" s="288"/>
      <c r="BS764" s="288"/>
      <c r="BT764" s="288"/>
      <c r="BU764" s="288"/>
      <c r="BV764" s="288"/>
      <c r="BW764" s="288"/>
      <c r="BX764" s="288"/>
      <c r="BY764" s="288"/>
      <c r="BZ764" s="288"/>
      <c r="CA764" s="288"/>
      <c r="CB764" s="288"/>
      <c r="CC764" s="288"/>
      <c r="CE764" s="3"/>
      <c r="CF764" s="288"/>
      <c r="CG764" s="288"/>
      <c r="CH764" s="288"/>
      <c r="CI764" s="288"/>
      <c r="CJ764" s="288"/>
      <c r="CK764" s="288"/>
      <c r="CL764" s="288"/>
      <c r="CM764" s="288"/>
      <c r="CN764" s="288"/>
      <c r="CO764" s="288"/>
      <c r="CP764" s="288"/>
      <c r="CQ764" s="288"/>
      <c r="CR764" s="288"/>
      <c r="CS764" s="288"/>
      <c r="CT764" s="288"/>
      <c r="CU764" s="288"/>
      <c r="CV764" s="288"/>
      <c r="CW764" s="288"/>
      <c r="CX764" s="288"/>
      <c r="CY764" s="288"/>
      <c r="CZ764" s="288"/>
      <c r="DA764" s="288"/>
      <c r="DB764" s="288"/>
      <c r="DC764" s="288"/>
      <c r="DD764" s="288"/>
      <c r="DE764" s="288"/>
      <c r="DF764" s="288"/>
      <c r="DG764" s="288"/>
      <c r="DH764" s="288"/>
      <c r="DI764" s="288"/>
      <c r="DJ764" s="288"/>
      <c r="DK764" s="288"/>
      <c r="DL764" s="288"/>
      <c r="DM764" s="288"/>
      <c r="DN764" s="288"/>
      <c r="DO764" s="288"/>
      <c r="DP764" s="288"/>
      <c r="DQ764" s="288"/>
      <c r="DR764" s="288"/>
      <c r="DS764" s="288"/>
      <c r="DT764" s="288"/>
      <c r="DU764" s="288"/>
      <c r="DV764" s="288"/>
      <c r="DW764" s="288"/>
      <c r="FB764" s="288"/>
      <c r="FC764" s="288"/>
    </row>
    <row r="765" spans="1:185" ht="12.95" customHeight="1">
      <c r="B765" s="57"/>
      <c r="C765" s="1620" t="str">
        <f>IF(G761&lt;&gt;AG449,"! Total Low-Income Units in the Unit Mix Table above does not match the number of Total Low-Income Units on row #"&amp;TEXT(ROW(D449),"#"),"")</f>
        <v/>
      </c>
      <c r="D765" s="1620"/>
      <c r="E765" s="1620"/>
      <c r="F765" s="1620"/>
      <c r="G765" s="1620"/>
      <c r="H765" s="1620"/>
      <c r="I765" s="1620"/>
      <c r="J765" s="1620"/>
      <c r="K765" s="1620"/>
      <c r="L765" s="1620"/>
      <c r="M765" s="1620"/>
      <c r="N765" s="1620"/>
      <c r="O765" s="1620"/>
      <c r="P765" s="1620"/>
      <c r="Q765" s="1620"/>
      <c r="R765" s="1620"/>
      <c r="S765" s="1620"/>
      <c r="T765" s="1620"/>
      <c r="U765" s="1620"/>
      <c r="V765" s="1620"/>
      <c r="W765" s="1620"/>
      <c r="X765" s="1620"/>
      <c r="Y765" s="1620"/>
      <c r="Z765" s="1620"/>
      <c r="AA765" s="1620"/>
      <c r="AB765" s="1620"/>
      <c r="AC765" s="1620"/>
      <c r="AD765" s="1620"/>
      <c r="AE765" s="1620"/>
      <c r="AF765" s="1620"/>
      <c r="AG765" s="1620"/>
      <c r="AH765" s="1620"/>
      <c r="AI765" s="1620"/>
      <c r="AJ765" s="1620"/>
      <c r="AK765" s="1620"/>
      <c r="AL765" s="1620"/>
      <c r="AM765" s="1620"/>
      <c r="AP765" s="288"/>
      <c r="AQ765" s="288"/>
      <c r="AR765" s="288"/>
      <c r="AS765" s="288"/>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620"/>
      <c r="D766" s="1620"/>
      <c r="E766" s="1620"/>
      <c r="F766" s="1620"/>
      <c r="G766" s="1620"/>
      <c r="H766" s="1620"/>
      <c r="I766" s="1620"/>
      <c r="J766" s="1620"/>
      <c r="K766" s="1620"/>
      <c r="L766" s="1620"/>
      <c r="M766" s="1620"/>
      <c r="N766" s="1620"/>
      <c r="O766" s="1620"/>
      <c r="P766" s="1620"/>
      <c r="Q766" s="1620"/>
      <c r="R766" s="1620"/>
      <c r="S766" s="1620"/>
      <c r="T766" s="1620"/>
      <c r="U766" s="1620"/>
      <c r="V766" s="1620"/>
      <c r="W766" s="1620"/>
      <c r="X766" s="1620"/>
      <c r="Y766" s="1620"/>
      <c r="Z766" s="1620"/>
      <c r="AA766" s="1620"/>
      <c r="AB766" s="1620"/>
      <c r="AC766" s="1620"/>
      <c r="AD766" s="1620"/>
      <c r="AE766" s="1620"/>
      <c r="AF766" s="1620"/>
      <c r="AG766" s="1620"/>
      <c r="AH766" s="1620"/>
      <c r="AI766" s="1620"/>
      <c r="AJ766" s="1620"/>
      <c r="AK766" s="1620"/>
      <c r="AL766" s="1620"/>
      <c r="AM766" s="1620"/>
      <c r="AP766" s="288"/>
      <c r="AQ766" s="288"/>
      <c r="AR766" s="288"/>
      <c r="AS766" s="288"/>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1860</v>
      </c>
      <c r="D767" s="1026"/>
      <c r="E767" s="1026"/>
      <c r="F767" s="1026"/>
      <c r="G767" s="1026"/>
      <c r="H767" s="1026"/>
      <c r="I767" s="1026"/>
      <c r="J767" s="1026"/>
      <c r="K767" s="1026"/>
      <c r="L767" s="1026"/>
      <c r="M767" s="1026"/>
      <c r="N767" s="1026"/>
      <c r="O767" s="1026"/>
      <c r="P767" s="1026"/>
      <c r="Q767" s="1026"/>
      <c r="R767" s="1026"/>
      <c r="S767" s="1026"/>
      <c r="T767" s="1026"/>
      <c r="U767" s="1026"/>
      <c r="V767" s="1026"/>
      <c r="W767" s="1026"/>
      <c r="X767" s="1026"/>
      <c r="Y767" s="1026"/>
      <c r="Z767" s="1026"/>
      <c r="AA767" s="1026"/>
      <c r="AB767" s="1026"/>
      <c r="AC767" s="1026"/>
      <c r="AD767" s="1924" t="s">
        <v>590</v>
      </c>
      <c r="AE767" s="1924"/>
      <c r="AF767" s="1924"/>
      <c r="AG767" s="1026"/>
      <c r="AH767" s="1026"/>
      <c r="AI767" s="1026"/>
      <c r="AJ767" s="1026"/>
      <c r="AK767" s="1026"/>
      <c r="AL767" s="1026"/>
      <c r="AM767" s="1026"/>
      <c r="AN767" s="1026"/>
      <c r="AO767" s="1026"/>
      <c r="AP767" s="1026"/>
      <c r="AQ767" s="1026"/>
      <c r="AR767" s="102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27" t="s">
        <v>2040</v>
      </c>
      <c r="D768" s="1026"/>
      <c r="E768" s="1026"/>
      <c r="F768" s="1026"/>
      <c r="G768" s="1026"/>
      <c r="H768" s="1026"/>
      <c r="I768" s="1026"/>
      <c r="J768" s="1026"/>
      <c r="K768" s="1026"/>
      <c r="L768" s="1026"/>
      <c r="M768" s="1026"/>
      <c r="N768" s="1026"/>
      <c r="O768" s="1026"/>
      <c r="P768" s="1026"/>
      <c r="Q768" s="1026"/>
      <c r="R768" s="1026"/>
      <c r="S768" s="1026"/>
      <c r="T768" s="1026"/>
      <c r="U768" s="1026"/>
      <c r="V768" s="1026"/>
      <c r="W768" s="1026"/>
      <c r="X768" s="1026"/>
      <c r="Y768" s="1026"/>
      <c r="Z768" s="1026"/>
      <c r="AA768" s="1026"/>
      <c r="AB768" s="1026"/>
      <c r="AC768" s="1026"/>
      <c r="AD768" s="1026"/>
      <c r="AE768" s="1026"/>
      <c r="AF768" s="1026"/>
      <c r="AG768" s="1026"/>
      <c r="AH768" s="1026"/>
      <c r="AI768" s="1026"/>
      <c r="AJ768" s="1026"/>
      <c r="AK768" s="1026"/>
      <c r="AL768" s="1026"/>
      <c r="AM768" s="1026"/>
      <c r="AN768" s="1026"/>
      <c r="AO768" s="1026"/>
      <c r="AP768" s="1026"/>
      <c r="AQ768" s="1026"/>
      <c r="AR768" s="10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4"/>
      <c r="C770" s="118" t="s">
        <v>176</v>
      </c>
      <c r="D770" s="1024"/>
      <c r="E770" s="1024"/>
      <c r="F770" s="1024"/>
      <c r="G770" s="352"/>
      <c r="H770" s="352"/>
      <c r="I770" s="352"/>
      <c r="J770" s="352"/>
      <c r="K770" s="352"/>
      <c r="L770" s="1024"/>
      <c r="M770" s="1024"/>
      <c r="N770" s="1024"/>
      <c r="O770" s="1024"/>
      <c r="P770" s="1024"/>
      <c r="Q770" s="352"/>
      <c r="R770" s="352"/>
      <c r="S770" s="352"/>
      <c r="T770" s="352"/>
      <c r="U770" s="352"/>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4"/>
      <c r="C771" s="1533" t="s">
        <v>2041</v>
      </c>
      <c r="D771" s="1533"/>
      <c r="E771" s="1533"/>
      <c r="F771" s="1533"/>
      <c r="G771" s="1533"/>
      <c r="H771" s="1533"/>
      <c r="I771" s="1533"/>
      <c r="J771" s="1533"/>
      <c r="K771" s="1533"/>
      <c r="L771" s="1533"/>
      <c r="M771" s="1533"/>
      <c r="N771" s="1533"/>
      <c r="O771" s="1533"/>
      <c r="P771" s="1533"/>
      <c r="Q771" s="1533"/>
      <c r="R771" s="1533"/>
      <c r="S771" s="1533"/>
      <c r="T771" s="1533"/>
      <c r="U771" s="1533"/>
      <c r="V771" s="1533"/>
      <c r="W771" s="1533"/>
      <c r="X771" s="1533"/>
      <c r="Y771" s="1533"/>
      <c r="Z771" s="1533"/>
      <c r="AA771" s="1533"/>
      <c r="AB771" s="1533"/>
      <c r="AC771" s="1533"/>
      <c r="AD771" s="1533"/>
      <c r="AE771" s="1533"/>
      <c r="AF771" s="1533"/>
      <c r="AG771" s="1533"/>
      <c r="AH771" s="1533"/>
      <c r="AI771" s="1533"/>
      <c r="AJ771" s="1533"/>
      <c r="AK771" s="1533"/>
      <c r="AL771" s="1533"/>
      <c r="AM771" s="1533"/>
      <c r="AN771" s="1533"/>
      <c r="AO771" s="1533"/>
      <c r="AP771" s="1533"/>
      <c r="AQ771" s="1533"/>
      <c r="AR771" s="153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4"/>
      <c r="C772" s="1533"/>
      <c r="D772" s="1533"/>
      <c r="E772" s="1533"/>
      <c r="F772" s="1533"/>
      <c r="G772" s="1533"/>
      <c r="H772" s="1533"/>
      <c r="I772" s="1533"/>
      <c r="J772" s="1533"/>
      <c r="K772" s="1533"/>
      <c r="L772" s="1533"/>
      <c r="M772" s="1533"/>
      <c r="N772" s="1533"/>
      <c r="O772" s="1533"/>
      <c r="P772" s="1533"/>
      <c r="Q772" s="1533"/>
      <c r="R772" s="1533"/>
      <c r="S772" s="1533"/>
      <c r="T772" s="1533"/>
      <c r="U772" s="1533"/>
      <c r="V772" s="1533"/>
      <c r="W772" s="1533"/>
      <c r="X772" s="1533"/>
      <c r="Y772" s="1533"/>
      <c r="Z772" s="1533"/>
      <c r="AA772" s="1533"/>
      <c r="AB772" s="1533"/>
      <c r="AC772" s="1533"/>
      <c r="AD772" s="1533"/>
      <c r="AE772" s="1533"/>
      <c r="AF772" s="1533"/>
      <c r="AG772" s="1533"/>
      <c r="AH772" s="1533"/>
      <c r="AI772" s="1533"/>
      <c r="AJ772" s="1533"/>
      <c r="AK772" s="1533"/>
      <c r="AL772" s="1533"/>
      <c r="AM772" s="1533"/>
      <c r="AN772" s="1533"/>
      <c r="AO772" s="1533"/>
      <c r="AP772" s="1533"/>
      <c r="AQ772" s="1533"/>
      <c r="AR772" s="153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4"/>
      <c r="C773" s="1533"/>
      <c r="D773" s="1533"/>
      <c r="E773" s="1533"/>
      <c r="F773" s="1533"/>
      <c r="G773" s="1533"/>
      <c r="H773" s="1533"/>
      <c r="I773" s="1533"/>
      <c r="J773" s="1533"/>
      <c r="K773" s="1533"/>
      <c r="L773" s="1533"/>
      <c r="M773" s="1533"/>
      <c r="N773" s="1533"/>
      <c r="O773" s="1533"/>
      <c r="P773" s="1533"/>
      <c r="Q773" s="1533"/>
      <c r="R773" s="1533"/>
      <c r="S773" s="1533"/>
      <c r="T773" s="1533"/>
      <c r="U773" s="1533"/>
      <c r="V773" s="1533"/>
      <c r="W773" s="1533"/>
      <c r="X773" s="1533"/>
      <c r="Y773" s="1533"/>
      <c r="Z773" s="1533"/>
      <c r="AA773" s="1533"/>
      <c r="AB773" s="1533"/>
      <c r="AC773" s="1533"/>
      <c r="AD773" s="1533"/>
      <c r="AE773" s="1533"/>
      <c r="AF773" s="1533"/>
      <c r="AG773" s="1533"/>
      <c r="AH773" s="1533"/>
      <c r="AI773" s="1533"/>
      <c r="AJ773" s="1533"/>
      <c r="AK773" s="1533"/>
      <c r="AL773" s="1533"/>
      <c r="AM773" s="1533"/>
      <c r="AN773" s="1533"/>
      <c r="AO773" s="1533"/>
      <c r="AP773" s="1533"/>
      <c r="AQ773" s="1533"/>
      <c r="AR773" s="153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4"/>
      <c r="C774" s="1533" t="s">
        <v>2042</v>
      </c>
      <c r="D774" s="1533"/>
      <c r="E774" s="1533"/>
      <c r="F774" s="1533"/>
      <c r="G774" s="1533"/>
      <c r="H774" s="1533"/>
      <c r="I774" s="1533"/>
      <c r="J774" s="1533"/>
      <c r="K774" s="1533"/>
      <c r="L774" s="1533"/>
      <c r="M774" s="1533"/>
      <c r="N774" s="1533"/>
      <c r="O774" s="1533"/>
      <c r="P774" s="1533"/>
      <c r="Q774" s="1533"/>
      <c r="R774" s="1533"/>
      <c r="S774" s="1533"/>
      <c r="T774" s="1533"/>
      <c r="U774" s="1533"/>
      <c r="V774" s="1533"/>
      <c r="W774" s="1533"/>
      <c r="X774" s="1533"/>
      <c r="Y774" s="1533"/>
      <c r="Z774" s="1533"/>
      <c r="AA774" s="1533"/>
      <c r="AB774" s="1533"/>
      <c r="AC774" s="1533"/>
      <c r="AD774" s="1533"/>
      <c r="AE774" s="1533"/>
      <c r="AF774" s="1533"/>
      <c r="AG774" s="1533"/>
      <c r="AH774" s="1533"/>
      <c r="AI774" s="1533"/>
      <c r="AJ774" s="1533"/>
      <c r="AK774" s="1533"/>
      <c r="AL774" s="1533"/>
      <c r="AM774" s="1533"/>
      <c r="AN774" s="1533"/>
      <c r="AO774" s="1533"/>
      <c r="AP774" s="1533"/>
      <c r="AQ774" s="1533"/>
      <c r="AR774" s="153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88"/>
      <c r="DY774" s="288"/>
      <c r="DZ774" s="288"/>
      <c r="EA774" s="288"/>
      <c r="EB774" s="288"/>
      <c r="EC774" s="288"/>
      <c r="ED774" s="288"/>
      <c r="EE774" s="288"/>
      <c r="EF774" s="288"/>
      <c r="EG774" s="288"/>
      <c r="EH774" s="288"/>
      <c r="EI774" s="288"/>
      <c r="EJ774" s="288"/>
      <c r="EK774" s="288"/>
      <c r="EL774" s="288"/>
      <c r="EM774" s="288"/>
      <c r="EN774" s="288"/>
      <c r="EO774" s="288"/>
      <c r="EP774" s="288"/>
      <c r="EQ774" s="288"/>
      <c r="ER774" s="288"/>
      <c r="ES774" s="288"/>
      <c r="ET774" s="288"/>
      <c r="EU774" s="288"/>
      <c r="EV774" s="288"/>
      <c r="EW774" s="288"/>
      <c r="EX774" s="288"/>
      <c r="EY774" s="288"/>
      <c r="EZ774" s="288"/>
      <c r="FA774" s="288"/>
    </row>
    <row r="775" spans="1:159" ht="12.95" customHeight="1">
      <c r="A775" s="3"/>
      <c r="B775" s="1024"/>
      <c r="C775" s="1533"/>
      <c r="D775" s="1533"/>
      <c r="E775" s="1533"/>
      <c r="F775" s="1533"/>
      <c r="G775" s="1533"/>
      <c r="H775" s="1533"/>
      <c r="I775" s="1533"/>
      <c r="J775" s="1533"/>
      <c r="K775" s="1533"/>
      <c r="L775" s="1533"/>
      <c r="M775" s="1533"/>
      <c r="N775" s="1533"/>
      <c r="O775" s="1533"/>
      <c r="P775" s="1533"/>
      <c r="Q775" s="1533"/>
      <c r="R775" s="1533"/>
      <c r="S775" s="1533"/>
      <c r="T775" s="1533"/>
      <c r="U775" s="1533"/>
      <c r="V775" s="1533"/>
      <c r="W775" s="1533"/>
      <c r="X775" s="1533"/>
      <c r="Y775" s="1533"/>
      <c r="Z775" s="1533"/>
      <c r="AA775" s="1533"/>
      <c r="AB775" s="1533"/>
      <c r="AC775" s="1533"/>
      <c r="AD775" s="1533"/>
      <c r="AE775" s="1533"/>
      <c r="AF775" s="1533"/>
      <c r="AG775" s="1533"/>
      <c r="AH775" s="1533"/>
      <c r="AI775" s="1533"/>
      <c r="AJ775" s="1533"/>
      <c r="AK775" s="1533"/>
      <c r="AL775" s="1533"/>
      <c r="AM775" s="1533"/>
      <c r="AN775" s="1533"/>
      <c r="AO775" s="1533"/>
      <c r="AP775" s="1533"/>
      <c r="AQ775" s="1533"/>
      <c r="AR775" s="153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4"/>
      <c r="C776" s="1533"/>
      <c r="D776" s="1533"/>
      <c r="E776" s="1533"/>
      <c r="F776" s="1533"/>
      <c r="G776" s="1533"/>
      <c r="H776" s="1533"/>
      <c r="I776" s="1533"/>
      <c r="J776" s="1533"/>
      <c r="K776" s="1533"/>
      <c r="L776" s="1533"/>
      <c r="M776" s="1533"/>
      <c r="N776" s="1533"/>
      <c r="O776" s="1533"/>
      <c r="P776" s="1533"/>
      <c r="Q776" s="1533"/>
      <c r="R776" s="1533"/>
      <c r="S776" s="1533"/>
      <c r="T776" s="1533"/>
      <c r="U776" s="1533"/>
      <c r="V776" s="1533"/>
      <c r="W776" s="1533"/>
      <c r="X776" s="1533"/>
      <c r="Y776" s="1533"/>
      <c r="Z776" s="1533"/>
      <c r="AA776" s="1533"/>
      <c r="AB776" s="1533"/>
      <c r="AC776" s="1533"/>
      <c r="AD776" s="1533"/>
      <c r="AE776" s="1533"/>
      <c r="AF776" s="1533"/>
      <c r="AG776" s="1533"/>
      <c r="AH776" s="1533"/>
      <c r="AI776" s="1533"/>
      <c r="AJ776" s="1533"/>
      <c r="AK776" s="1533"/>
      <c r="AL776" s="1533"/>
      <c r="AM776" s="1533"/>
      <c r="AN776" s="1533"/>
      <c r="AO776" s="1533"/>
      <c r="AP776" s="1533"/>
      <c r="AQ776" s="1533"/>
      <c r="AR776" s="153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76" t="s">
        <v>388</v>
      </c>
      <c r="K777" s="1677"/>
      <c r="L777" s="1677"/>
      <c r="M777" s="1677"/>
      <c r="N777" s="1678"/>
      <c r="O777" s="1796" t="s">
        <v>284</v>
      </c>
      <c r="P777" s="1796"/>
      <c r="Q777" s="1796"/>
      <c r="R777" s="1796"/>
      <c r="S777" s="1796"/>
      <c r="T777" s="1994" t="s">
        <v>1665</v>
      </c>
      <c r="U777" s="1995"/>
      <c r="V777" s="1995"/>
      <c r="W777" s="1996"/>
      <c r="X777" s="1676" t="s">
        <v>446</v>
      </c>
      <c r="Y777" s="1677"/>
      <c r="Z777" s="1677"/>
      <c r="AA777" s="1677"/>
      <c r="AB777" s="1678"/>
      <c r="AC777" s="1676" t="s">
        <v>285</v>
      </c>
      <c r="AD777" s="1677"/>
      <c r="AE777" s="1677"/>
      <c r="AF777" s="1677"/>
      <c r="AG777" s="167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679"/>
      <c r="K778" s="1680"/>
      <c r="L778" s="1680"/>
      <c r="M778" s="1680"/>
      <c r="N778" s="1681"/>
      <c r="O778" s="1796"/>
      <c r="P778" s="1796"/>
      <c r="Q778" s="1796"/>
      <c r="R778" s="1796"/>
      <c r="S778" s="1796"/>
      <c r="T778" s="1997"/>
      <c r="U778" s="1998"/>
      <c r="V778" s="1998"/>
      <c r="W778" s="1999"/>
      <c r="X778" s="1679"/>
      <c r="Y778" s="1680"/>
      <c r="Z778" s="1680"/>
      <c r="AA778" s="1680"/>
      <c r="AB778" s="1681"/>
      <c r="AC778" s="1679"/>
      <c r="AD778" s="1680"/>
      <c r="AE778" s="1680"/>
      <c r="AF778" s="1680"/>
      <c r="AG778" s="168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679"/>
      <c r="K779" s="1680"/>
      <c r="L779" s="1680"/>
      <c r="M779" s="1680"/>
      <c r="N779" s="1681"/>
      <c r="O779" s="1796"/>
      <c r="P779" s="1796"/>
      <c r="Q779" s="1796"/>
      <c r="R779" s="1796"/>
      <c r="S779" s="1796"/>
      <c r="T779" s="1997"/>
      <c r="U779" s="1998"/>
      <c r="V779" s="1998"/>
      <c r="W779" s="1999"/>
      <c r="X779" s="1679"/>
      <c r="Y779" s="1680"/>
      <c r="Z779" s="1680"/>
      <c r="AA779" s="1680"/>
      <c r="AB779" s="1681"/>
      <c r="AC779" s="1679"/>
      <c r="AD779" s="1680"/>
      <c r="AE779" s="1680"/>
      <c r="AF779" s="1680"/>
      <c r="AG779" s="168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682"/>
      <c r="K780" s="1683"/>
      <c r="L780" s="1683"/>
      <c r="M780" s="1683"/>
      <c r="N780" s="1684"/>
      <c r="O780" s="1796"/>
      <c r="P780" s="1796"/>
      <c r="Q780" s="1796"/>
      <c r="R780" s="1796"/>
      <c r="S780" s="1796"/>
      <c r="T780" s="2000"/>
      <c r="U780" s="2001"/>
      <c r="V780" s="2001"/>
      <c r="W780" s="2002"/>
      <c r="X780" s="1682"/>
      <c r="Y780" s="1683"/>
      <c r="Z780" s="1683"/>
      <c r="AA780" s="1683"/>
      <c r="AB780" s="1684"/>
      <c r="AC780" s="1682"/>
      <c r="AD780" s="1683"/>
      <c r="AE780" s="1683"/>
      <c r="AF780" s="1683"/>
      <c r="AG780" s="168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627" t="s">
        <v>164</v>
      </c>
      <c r="K781" s="1628"/>
      <c r="L781" s="1628"/>
      <c r="M781" s="1628"/>
      <c r="N781" s="1629"/>
      <c r="O781" s="1798">
        <v>1</v>
      </c>
      <c r="P781" s="1798"/>
      <c r="Q781" s="1798"/>
      <c r="R781" s="1798"/>
      <c r="S781" s="1798"/>
      <c r="T781" s="1624">
        <v>1203</v>
      </c>
      <c r="U781" s="1625"/>
      <c r="V781" s="1625"/>
      <c r="W781" s="1626"/>
      <c r="X781" s="1662">
        <v>0</v>
      </c>
      <c r="Y781" s="1663"/>
      <c r="Z781" s="1663"/>
      <c r="AA781" s="1663"/>
      <c r="AB781" s="1664"/>
      <c r="AC781" s="1665">
        <f>X781*O781</f>
        <v>0</v>
      </c>
      <c r="AD781" s="1661"/>
      <c r="AE781" s="1661"/>
      <c r="AF781" s="1661"/>
      <c r="AG781" s="1666"/>
      <c r="AH781" s="1013"/>
      <c r="AI781" s="116"/>
      <c r="AJ781" s="116"/>
      <c r="AK781" s="1013"/>
      <c r="AL781" s="101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785">
        <f>IF(J781="SRO/Studio",O781,0)</f>
        <v>0</v>
      </c>
      <c r="CQ781" s="1786"/>
      <c r="CR781" s="1786"/>
      <c r="CS781" s="1786"/>
      <c r="CT781" s="1787"/>
      <c r="CU781" s="1782">
        <f>IF(J781="1 Bedroom",O781,0)</f>
        <v>0</v>
      </c>
      <c r="CV781" s="1782"/>
      <c r="CW781" s="1782"/>
      <c r="CX781" s="1782"/>
      <c r="CY781" s="1782"/>
      <c r="CZ781" s="1782">
        <f>IF(J781="2 Bedrooms",O781,0)</f>
        <v>0</v>
      </c>
      <c r="DA781" s="1782"/>
      <c r="DB781" s="1782"/>
      <c r="DC781" s="1782"/>
      <c r="DD781" s="1782"/>
      <c r="DE781" s="1782">
        <f>IF(J781="3 Bedrooms",O781,0)</f>
        <v>1</v>
      </c>
      <c r="DF781" s="1782"/>
      <c r="DG781" s="1782"/>
      <c r="DH781" s="1782"/>
      <c r="DI781" s="1782"/>
      <c r="DJ781" s="1782">
        <f>IF(J781="4 Bedrooms",O781,0)</f>
        <v>0</v>
      </c>
      <c r="DK781" s="1782"/>
      <c r="DL781" s="1782"/>
      <c r="DM781" s="1782"/>
      <c r="DN781" s="1782"/>
      <c r="DO781" s="1782">
        <f>IF(J781="5 Bedrooms",O781,0)</f>
        <v>0</v>
      </c>
      <c r="DP781" s="1782"/>
      <c r="DQ781" s="1782"/>
      <c r="DR781" s="1782"/>
      <c r="DS781" s="1782"/>
      <c r="DT781" s="6"/>
      <c r="DU781" s="3"/>
      <c r="DV781" s="3"/>
    </row>
    <row r="782" spans="1:159" ht="12.95" customHeight="1">
      <c r="J782" s="1627"/>
      <c r="K782" s="1628"/>
      <c r="L782" s="1628"/>
      <c r="M782" s="1628"/>
      <c r="N782" s="1629"/>
      <c r="O782" s="1798"/>
      <c r="P782" s="1798"/>
      <c r="Q782" s="1798"/>
      <c r="R782" s="1798"/>
      <c r="S782" s="1798"/>
      <c r="T782" s="1624"/>
      <c r="U782" s="1625"/>
      <c r="V782" s="1625"/>
      <c r="W782" s="1626"/>
      <c r="X782" s="1662"/>
      <c r="Y782" s="1663"/>
      <c r="Z782" s="1663"/>
      <c r="AA782" s="1663"/>
      <c r="AB782" s="1664"/>
      <c r="AC782" s="1665">
        <f>X782*O782</f>
        <v>0</v>
      </c>
      <c r="AD782" s="1661"/>
      <c r="AE782" s="1661"/>
      <c r="AF782" s="1661"/>
      <c r="AG782" s="1666"/>
      <c r="AH782" s="1013"/>
      <c r="AI782" s="1013"/>
      <c r="AJ782" s="1013"/>
      <c r="AK782" s="1013"/>
      <c r="AL782" s="101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785">
        <f>IF(J782="SRO/Studio",O782,0)</f>
        <v>0</v>
      </c>
      <c r="CQ782" s="1786"/>
      <c r="CR782" s="1786"/>
      <c r="CS782" s="1786"/>
      <c r="CT782" s="1787"/>
      <c r="CU782" s="1782">
        <f>IF(J782="1 Bedroom",O782,0)</f>
        <v>0</v>
      </c>
      <c r="CV782" s="1782"/>
      <c r="CW782" s="1782"/>
      <c r="CX782" s="1782"/>
      <c r="CY782" s="1782"/>
      <c r="CZ782" s="1782">
        <f>IF(J782="2 Bedrooms",O782,0)</f>
        <v>0</v>
      </c>
      <c r="DA782" s="1782"/>
      <c r="DB782" s="1782"/>
      <c r="DC782" s="1782"/>
      <c r="DD782" s="1782"/>
      <c r="DE782" s="1782">
        <f>IF(J782="3 Bedrooms",O782,0)</f>
        <v>0</v>
      </c>
      <c r="DF782" s="1782"/>
      <c r="DG782" s="1782"/>
      <c r="DH782" s="1782"/>
      <c r="DI782" s="1782"/>
      <c r="DJ782" s="1782">
        <f>IF(J782="4 Bedrooms",O782,0)</f>
        <v>0</v>
      </c>
      <c r="DK782" s="1782"/>
      <c r="DL782" s="1782"/>
      <c r="DM782" s="1782"/>
      <c r="DN782" s="1782"/>
      <c r="DO782" s="1782">
        <f>IF(J782="5 Bedrooms",O782,0)</f>
        <v>0</v>
      </c>
      <c r="DP782" s="1782"/>
      <c r="DQ782" s="1782"/>
      <c r="DR782" s="1782"/>
      <c r="DS782" s="1782"/>
      <c r="DT782" s="6"/>
      <c r="DU782" s="3"/>
      <c r="DV782" s="3"/>
    </row>
    <row r="783" spans="1:159" ht="12.95" customHeight="1">
      <c r="J783" s="1627"/>
      <c r="K783" s="1628"/>
      <c r="L783" s="1628"/>
      <c r="M783" s="1628"/>
      <c r="N783" s="1629"/>
      <c r="O783" s="1798"/>
      <c r="P783" s="1798"/>
      <c r="Q783" s="1798"/>
      <c r="R783" s="1798"/>
      <c r="S783" s="1798"/>
      <c r="T783" s="1624"/>
      <c r="U783" s="1625"/>
      <c r="V783" s="1625"/>
      <c r="W783" s="1626"/>
      <c r="X783" s="1662"/>
      <c r="Y783" s="1663"/>
      <c r="Z783" s="1663"/>
      <c r="AA783" s="1663"/>
      <c r="AB783" s="1664"/>
      <c r="AC783" s="1665">
        <f>X783*O783</f>
        <v>0</v>
      </c>
      <c r="AD783" s="1661"/>
      <c r="AE783" s="1661"/>
      <c r="AF783" s="1661"/>
      <c r="AG783" s="1666"/>
      <c r="AH783" s="1013"/>
      <c r="AI783" s="1013"/>
      <c r="AJ783" s="1013"/>
      <c r="AK783" s="1013"/>
      <c r="AL783" s="101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785">
        <f>IF(J783="SRO/Studio",O783,0)</f>
        <v>0</v>
      </c>
      <c r="CQ783" s="1786"/>
      <c r="CR783" s="1786"/>
      <c r="CS783" s="1786"/>
      <c r="CT783" s="1787"/>
      <c r="CU783" s="1782">
        <f>IF(J783="1 Bedroom",O783,0)</f>
        <v>0</v>
      </c>
      <c r="CV783" s="1782"/>
      <c r="CW783" s="1782"/>
      <c r="CX783" s="1782"/>
      <c r="CY783" s="1782"/>
      <c r="CZ783" s="1782">
        <f>IF(J783="2 Bedrooms",O783,0)</f>
        <v>0</v>
      </c>
      <c r="DA783" s="1782"/>
      <c r="DB783" s="1782"/>
      <c r="DC783" s="1782"/>
      <c r="DD783" s="1782"/>
      <c r="DE783" s="1782">
        <f>IF(J783="3 Bedrooms",O783,0)</f>
        <v>0</v>
      </c>
      <c r="DF783" s="1782"/>
      <c r="DG783" s="1782"/>
      <c r="DH783" s="1782"/>
      <c r="DI783" s="1782"/>
      <c r="DJ783" s="1782">
        <f>IF(J783="4 Bedrooms",O783,0)</f>
        <v>0</v>
      </c>
      <c r="DK783" s="1782"/>
      <c r="DL783" s="1782"/>
      <c r="DM783" s="1782"/>
      <c r="DN783" s="1782"/>
      <c r="DO783" s="1782">
        <f>IF(J783="5 Bedrooms",O783,0)</f>
        <v>0</v>
      </c>
      <c r="DP783" s="1782"/>
      <c r="DQ783" s="1782"/>
      <c r="DR783" s="1782"/>
      <c r="DS783" s="1782"/>
      <c r="DT783" s="1004"/>
    </row>
    <row r="784" spans="1:159" ht="12.95" customHeight="1">
      <c r="J784" s="1627"/>
      <c r="K784" s="1628"/>
      <c r="L784" s="1628"/>
      <c r="M784" s="1628"/>
      <c r="N784" s="1629"/>
      <c r="O784" s="1798"/>
      <c r="P784" s="1798"/>
      <c r="Q784" s="1798"/>
      <c r="R784" s="1798"/>
      <c r="S784" s="1798"/>
      <c r="T784" s="1624"/>
      <c r="U784" s="1625"/>
      <c r="V784" s="1625"/>
      <c r="W784" s="1626"/>
      <c r="X784" s="1662"/>
      <c r="Y784" s="1663"/>
      <c r="Z784" s="1663"/>
      <c r="AA784" s="1663"/>
      <c r="AB784" s="1664"/>
      <c r="AC784" s="1665">
        <f>X784*O784</f>
        <v>0</v>
      </c>
      <c r="AD784" s="1661"/>
      <c r="AE784" s="1661"/>
      <c r="AF784" s="1661"/>
      <c r="AG784" s="1666"/>
      <c r="AH784" s="1013"/>
      <c r="AI784" s="1013"/>
      <c r="AJ784" s="1013"/>
      <c r="AK784" s="1013"/>
      <c r="AL784" s="101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785">
        <f>IF(J784="SRO/Studio",O784,0)</f>
        <v>0</v>
      </c>
      <c r="CQ784" s="1786"/>
      <c r="CR784" s="1786"/>
      <c r="CS784" s="1786"/>
      <c r="CT784" s="1787"/>
      <c r="CU784" s="1782">
        <f>IF(J784="1 Bedroom",O784,0)</f>
        <v>0</v>
      </c>
      <c r="CV784" s="1782"/>
      <c r="CW784" s="1782"/>
      <c r="CX784" s="1782"/>
      <c r="CY784" s="1782"/>
      <c r="CZ784" s="1782">
        <f>IF(J784="2 Bedrooms",O784,0)</f>
        <v>0</v>
      </c>
      <c r="DA784" s="1782"/>
      <c r="DB784" s="1782"/>
      <c r="DC784" s="1782"/>
      <c r="DD784" s="1782"/>
      <c r="DE784" s="1782">
        <f>IF(J784="3 Bedrooms",O784,0)</f>
        <v>0</v>
      </c>
      <c r="DF784" s="1782"/>
      <c r="DG784" s="1782"/>
      <c r="DH784" s="1782"/>
      <c r="DI784" s="1782"/>
      <c r="DJ784" s="1782">
        <f>IF(J784="4 Bedrooms",O784,0)</f>
        <v>0</v>
      </c>
      <c r="DK784" s="1782"/>
      <c r="DL784" s="1782"/>
      <c r="DM784" s="1782"/>
      <c r="DN784" s="1782"/>
      <c r="DO784" s="1782">
        <f>IF(J784="5 Bedrooms",O784,0)</f>
        <v>0</v>
      </c>
      <c r="DP784" s="1782"/>
      <c r="DQ784" s="1782"/>
      <c r="DR784" s="1782"/>
      <c r="DS784" s="1782"/>
    </row>
    <row r="785" spans="1:154" ht="12.95" customHeight="1">
      <c r="J785" s="1774" t="s">
        <v>125</v>
      </c>
      <c r="K785" s="1775"/>
      <c r="L785" s="1775"/>
      <c r="M785" s="1775"/>
      <c r="N785" s="1776"/>
      <c r="O785" s="1789">
        <f>SUM(O781:S784)</f>
        <v>1</v>
      </c>
      <c r="P785" s="1791"/>
      <c r="Q785" s="1791"/>
      <c r="R785" s="1791"/>
      <c r="S785" s="1790"/>
      <c r="X785" s="1774" t="s">
        <v>124</v>
      </c>
      <c r="Y785" s="1775"/>
      <c r="Z785" s="1775"/>
      <c r="AA785" s="1775"/>
      <c r="AB785" s="1776"/>
      <c r="AC785" s="1665">
        <f>SUM(AC781:AG784)</f>
        <v>0</v>
      </c>
      <c r="AD785" s="1661"/>
      <c r="AE785" s="1661"/>
      <c r="AF785" s="1661"/>
      <c r="AG785" s="1666"/>
      <c r="AI785" s="1013"/>
      <c r="AJ785" s="101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789">
        <f>SUM(CP781:CT784)</f>
        <v>0</v>
      </c>
      <c r="CQ785" s="1791"/>
      <c r="CR785" s="1791"/>
      <c r="CS785" s="1791"/>
      <c r="CT785" s="1790"/>
      <c r="CU785" s="1792">
        <f>SUM(CU781:CY784)</f>
        <v>0</v>
      </c>
      <c r="CV785" s="1793"/>
      <c r="CW785" s="1793"/>
      <c r="CX785" s="1793"/>
      <c r="CY785" s="1794"/>
      <c r="CZ785" s="1792">
        <f>SUM(CZ781:DD784)</f>
        <v>0</v>
      </c>
      <c r="DA785" s="1793"/>
      <c r="DB785" s="1793"/>
      <c r="DC785" s="1793"/>
      <c r="DD785" s="1794"/>
      <c r="DE785" s="1792">
        <f>SUM(DE781:DI784)</f>
        <v>1</v>
      </c>
      <c r="DF785" s="1793"/>
      <c r="DG785" s="1793"/>
      <c r="DH785" s="1793"/>
      <c r="DI785" s="1794"/>
      <c r="DJ785" s="1792">
        <f>SUM(DJ781:DN784)</f>
        <v>0</v>
      </c>
      <c r="DK785" s="1793"/>
      <c r="DL785" s="1793"/>
      <c r="DM785" s="1793"/>
      <c r="DN785" s="1794"/>
      <c r="DO785" s="1792">
        <f>SUM(DO781:DS784)</f>
        <v>0</v>
      </c>
      <c r="DP785" s="1793"/>
      <c r="DQ785" s="1793"/>
      <c r="DR785" s="1793"/>
      <c r="DS785" s="1794"/>
      <c r="DU785" s="855">
        <f>CP785+CU785+CZ785+DE785+DJ785+DO785</f>
        <v>1</v>
      </c>
      <c r="DV785" s="57" t="s">
        <v>1830</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5">
        <f>CP785*1</f>
        <v>0</v>
      </c>
      <c r="CU786" s="3"/>
      <c r="CV786" s="3"/>
      <c r="CW786" s="3"/>
      <c r="CX786" s="3"/>
      <c r="CY786" s="855">
        <f>CU785*1</f>
        <v>0</v>
      </c>
      <c r="CZ786" s="3"/>
      <c r="DA786" s="3"/>
      <c r="DB786" s="3"/>
      <c r="DC786" s="3"/>
      <c r="DD786" s="855">
        <f>CZ785*2</f>
        <v>0</v>
      </c>
      <c r="DE786" s="3"/>
      <c r="DF786" s="3"/>
      <c r="DG786" s="3"/>
      <c r="DH786" s="3"/>
      <c r="DI786" s="855">
        <f>DE785*3</f>
        <v>3</v>
      </c>
      <c r="DJ786" s="3"/>
      <c r="DK786" s="3"/>
      <c r="DL786" s="3"/>
      <c r="DM786" s="3"/>
      <c r="DN786" s="855">
        <f>DJ785*4</f>
        <v>0</v>
      </c>
      <c r="DO786" s="3"/>
      <c r="DP786" s="3"/>
      <c r="DQ786" s="3"/>
      <c r="DR786" s="3"/>
      <c r="DS786" s="855">
        <f>DO785*5</f>
        <v>0</v>
      </c>
      <c r="DU786" s="855">
        <f>CT786+CY786+DD786+DI786+DN786+DS786</f>
        <v>3</v>
      </c>
      <c r="DV786" s="57" t="s">
        <v>1832</v>
      </c>
    </row>
    <row r="787" spans="1:154" ht="12.95" customHeight="1">
      <c r="B787" s="56"/>
      <c r="C787" s="56"/>
      <c r="D787" s="56"/>
      <c r="E787" s="56"/>
      <c r="F787" s="56"/>
      <c r="G787" s="6"/>
      <c r="H787" s="6"/>
      <c r="I787" s="6"/>
      <c r="J787" s="1728" t="s">
        <v>668</v>
      </c>
      <c r="K787" s="1728"/>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2043</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0"/>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76" t="s">
        <v>388</v>
      </c>
      <c r="K791" s="1677"/>
      <c r="L791" s="1677"/>
      <c r="M791" s="1677"/>
      <c r="N791" s="1678"/>
      <c r="O791" s="1796" t="s">
        <v>284</v>
      </c>
      <c r="P791" s="1796"/>
      <c r="Q791" s="1796"/>
      <c r="R791" s="1796"/>
      <c r="S791" s="1796"/>
      <c r="T791" s="1994" t="s">
        <v>1665</v>
      </c>
      <c r="U791" s="1995"/>
      <c r="V791" s="1995"/>
      <c r="W791" s="1996"/>
      <c r="X791" s="1676" t="s">
        <v>446</v>
      </c>
      <c r="Y791" s="1677"/>
      <c r="Z791" s="1677"/>
      <c r="AA791" s="1677"/>
      <c r="AB791" s="1678"/>
      <c r="AC791" s="1676" t="s">
        <v>285</v>
      </c>
      <c r="AD791" s="1677"/>
      <c r="AE791" s="1677"/>
      <c r="AF791" s="1677"/>
      <c r="AG791" s="167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679"/>
      <c r="K792" s="1680"/>
      <c r="L792" s="1680"/>
      <c r="M792" s="1680"/>
      <c r="N792" s="1681"/>
      <c r="O792" s="1796"/>
      <c r="P792" s="1796"/>
      <c r="Q792" s="1796"/>
      <c r="R792" s="1796"/>
      <c r="S792" s="1796"/>
      <c r="T792" s="1997"/>
      <c r="U792" s="1998"/>
      <c r="V792" s="1998"/>
      <c r="W792" s="1999"/>
      <c r="X792" s="1679"/>
      <c r="Y792" s="1680"/>
      <c r="Z792" s="1680"/>
      <c r="AA792" s="1680"/>
      <c r="AB792" s="1681"/>
      <c r="AC792" s="1679"/>
      <c r="AD792" s="1680"/>
      <c r="AE792" s="1680"/>
      <c r="AF792" s="1680"/>
      <c r="AG792" s="168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679"/>
      <c r="K793" s="1680"/>
      <c r="L793" s="1680"/>
      <c r="M793" s="1680"/>
      <c r="N793" s="1681"/>
      <c r="O793" s="1796"/>
      <c r="P793" s="1796"/>
      <c r="Q793" s="1796"/>
      <c r="R793" s="1796"/>
      <c r="S793" s="1796"/>
      <c r="T793" s="1997"/>
      <c r="U793" s="1998"/>
      <c r="V793" s="1998"/>
      <c r="W793" s="1999"/>
      <c r="X793" s="1679"/>
      <c r="Y793" s="1680"/>
      <c r="Z793" s="1680"/>
      <c r="AA793" s="1680"/>
      <c r="AB793" s="1681"/>
      <c r="AC793" s="1679"/>
      <c r="AD793" s="1680"/>
      <c r="AE793" s="1680"/>
      <c r="AF793" s="1680"/>
      <c r="AG793" s="168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682"/>
      <c r="K794" s="1683"/>
      <c r="L794" s="1683"/>
      <c r="M794" s="1683"/>
      <c r="N794" s="1684"/>
      <c r="O794" s="1796"/>
      <c r="P794" s="1796"/>
      <c r="Q794" s="1796"/>
      <c r="R794" s="1796"/>
      <c r="S794" s="1796"/>
      <c r="T794" s="2000"/>
      <c r="U794" s="2001"/>
      <c r="V794" s="2001"/>
      <c r="W794" s="2002"/>
      <c r="X794" s="1682"/>
      <c r="Y794" s="1683"/>
      <c r="Z794" s="1683"/>
      <c r="AA794" s="1683"/>
      <c r="AB794" s="1684"/>
      <c r="AC794" s="1682"/>
      <c r="AD794" s="1683"/>
      <c r="AE794" s="1683"/>
      <c r="AF794" s="1683"/>
      <c r="AG794" s="168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1837</v>
      </c>
      <c r="DV794" s="3"/>
      <c r="DW794" s="3"/>
      <c r="DX794" s="3"/>
      <c r="DY794" s="3"/>
      <c r="DZ794" s="3"/>
      <c r="EA794" s="3"/>
      <c r="EB794" s="3"/>
      <c r="EC794" s="3"/>
      <c r="ED794" s="3"/>
      <c r="EE794" s="3"/>
      <c r="EF794" s="3"/>
      <c r="EG794" s="3"/>
      <c r="EH794" s="3"/>
    </row>
    <row r="795" spans="1:154" ht="12.95" customHeight="1">
      <c r="J795" s="1627"/>
      <c r="K795" s="1628"/>
      <c r="L795" s="1628"/>
      <c r="M795" s="1628"/>
      <c r="N795" s="1629"/>
      <c r="O795" s="1798"/>
      <c r="P795" s="1798"/>
      <c r="Q795" s="1798"/>
      <c r="R795" s="1798"/>
      <c r="S795" s="1798"/>
      <c r="T795" s="1624"/>
      <c r="U795" s="1625"/>
      <c r="V795" s="1625"/>
      <c r="W795" s="1626"/>
      <c r="X795" s="1662"/>
      <c r="Y795" s="1663"/>
      <c r="Z795" s="1663"/>
      <c r="AA795" s="1663"/>
      <c r="AB795" s="1664"/>
      <c r="AC795" s="1665">
        <f t="shared" ref="AC795:AC804" si="45">X795*O795</f>
        <v>0</v>
      </c>
      <c r="AD795" s="1661"/>
      <c r="AE795" s="1661"/>
      <c r="AF795" s="1661"/>
      <c r="AG795" s="166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785">
        <f t="shared" ref="CP795:CP804" si="46">IF(J795="SRO/Studio",O795,0)</f>
        <v>0</v>
      </c>
      <c r="CQ795" s="1786"/>
      <c r="CR795" s="1786"/>
      <c r="CS795" s="1786"/>
      <c r="CT795" s="1787"/>
      <c r="CU795" s="1785">
        <f t="shared" ref="CU795:CU804" si="47">IF(J795="1 Bedroom",O795,0)</f>
        <v>0</v>
      </c>
      <c r="CV795" s="1786"/>
      <c r="CW795" s="1786"/>
      <c r="CX795" s="1786"/>
      <c r="CY795" s="1787"/>
      <c r="CZ795" s="1785">
        <f t="shared" ref="CZ795:CZ804" si="48">IF(J795="2 Bedrooms",O795,0)</f>
        <v>0</v>
      </c>
      <c r="DA795" s="1786"/>
      <c r="DB795" s="1786"/>
      <c r="DC795" s="1786"/>
      <c r="DD795" s="1787"/>
      <c r="DE795" s="1785">
        <f t="shared" ref="DE795:DE804" si="49">IF(J795="3 Bedrooms",O795,0)</f>
        <v>0</v>
      </c>
      <c r="DF795" s="1786"/>
      <c r="DG795" s="1786"/>
      <c r="DH795" s="1786"/>
      <c r="DI795" s="1787"/>
      <c r="DJ795" s="1785">
        <f t="shared" ref="DJ795:DJ804" si="50">IF(J795="4 Bedrooms",O795,0)</f>
        <v>0</v>
      </c>
      <c r="DK795" s="1786"/>
      <c r="DL795" s="1786"/>
      <c r="DM795" s="1786"/>
      <c r="DN795" s="1787"/>
      <c r="DO795" s="1785">
        <f t="shared" ref="DO795:DO804" si="51">IF(J795="5 Bedrooms",O795,0)</f>
        <v>0</v>
      </c>
      <c r="DP795" s="1786"/>
      <c r="DQ795" s="1786"/>
      <c r="DR795" s="1786"/>
      <c r="DS795" s="1787"/>
      <c r="DT795" s="6"/>
      <c r="DU795" s="1785">
        <f t="shared" ref="DU795:DU804" si="52">IF(AND(CP795&gt;=1,AH795&gt;=0.1,AH795&lt;=1),O795,0)</f>
        <v>0</v>
      </c>
      <c r="DV795" s="1786"/>
      <c r="DW795" s="1786"/>
      <c r="DX795" s="1786"/>
      <c r="DY795" s="1787"/>
      <c r="DZ795" s="1785">
        <f t="shared" ref="DZ795:DZ804" si="53">IF(AND(CU795&gt;=1,AH795&gt;=0.1,AH795&lt;=1),O795,0)</f>
        <v>0</v>
      </c>
      <c r="EA795" s="1786"/>
      <c r="EB795" s="1786"/>
      <c r="EC795" s="1786"/>
      <c r="ED795" s="1787"/>
      <c r="EE795" s="1785">
        <f t="shared" ref="EE795:EE804" si="54">IF(AND(CZ795&gt;=1,AH795&gt;=0.1,AH795&lt;=1),O795,0)</f>
        <v>0</v>
      </c>
      <c r="EF795" s="1786"/>
      <c r="EG795" s="1786"/>
      <c r="EH795" s="1786"/>
      <c r="EI795" s="1787"/>
      <c r="EJ795" s="1785">
        <f t="shared" ref="EJ795:EJ804" si="55">IF(AND(DE795&gt;=1,AH795&gt;=0.1,AH795&lt;=1),O795,0)</f>
        <v>0</v>
      </c>
      <c r="EK795" s="1786"/>
      <c r="EL795" s="1786"/>
      <c r="EM795" s="1786"/>
      <c r="EN795" s="1787"/>
      <c r="EO795" s="1785">
        <f t="shared" ref="EO795:EO804" si="56">IF(AND(DJ795&gt;=1,AH795&gt;=0.1,AH795&lt;=1),O795,0)</f>
        <v>0</v>
      </c>
      <c r="EP795" s="1786"/>
      <c r="EQ795" s="1786"/>
      <c r="ER795" s="1786"/>
      <c r="ES795" s="1787"/>
      <c r="ET795" s="1785">
        <f t="shared" ref="ET795:ET804" si="57">IF(AND(DO795&gt;=1,AH795&gt;=0.1,AH795&lt;=1),O795,0)</f>
        <v>0</v>
      </c>
      <c r="EU795" s="1786"/>
      <c r="EV795" s="1786"/>
      <c r="EW795" s="1786"/>
      <c r="EX795" s="1787"/>
    </row>
    <row r="796" spans="1:154" s="14" customFormat="1" ht="12.95" customHeight="1">
      <c r="A796"/>
      <c r="B796"/>
      <c r="C796"/>
      <c r="D796"/>
      <c r="E796"/>
      <c r="F796"/>
      <c r="G796"/>
      <c r="H796"/>
      <c r="I796"/>
      <c r="J796" s="1627"/>
      <c r="K796" s="1628"/>
      <c r="L796" s="1628"/>
      <c r="M796" s="1628"/>
      <c r="N796" s="1629"/>
      <c r="O796" s="1798"/>
      <c r="P796" s="1798"/>
      <c r="Q796" s="1798"/>
      <c r="R796" s="1798"/>
      <c r="S796" s="1798"/>
      <c r="T796" s="1624"/>
      <c r="U796" s="1625"/>
      <c r="V796" s="1625"/>
      <c r="W796" s="1626"/>
      <c r="X796" s="1662"/>
      <c r="Y796" s="1663"/>
      <c r="Z796" s="1663"/>
      <c r="AA796" s="1663"/>
      <c r="AB796" s="1664"/>
      <c r="AC796" s="1665">
        <f t="shared" si="45"/>
        <v>0</v>
      </c>
      <c r="AD796" s="1661"/>
      <c r="AE796" s="1661"/>
      <c r="AF796" s="1661"/>
      <c r="AG796" s="166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785">
        <f t="shared" si="46"/>
        <v>0</v>
      </c>
      <c r="CQ796" s="1786"/>
      <c r="CR796" s="1786"/>
      <c r="CS796" s="1786"/>
      <c r="CT796" s="1787"/>
      <c r="CU796" s="1785">
        <f t="shared" si="47"/>
        <v>0</v>
      </c>
      <c r="CV796" s="1786"/>
      <c r="CW796" s="1786"/>
      <c r="CX796" s="1786"/>
      <c r="CY796" s="1787"/>
      <c r="CZ796" s="1785">
        <f t="shared" si="48"/>
        <v>0</v>
      </c>
      <c r="DA796" s="1786"/>
      <c r="DB796" s="1786"/>
      <c r="DC796" s="1786"/>
      <c r="DD796" s="1787"/>
      <c r="DE796" s="1785">
        <f t="shared" si="49"/>
        <v>0</v>
      </c>
      <c r="DF796" s="1786"/>
      <c r="DG796" s="1786"/>
      <c r="DH796" s="1786"/>
      <c r="DI796" s="1787"/>
      <c r="DJ796" s="1785">
        <f t="shared" si="50"/>
        <v>0</v>
      </c>
      <c r="DK796" s="1786"/>
      <c r="DL796" s="1786"/>
      <c r="DM796" s="1786"/>
      <c r="DN796" s="1787"/>
      <c r="DO796" s="1785">
        <f t="shared" si="51"/>
        <v>0</v>
      </c>
      <c r="DP796" s="1786"/>
      <c r="DQ796" s="1786"/>
      <c r="DR796" s="1786"/>
      <c r="DS796" s="1787"/>
      <c r="DT796" s="6"/>
      <c r="DU796" s="1785">
        <f t="shared" si="52"/>
        <v>0</v>
      </c>
      <c r="DV796" s="1786"/>
      <c r="DW796" s="1786"/>
      <c r="DX796" s="1786"/>
      <c r="DY796" s="1787"/>
      <c r="DZ796" s="1785">
        <f t="shared" si="53"/>
        <v>0</v>
      </c>
      <c r="EA796" s="1786"/>
      <c r="EB796" s="1786"/>
      <c r="EC796" s="1786"/>
      <c r="ED796" s="1787"/>
      <c r="EE796" s="1785">
        <f t="shared" si="54"/>
        <v>0</v>
      </c>
      <c r="EF796" s="1786"/>
      <c r="EG796" s="1786"/>
      <c r="EH796" s="1786"/>
      <c r="EI796" s="1787"/>
      <c r="EJ796" s="1785">
        <f t="shared" si="55"/>
        <v>0</v>
      </c>
      <c r="EK796" s="1786"/>
      <c r="EL796" s="1786"/>
      <c r="EM796" s="1786"/>
      <c r="EN796" s="1787"/>
      <c r="EO796" s="1785">
        <f t="shared" si="56"/>
        <v>0</v>
      </c>
      <c r="EP796" s="1786"/>
      <c r="EQ796" s="1786"/>
      <c r="ER796" s="1786"/>
      <c r="ES796" s="1787"/>
      <c r="ET796" s="1785">
        <f t="shared" si="57"/>
        <v>0</v>
      </c>
      <c r="EU796" s="1786"/>
      <c r="EV796" s="1786"/>
      <c r="EW796" s="1786"/>
      <c r="EX796" s="1787"/>
    </row>
    <row r="797" spans="1:154" s="14" customFormat="1" ht="12.95" customHeight="1">
      <c r="A797"/>
      <c r="B797"/>
      <c r="C797"/>
      <c r="D797"/>
      <c r="E797"/>
      <c r="F797"/>
      <c r="G797"/>
      <c r="H797"/>
      <c r="I797"/>
      <c r="J797" s="1627"/>
      <c r="K797" s="1628"/>
      <c r="L797" s="1628"/>
      <c r="M797" s="1628"/>
      <c r="N797" s="1629"/>
      <c r="O797" s="1798"/>
      <c r="P797" s="1798"/>
      <c r="Q797" s="1798"/>
      <c r="R797" s="1798"/>
      <c r="S797" s="1798"/>
      <c r="T797" s="1624"/>
      <c r="U797" s="1625"/>
      <c r="V797" s="1625"/>
      <c r="W797" s="1626"/>
      <c r="X797" s="1662"/>
      <c r="Y797" s="1663"/>
      <c r="Z797" s="1663"/>
      <c r="AA797" s="1663"/>
      <c r="AB797" s="1664"/>
      <c r="AC797" s="1665">
        <f t="shared" si="45"/>
        <v>0</v>
      </c>
      <c r="AD797" s="1661"/>
      <c r="AE797" s="1661"/>
      <c r="AF797" s="1661"/>
      <c r="AG797" s="166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785">
        <f t="shared" si="46"/>
        <v>0</v>
      </c>
      <c r="CQ797" s="1786"/>
      <c r="CR797" s="1786"/>
      <c r="CS797" s="1786"/>
      <c r="CT797" s="1787"/>
      <c r="CU797" s="1785">
        <f t="shared" si="47"/>
        <v>0</v>
      </c>
      <c r="CV797" s="1786"/>
      <c r="CW797" s="1786"/>
      <c r="CX797" s="1786"/>
      <c r="CY797" s="1787"/>
      <c r="CZ797" s="1785">
        <f t="shared" si="48"/>
        <v>0</v>
      </c>
      <c r="DA797" s="1786"/>
      <c r="DB797" s="1786"/>
      <c r="DC797" s="1786"/>
      <c r="DD797" s="1787"/>
      <c r="DE797" s="1785">
        <f t="shared" si="49"/>
        <v>0</v>
      </c>
      <c r="DF797" s="1786"/>
      <c r="DG797" s="1786"/>
      <c r="DH797" s="1786"/>
      <c r="DI797" s="1787"/>
      <c r="DJ797" s="1785">
        <f t="shared" si="50"/>
        <v>0</v>
      </c>
      <c r="DK797" s="1786"/>
      <c r="DL797" s="1786"/>
      <c r="DM797" s="1786"/>
      <c r="DN797" s="1787"/>
      <c r="DO797" s="1785">
        <f t="shared" si="51"/>
        <v>0</v>
      </c>
      <c r="DP797" s="1786"/>
      <c r="DQ797" s="1786"/>
      <c r="DR797" s="1786"/>
      <c r="DS797" s="1787"/>
      <c r="DT797" s="6"/>
      <c r="DU797" s="1785">
        <f t="shared" si="52"/>
        <v>0</v>
      </c>
      <c r="DV797" s="1786"/>
      <c r="DW797" s="1786"/>
      <c r="DX797" s="1786"/>
      <c r="DY797" s="1787"/>
      <c r="DZ797" s="1785">
        <f t="shared" si="53"/>
        <v>0</v>
      </c>
      <c r="EA797" s="1786"/>
      <c r="EB797" s="1786"/>
      <c r="EC797" s="1786"/>
      <c r="ED797" s="1787"/>
      <c r="EE797" s="1785">
        <f t="shared" si="54"/>
        <v>0</v>
      </c>
      <c r="EF797" s="1786"/>
      <c r="EG797" s="1786"/>
      <c r="EH797" s="1786"/>
      <c r="EI797" s="1787"/>
      <c r="EJ797" s="1785">
        <f t="shared" si="55"/>
        <v>0</v>
      </c>
      <c r="EK797" s="1786"/>
      <c r="EL797" s="1786"/>
      <c r="EM797" s="1786"/>
      <c r="EN797" s="1787"/>
      <c r="EO797" s="1785">
        <f t="shared" si="56"/>
        <v>0</v>
      </c>
      <c r="EP797" s="1786"/>
      <c r="EQ797" s="1786"/>
      <c r="ER797" s="1786"/>
      <c r="ES797" s="1787"/>
      <c r="ET797" s="1785">
        <f t="shared" si="57"/>
        <v>0</v>
      </c>
      <c r="EU797" s="1786"/>
      <c r="EV797" s="1786"/>
      <c r="EW797" s="1786"/>
      <c r="EX797" s="1787"/>
    </row>
    <row r="798" spans="1:154" s="14" customFormat="1" ht="12.95" customHeight="1">
      <c r="A798"/>
      <c r="B798"/>
      <c r="C798"/>
      <c r="D798"/>
      <c r="E798"/>
      <c r="F798"/>
      <c r="G798"/>
      <c r="H798"/>
      <c r="I798"/>
      <c r="J798" s="1627"/>
      <c r="K798" s="1628"/>
      <c r="L798" s="1628"/>
      <c r="M798" s="1628"/>
      <c r="N798" s="1629"/>
      <c r="O798" s="1798"/>
      <c r="P798" s="1798"/>
      <c r="Q798" s="1798"/>
      <c r="R798" s="1798"/>
      <c r="S798" s="1798"/>
      <c r="T798" s="1624"/>
      <c r="U798" s="1625"/>
      <c r="V798" s="1625"/>
      <c r="W798" s="1626"/>
      <c r="X798" s="1662"/>
      <c r="Y798" s="1663"/>
      <c r="Z798" s="1663"/>
      <c r="AA798" s="1663"/>
      <c r="AB798" s="1664"/>
      <c r="AC798" s="1665">
        <f t="shared" si="45"/>
        <v>0</v>
      </c>
      <c r="AD798" s="1661"/>
      <c r="AE798" s="1661"/>
      <c r="AF798" s="1661"/>
      <c r="AG798" s="166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785">
        <f t="shared" si="46"/>
        <v>0</v>
      </c>
      <c r="CQ798" s="1786"/>
      <c r="CR798" s="1786"/>
      <c r="CS798" s="1786"/>
      <c r="CT798" s="1787"/>
      <c r="CU798" s="1785">
        <f t="shared" si="47"/>
        <v>0</v>
      </c>
      <c r="CV798" s="1786"/>
      <c r="CW798" s="1786"/>
      <c r="CX798" s="1786"/>
      <c r="CY798" s="1787"/>
      <c r="CZ798" s="1785">
        <f t="shared" si="48"/>
        <v>0</v>
      </c>
      <c r="DA798" s="1786"/>
      <c r="DB798" s="1786"/>
      <c r="DC798" s="1786"/>
      <c r="DD798" s="1787"/>
      <c r="DE798" s="1785">
        <f t="shared" si="49"/>
        <v>0</v>
      </c>
      <c r="DF798" s="1786"/>
      <c r="DG798" s="1786"/>
      <c r="DH798" s="1786"/>
      <c r="DI798" s="1787"/>
      <c r="DJ798" s="1785">
        <f t="shared" si="50"/>
        <v>0</v>
      </c>
      <c r="DK798" s="1786"/>
      <c r="DL798" s="1786"/>
      <c r="DM798" s="1786"/>
      <c r="DN798" s="1787"/>
      <c r="DO798" s="1785">
        <f t="shared" si="51"/>
        <v>0</v>
      </c>
      <c r="DP798" s="1786"/>
      <c r="DQ798" s="1786"/>
      <c r="DR798" s="1786"/>
      <c r="DS798" s="1787"/>
      <c r="DT798" s="6"/>
      <c r="DU798" s="1785">
        <f t="shared" si="52"/>
        <v>0</v>
      </c>
      <c r="DV798" s="1786"/>
      <c r="DW798" s="1786"/>
      <c r="DX798" s="1786"/>
      <c r="DY798" s="1787"/>
      <c r="DZ798" s="1785">
        <f t="shared" si="53"/>
        <v>0</v>
      </c>
      <c r="EA798" s="1786"/>
      <c r="EB798" s="1786"/>
      <c r="EC798" s="1786"/>
      <c r="ED798" s="1787"/>
      <c r="EE798" s="1785">
        <f t="shared" si="54"/>
        <v>0</v>
      </c>
      <c r="EF798" s="1786"/>
      <c r="EG798" s="1786"/>
      <c r="EH798" s="1786"/>
      <c r="EI798" s="1787"/>
      <c r="EJ798" s="1785">
        <f t="shared" si="55"/>
        <v>0</v>
      </c>
      <c r="EK798" s="1786"/>
      <c r="EL798" s="1786"/>
      <c r="EM798" s="1786"/>
      <c r="EN798" s="1787"/>
      <c r="EO798" s="1785">
        <f t="shared" si="56"/>
        <v>0</v>
      </c>
      <c r="EP798" s="1786"/>
      <c r="EQ798" s="1786"/>
      <c r="ER798" s="1786"/>
      <c r="ES798" s="1787"/>
      <c r="ET798" s="1785">
        <f t="shared" si="57"/>
        <v>0</v>
      </c>
      <c r="EU798" s="1786"/>
      <c r="EV798" s="1786"/>
      <c r="EW798" s="1786"/>
      <c r="EX798" s="1787"/>
    </row>
    <row r="799" spans="1:154" s="14" customFormat="1" ht="12.95" customHeight="1">
      <c r="A799"/>
      <c r="B799"/>
      <c r="C799"/>
      <c r="D799"/>
      <c r="E799"/>
      <c r="F799"/>
      <c r="G799"/>
      <c r="H799"/>
      <c r="I799"/>
      <c r="J799" s="1627"/>
      <c r="K799" s="1628"/>
      <c r="L799" s="1628"/>
      <c r="M799" s="1628"/>
      <c r="N799" s="1629"/>
      <c r="O799" s="1798"/>
      <c r="P799" s="1798"/>
      <c r="Q799" s="1798"/>
      <c r="R799" s="1798"/>
      <c r="S799" s="1798"/>
      <c r="T799" s="1624"/>
      <c r="U799" s="1625"/>
      <c r="V799" s="1625"/>
      <c r="W799" s="1626"/>
      <c r="X799" s="1662"/>
      <c r="Y799" s="1663"/>
      <c r="Z799" s="1663"/>
      <c r="AA799" s="1663"/>
      <c r="AB799" s="1664"/>
      <c r="AC799" s="1665">
        <f t="shared" si="45"/>
        <v>0</v>
      </c>
      <c r="AD799" s="1661"/>
      <c r="AE799" s="1661"/>
      <c r="AF799" s="1661"/>
      <c r="AG799" s="166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785">
        <f t="shared" si="46"/>
        <v>0</v>
      </c>
      <c r="CQ799" s="1786"/>
      <c r="CR799" s="1786"/>
      <c r="CS799" s="1786"/>
      <c r="CT799" s="1787"/>
      <c r="CU799" s="1785">
        <f t="shared" si="47"/>
        <v>0</v>
      </c>
      <c r="CV799" s="1786"/>
      <c r="CW799" s="1786"/>
      <c r="CX799" s="1786"/>
      <c r="CY799" s="1787"/>
      <c r="CZ799" s="1785">
        <f t="shared" si="48"/>
        <v>0</v>
      </c>
      <c r="DA799" s="1786"/>
      <c r="DB799" s="1786"/>
      <c r="DC799" s="1786"/>
      <c r="DD799" s="1787"/>
      <c r="DE799" s="1785">
        <f t="shared" si="49"/>
        <v>0</v>
      </c>
      <c r="DF799" s="1786"/>
      <c r="DG799" s="1786"/>
      <c r="DH799" s="1786"/>
      <c r="DI799" s="1787"/>
      <c r="DJ799" s="1785">
        <f t="shared" si="50"/>
        <v>0</v>
      </c>
      <c r="DK799" s="1786"/>
      <c r="DL799" s="1786"/>
      <c r="DM799" s="1786"/>
      <c r="DN799" s="1787"/>
      <c r="DO799" s="1785">
        <f t="shared" si="51"/>
        <v>0</v>
      </c>
      <c r="DP799" s="1786"/>
      <c r="DQ799" s="1786"/>
      <c r="DR799" s="1786"/>
      <c r="DS799" s="1787"/>
      <c r="DT799" s="6"/>
      <c r="DU799" s="1785">
        <f t="shared" si="52"/>
        <v>0</v>
      </c>
      <c r="DV799" s="1786"/>
      <c r="DW799" s="1786"/>
      <c r="DX799" s="1786"/>
      <c r="DY799" s="1787"/>
      <c r="DZ799" s="1785">
        <f t="shared" si="53"/>
        <v>0</v>
      </c>
      <c r="EA799" s="1786"/>
      <c r="EB799" s="1786"/>
      <c r="EC799" s="1786"/>
      <c r="ED799" s="1787"/>
      <c r="EE799" s="1785">
        <f t="shared" si="54"/>
        <v>0</v>
      </c>
      <c r="EF799" s="1786"/>
      <c r="EG799" s="1786"/>
      <c r="EH799" s="1786"/>
      <c r="EI799" s="1787"/>
      <c r="EJ799" s="1785">
        <f t="shared" si="55"/>
        <v>0</v>
      </c>
      <c r="EK799" s="1786"/>
      <c r="EL799" s="1786"/>
      <c r="EM799" s="1786"/>
      <c r="EN799" s="1787"/>
      <c r="EO799" s="1785">
        <f t="shared" si="56"/>
        <v>0</v>
      </c>
      <c r="EP799" s="1786"/>
      <c r="EQ799" s="1786"/>
      <c r="ER799" s="1786"/>
      <c r="ES799" s="1787"/>
      <c r="ET799" s="1785">
        <f t="shared" si="57"/>
        <v>0</v>
      </c>
      <c r="EU799" s="1786"/>
      <c r="EV799" s="1786"/>
      <c r="EW799" s="1786"/>
      <c r="EX799" s="1787"/>
    </row>
    <row r="800" spans="1:154" s="14" customFormat="1" ht="12.95" customHeight="1">
      <c r="A800"/>
      <c r="B800"/>
      <c r="C800"/>
      <c r="D800"/>
      <c r="E800"/>
      <c r="F800"/>
      <c r="G800"/>
      <c r="H800"/>
      <c r="I800"/>
      <c r="J800" s="1627"/>
      <c r="K800" s="1628"/>
      <c r="L800" s="1628"/>
      <c r="M800" s="1628"/>
      <c r="N800" s="1629"/>
      <c r="O800" s="1798"/>
      <c r="P800" s="1798"/>
      <c r="Q800" s="1798"/>
      <c r="R800" s="1798"/>
      <c r="S800" s="1798"/>
      <c r="T800" s="1624"/>
      <c r="U800" s="1625"/>
      <c r="V800" s="1625"/>
      <c r="W800" s="1626"/>
      <c r="X800" s="1662"/>
      <c r="Y800" s="1663"/>
      <c r="Z800" s="1663"/>
      <c r="AA800" s="1663"/>
      <c r="AB800" s="1664"/>
      <c r="AC800" s="1665">
        <f t="shared" si="45"/>
        <v>0</v>
      </c>
      <c r="AD800" s="1661"/>
      <c r="AE800" s="1661"/>
      <c r="AF800" s="1661"/>
      <c r="AG800" s="166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785">
        <f t="shared" si="46"/>
        <v>0</v>
      </c>
      <c r="CQ800" s="1786"/>
      <c r="CR800" s="1786"/>
      <c r="CS800" s="1786"/>
      <c r="CT800" s="1787"/>
      <c r="CU800" s="1785">
        <f t="shared" si="47"/>
        <v>0</v>
      </c>
      <c r="CV800" s="1786"/>
      <c r="CW800" s="1786"/>
      <c r="CX800" s="1786"/>
      <c r="CY800" s="1787"/>
      <c r="CZ800" s="1785">
        <f t="shared" si="48"/>
        <v>0</v>
      </c>
      <c r="DA800" s="1786"/>
      <c r="DB800" s="1786"/>
      <c r="DC800" s="1786"/>
      <c r="DD800" s="1787"/>
      <c r="DE800" s="1785">
        <f t="shared" si="49"/>
        <v>0</v>
      </c>
      <c r="DF800" s="1786"/>
      <c r="DG800" s="1786"/>
      <c r="DH800" s="1786"/>
      <c r="DI800" s="1787"/>
      <c r="DJ800" s="1785">
        <f t="shared" si="50"/>
        <v>0</v>
      </c>
      <c r="DK800" s="1786"/>
      <c r="DL800" s="1786"/>
      <c r="DM800" s="1786"/>
      <c r="DN800" s="1787"/>
      <c r="DO800" s="1785">
        <f t="shared" si="51"/>
        <v>0</v>
      </c>
      <c r="DP800" s="1786"/>
      <c r="DQ800" s="1786"/>
      <c r="DR800" s="1786"/>
      <c r="DS800" s="1787"/>
      <c r="DT800" s="6"/>
      <c r="DU800" s="1785">
        <f t="shared" si="52"/>
        <v>0</v>
      </c>
      <c r="DV800" s="1786"/>
      <c r="DW800" s="1786"/>
      <c r="DX800" s="1786"/>
      <c r="DY800" s="1787"/>
      <c r="DZ800" s="1785">
        <f t="shared" si="53"/>
        <v>0</v>
      </c>
      <c r="EA800" s="1786"/>
      <c r="EB800" s="1786"/>
      <c r="EC800" s="1786"/>
      <c r="ED800" s="1787"/>
      <c r="EE800" s="1785">
        <f t="shared" si="54"/>
        <v>0</v>
      </c>
      <c r="EF800" s="1786"/>
      <c r="EG800" s="1786"/>
      <c r="EH800" s="1786"/>
      <c r="EI800" s="1787"/>
      <c r="EJ800" s="1785">
        <f t="shared" si="55"/>
        <v>0</v>
      </c>
      <c r="EK800" s="1786"/>
      <c r="EL800" s="1786"/>
      <c r="EM800" s="1786"/>
      <c r="EN800" s="1787"/>
      <c r="EO800" s="1785">
        <f t="shared" si="56"/>
        <v>0</v>
      </c>
      <c r="EP800" s="1786"/>
      <c r="EQ800" s="1786"/>
      <c r="ER800" s="1786"/>
      <c r="ES800" s="1787"/>
      <c r="ET800" s="1785">
        <f t="shared" si="57"/>
        <v>0</v>
      </c>
      <c r="EU800" s="1786"/>
      <c r="EV800" s="1786"/>
      <c r="EW800" s="1786"/>
      <c r="EX800" s="1787"/>
    </row>
    <row r="801" spans="1:154" s="14" customFormat="1" ht="12.95" customHeight="1">
      <c r="A801"/>
      <c r="B801"/>
      <c r="C801"/>
      <c r="D801"/>
      <c r="E801"/>
      <c r="F801"/>
      <c r="G801"/>
      <c r="H801"/>
      <c r="I801"/>
      <c r="J801" s="1627"/>
      <c r="K801" s="1628"/>
      <c r="L801" s="1628"/>
      <c r="M801" s="1628"/>
      <c r="N801" s="1629"/>
      <c r="O801" s="1798"/>
      <c r="P801" s="1798"/>
      <c r="Q801" s="1798"/>
      <c r="R801" s="1798"/>
      <c r="S801" s="1798"/>
      <c r="T801" s="1624"/>
      <c r="U801" s="1625"/>
      <c r="V801" s="1625"/>
      <c r="W801" s="1626"/>
      <c r="X801" s="1662"/>
      <c r="Y801" s="1663"/>
      <c r="Z801" s="1663"/>
      <c r="AA801" s="1663"/>
      <c r="AB801" s="1664"/>
      <c r="AC801" s="1665">
        <f t="shared" si="45"/>
        <v>0</v>
      </c>
      <c r="AD801" s="1661"/>
      <c r="AE801" s="1661"/>
      <c r="AF801" s="1661"/>
      <c r="AG801" s="166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785">
        <f t="shared" si="46"/>
        <v>0</v>
      </c>
      <c r="CQ801" s="1786"/>
      <c r="CR801" s="1786"/>
      <c r="CS801" s="1786"/>
      <c r="CT801" s="1787"/>
      <c r="CU801" s="1785">
        <f t="shared" si="47"/>
        <v>0</v>
      </c>
      <c r="CV801" s="1786"/>
      <c r="CW801" s="1786"/>
      <c r="CX801" s="1786"/>
      <c r="CY801" s="1787"/>
      <c r="CZ801" s="1785">
        <f t="shared" si="48"/>
        <v>0</v>
      </c>
      <c r="DA801" s="1786"/>
      <c r="DB801" s="1786"/>
      <c r="DC801" s="1786"/>
      <c r="DD801" s="1787"/>
      <c r="DE801" s="1785">
        <f t="shared" si="49"/>
        <v>0</v>
      </c>
      <c r="DF801" s="1786"/>
      <c r="DG801" s="1786"/>
      <c r="DH801" s="1786"/>
      <c r="DI801" s="1787"/>
      <c r="DJ801" s="1785">
        <f t="shared" si="50"/>
        <v>0</v>
      </c>
      <c r="DK801" s="1786"/>
      <c r="DL801" s="1786"/>
      <c r="DM801" s="1786"/>
      <c r="DN801" s="1787"/>
      <c r="DO801" s="1785">
        <f t="shared" si="51"/>
        <v>0</v>
      </c>
      <c r="DP801" s="1786"/>
      <c r="DQ801" s="1786"/>
      <c r="DR801" s="1786"/>
      <c r="DS801" s="1787"/>
      <c r="DT801" s="6"/>
      <c r="DU801" s="1785">
        <f t="shared" si="52"/>
        <v>0</v>
      </c>
      <c r="DV801" s="1786"/>
      <c r="DW801" s="1786"/>
      <c r="DX801" s="1786"/>
      <c r="DY801" s="1787"/>
      <c r="DZ801" s="1785">
        <f t="shared" si="53"/>
        <v>0</v>
      </c>
      <c r="EA801" s="1786"/>
      <c r="EB801" s="1786"/>
      <c r="EC801" s="1786"/>
      <c r="ED801" s="1787"/>
      <c r="EE801" s="1785">
        <f t="shared" si="54"/>
        <v>0</v>
      </c>
      <c r="EF801" s="1786"/>
      <c r="EG801" s="1786"/>
      <c r="EH801" s="1786"/>
      <c r="EI801" s="1787"/>
      <c r="EJ801" s="1785">
        <f t="shared" si="55"/>
        <v>0</v>
      </c>
      <c r="EK801" s="1786"/>
      <c r="EL801" s="1786"/>
      <c r="EM801" s="1786"/>
      <c r="EN801" s="1787"/>
      <c r="EO801" s="1785">
        <f t="shared" si="56"/>
        <v>0</v>
      </c>
      <c r="EP801" s="1786"/>
      <c r="EQ801" s="1786"/>
      <c r="ER801" s="1786"/>
      <c r="ES801" s="1787"/>
      <c r="ET801" s="1785">
        <f t="shared" si="57"/>
        <v>0</v>
      </c>
      <c r="EU801" s="1786"/>
      <c r="EV801" s="1786"/>
      <c r="EW801" s="1786"/>
      <c r="EX801" s="1787"/>
    </row>
    <row r="802" spans="1:154" s="14" customFormat="1" ht="12.95" customHeight="1">
      <c r="A802"/>
      <c r="B802"/>
      <c r="C802"/>
      <c r="D802"/>
      <c r="E802"/>
      <c r="F802"/>
      <c r="G802"/>
      <c r="H802"/>
      <c r="I802"/>
      <c r="J802" s="1627"/>
      <c r="K802" s="1628"/>
      <c r="L802" s="1628"/>
      <c r="M802" s="1628"/>
      <c r="N802" s="1629"/>
      <c r="O802" s="1798"/>
      <c r="P802" s="1798"/>
      <c r="Q802" s="1798"/>
      <c r="R802" s="1798"/>
      <c r="S802" s="1798"/>
      <c r="T802" s="1624"/>
      <c r="U802" s="1625"/>
      <c r="V802" s="1625"/>
      <c r="W802" s="1626"/>
      <c r="X802" s="1662"/>
      <c r="Y802" s="1663"/>
      <c r="Z802" s="1663"/>
      <c r="AA802" s="1663"/>
      <c r="AB802" s="1664"/>
      <c r="AC802" s="1665">
        <f t="shared" si="45"/>
        <v>0</v>
      </c>
      <c r="AD802" s="1661"/>
      <c r="AE802" s="1661"/>
      <c r="AF802" s="1661"/>
      <c r="AG802" s="166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785">
        <f t="shared" si="46"/>
        <v>0</v>
      </c>
      <c r="CQ802" s="1786"/>
      <c r="CR802" s="1786"/>
      <c r="CS802" s="1786"/>
      <c r="CT802" s="1787"/>
      <c r="CU802" s="1785">
        <f t="shared" si="47"/>
        <v>0</v>
      </c>
      <c r="CV802" s="1786"/>
      <c r="CW802" s="1786"/>
      <c r="CX802" s="1786"/>
      <c r="CY802" s="1787"/>
      <c r="CZ802" s="1785">
        <f t="shared" si="48"/>
        <v>0</v>
      </c>
      <c r="DA802" s="1786"/>
      <c r="DB802" s="1786"/>
      <c r="DC802" s="1786"/>
      <c r="DD802" s="1787"/>
      <c r="DE802" s="1785">
        <f t="shared" si="49"/>
        <v>0</v>
      </c>
      <c r="DF802" s="1786"/>
      <c r="DG802" s="1786"/>
      <c r="DH802" s="1786"/>
      <c r="DI802" s="1787"/>
      <c r="DJ802" s="1785">
        <f t="shared" si="50"/>
        <v>0</v>
      </c>
      <c r="DK802" s="1786"/>
      <c r="DL802" s="1786"/>
      <c r="DM802" s="1786"/>
      <c r="DN802" s="1787"/>
      <c r="DO802" s="1785">
        <f t="shared" si="51"/>
        <v>0</v>
      </c>
      <c r="DP802" s="1786"/>
      <c r="DQ802" s="1786"/>
      <c r="DR802" s="1786"/>
      <c r="DS802" s="1787"/>
      <c r="DT802" s="6"/>
      <c r="DU802" s="1785">
        <f t="shared" si="52"/>
        <v>0</v>
      </c>
      <c r="DV802" s="1786"/>
      <c r="DW802" s="1786"/>
      <c r="DX802" s="1786"/>
      <c r="DY802" s="1787"/>
      <c r="DZ802" s="1785">
        <f t="shared" si="53"/>
        <v>0</v>
      </c>
      <c r="EA802" s="1786"/>
      <c r="EB802" s="1786"/>
      <c r="EC802" s="1786"/>
      <c r="ED802" s="1787"/>
      <c r="EE802" s="1785">
        <f t="shared" si="54"/>
        <v>0</v>
      </c>
      <c r="EF802" s="1786"/>
      <c r="EG802" s="1786"/>
      <c r="EH802" s="1786"/>
      <c r="EI802" s="1787"/>
      <c r="EJ802" s="1785">
        <f t="shared" si="55"/>
        <v>0</v>
      </c>
      <c r="EK802" s="1786"/>
      <c r="EL802" s="1786"/>
      <c r="EM802" s="1786"/>
      <c r="EN802" s="1787"/>
      <c r="EO802" s="1785">
        <f t="shared" si="56"/>
        <v>0</v>
      </c>
      <c r="EP802" s="1786"/>
      <c r="EQ802" s="1786"/>
      <c r="ER802" s="1786"/>
      <c r="ES802" s="1787"/>
      <c r="ET802" s="1785">
        <f t="shared" si="57"/>
        <v>0</v>
      </c>
      <c r="EU802" s="1786"/>
      <c r="EV802" s="1786"/>
      <c r="EW802" s="1786"/>
      <c r="EX802" s="1787"/>
    </row>
    <row r="803" spans="1:154" s="14" customFormat="1" ht="12.95" customHeight="1">
      <c r="A803"/>
      <c r="B803"/>
      <c r="C803"/>
      <c r="D803"/>
      <c r="E803"/>
      <c r="F803"/>
      <c r="G803"/>
      <c r="H803"/>
      <c r="I803"/>
      <c r="J803" s="1627"/>
      <c r="K803" s="1628"/>
      <c r="L803" s="1628"/>
      <c r="M803" s="1628"/>
      <c r="N803" s="1629"/>
      <c r="O803" s="1798"/>
      <c r="P803" s="1798"/>
      <c r="Q803" s="1798"/>
      <c r="R803" s="1798"/>
      <c r="S803" s="1798"/>
      <c r="T803" s="1624"/>
      <c r="U803" s="1625"/>
      <c r="V803" s="1625"/>
      <c r="W803" s="1626"/>
      <c r="X803" s="1662"/>
      <c r="Y803" s="1663"/>
      <c r="Z803" s="1663"/>
      <c r="AA803" s="1663"/>
      <c r="AB803" s="1664"/>
      <c r="AC803" s="1665">
        <f t="shared" si="45"/>
        <v>0</v>
      </c>
      <c r="AD803" s="1661"/>
      <c r="AE803" s="1661"/>
      <c r="AF803" s="1661"/>
      <c r="AG803" s="166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785">
        <f t="shared" si="46"/>
        <v>0</v>
      </c>
      <c r="CQ803" s="1786"/>
      <c r="CR803" s="1786"/>
      <c r="CS803" s="1786"/>
      <c r="CT803" s="1787"/>
      <c r="CU803" s="1785">
        <f t="shared" si="47"/>
        <v>0</v>
      </c>
      <c r="CV803" s="1786"/>
      <c r="CW803" s="1786"/>
      <c r="CX803" s="1786"/>
      <c r="CY803" s="1787"/>
      <c r="CZ803" s="1785">
        <f t="shared" si="48"/>
        <v>0</v>
      </c>
      <c r="DA803" s="1786"/>
      <c r="DB803" s="1786"/>
      <c r="DC803" s="1786"/>
      <c r="DD803" s="1787"/>
      <c r="DE803" s="1785">
        <f t="shared" si="49"/>
        <v>0</v>
      </c>
      <c r="DF803" s="1786"/>
      <c r="DG803" s="1786"/>
      <c r="DH803" s="1786"/>
      <c r="DI803" s="1787"/>
      <c r="DJ803" s="1785">
        <f t="shared" si="50"/>
        <v>0</v>
      </c>
      <c r="DK803" s="1786"/>
      <c r="DL803" s="1786"/>
      <c r="DM803" s="1786"/>
      <c r="DN803" s="1787"/>
      <c r="DO803" s="1785">
        <f t="shared" si="51"/>
        <v>0</v>
      </c>
      <c r="DP803" s="1786"/>
      <c r="DQ803" s="1786"/>
      <c r="DR803" s="1786"/>
      <c r="DS803" s="1787"/>
      <c r="DT803" s="6"/>
      <c r="DU803" s="1785">
        <f t="shared" si="52"/>
        <v>0</v>
      </c>
      <c r="DV803" s="1786"/>
      <c r="DW803" s="1786"/>
      <c r="DX803" s="1786"/>
      <c r="DY803" s="1787"/>
      <c r="DZ803" s="1785">
        <f t="shared" si="53"/>
        <v>0</v>
      </c>
      <c r="EA803" s="1786"/>
      <c r="EB803" s="1786"/>
      <c r="EC803" s="1786"/>
      <c r="ED803" s="1787"/>
      <c r="EE803" s="1785">
        <f t="shared" si="54"/>
        <v>0</v>
      </c>
      <c r="EF803" s="1786"/>
      <c r="EG803" s="1786"/>
      <c r="EH803" s="1786"/>
      <c r="EI803" s="1787"/>
      <c r="EJ803" s="1785">
        <f t="shared" si="55"/>
        <v>0</v>
      </c>
      <c r="EK803" s="1786"/>
      <c r="EL803" s="1786"/>
      <c r="EM803" s="1786"/>
      <c r="EN803" s="1787"/>
      <c r="EO803" s="1785">
        <f t="shared" si="56"/>
        <v>0</v>
      </c>
      <c r="EP803" s="1786"/>
      <c r="EQ803" s="1786"/>
      <c r="ER803" s="1786"/>
      <c r="ES803" s="1787"/>
      <c r="ET803" s="1785">
        <f t="shared" si="57"/>
        <v>0</v>
      </c>
      <c r="EU803" s="1786"/>
      <c r="EV803" s="1786"/>
      <c r="EW803" s="1786"/>
      <c r="EX803" s="1787"/>
    </row>
    <row r="804" spans="1:154" s="4" customFormat="1" ht="12.95" customHeight="1">
      <c r="A804"/>
      <c r="B804"/>
      <c r="C804"/>
      <c r="D804"/>
      <c r="E804"/>
      <c r="F804"/>
      <c r="G804"/>
      <c r="H804"/>
      <c r="I804"/>
      <c r="J804" s="1627"/>
      <c r="K804" s="1628"/>
      <c r="L804" s="1628"/>
      <c r="M804" s="1628"/>
      <c r="N804" s="1629"/>
      <c r="O804" s="1798"/>
      <c r="P804" s="1798"/>
      <c r="Q804" s="1798"/>
      <c r="R804" s="1798"/>
      <c r="S804" s="1798"/>
      <c r="T804" s="1624"/>
      <c r="U804" s="1625"/>
      <c r="V804" s="1625"/>
      <c r="W804" s="1626"/>
      <c r="X804" s="1662"/>
      <c r="Y804" s="1663"/>
      <c r="Z804" s="1663"/>
      <c r="AA804" s="1663"/>
      <c r="AB804" s="1664"/>
      <c r="AC804" s="1665">
        <f t="shared" si="45"/>
        <v>0</v>
      </c>
      <c r="AD804" s="1661"/>
      <c r="AE804" s="1661"/>
      <c r="AF804" s="1661"/>
      <c r="AG804" s="1666"/>
      <c r="AH804"/>
      <c r="AI804"/>
      <c r="AJ804"/>
      <c r="AK804"/>
      <c r="AL804"/>
      <c r="AM804"/>
      <c r="AN804"/>
      <c r="AO804"/>
      <c r="AP804"/>
      <c r="AQ804"/>
      <c r="AR804"/>
      <c r="AS804"/>
      <c r="AT804"/>
      <c r="AU804"/>
      <c r="AV804"/>
      <c r="AW804"/>
      <c r="AX804"/>
      <c r="AY804"/>
      <c r="AZ804" s="3"/>
      <c r="CP804" s="1785">
        <f t="shared" si="46"/>
        <v>0</v>
      </c>
      <c r="CQ804" s="1786"/>
      <c r="CR804" s="1786"/>
      <c r="CS804" s="1786"/>
      <c r="CT804" s="1787"/>
      <c r="CU804" s="1785">
        <f t="shared" si="47"/>
        <v>0</v>
      </c>
      <c r="CV804" s="1786"/>
      <c r="CW804" s="1786"/>
      <c r="CX804" s="1786"/>
      <c r="CY804" s="1787"/>
      <c r="CZ804" s="1785">
        <f t="shared" si="48"/>
        <v>0</v>
      </c>
      <c r="DA804" s="1786"/>
      <c r="DB804" s="1786"/>
      <c r="DC804" s="1786"/>
      <c r="DD804" s="1787"/>
      <c r="DE804" s="1785">
        <f t="shared" si="49"/>
        <v>0</v>
      </c>
      <c r="DF804" s="1786"/>
      <c r="DG804" s="1786"/>
      <c r="DH804" s="1786"/>
      <c r="DI804" s="1787"/>
      <c r="DJ804" s="1785">
        <f t="shared" si="50"/>
        <v>0</v>
      </c>
      <c r="DK804" s="1786"/>
      <c r="DL804" s="1786"/>
      <c r="DM804" s="1786"/>
      <c r="DN804" s="1787"/>
      <c r="DO804" s="1785">
        <f t="shared" si="51"/>
        <v>0</v>
      </c>
      <c r="DP804" s="1786"/>
      <c r="DQ804" s="1786"/>
      <c r="DR804" s="1786"/>
      <c r="DS804" s="1787"/>
      <c r="DT804" s="6"/>
      <c r="DU804" s="1785">
        <f t="shared" si="52"/>
        <v>0</v>
      </c>
      <c r="DV804" s="1786"/>
      <c r="DW804" s="1786"/>
      <c r="DX804" s="1786"/>
      <c r="DY804" s="1787"/>
      <c r="DZ804" s="1785">
        <f t="shared" si="53"/>
        <v>0</v>
      </c>
      <c r="EA804" s="1786"/>
      <c r="EB804" s="1786"/>
      <c r="EC804" s="1786"/>
      <c r="ED804" s="1787"/>
      <c r="EE804" s="1785">
        <f t="shared" si="54"/>
        <v>0</v>
      </c>
      <c r="EF804" s="1786"/>
      <c r="EG804" s="1786"/>
      <c r="EH804" s="1786"/>
      <c r="EI804" s="1787"/>
      <c r="EJ804" s="1785">
        <f t="shared" si="55"/>
        <v>0</v>
      </c>
      <c r="EK804" s="1786"/>
      <c r="EL804" s="1786"/>
      <c r="EM804" s="1786"/>
      <c r="EN804" s="1787"/>
      <c r="EO804" s="1785">
        <f t="shared" si="56"/>
        <v>0</v>
      </c>
      <c r="EP804" s="1786"/>
      <c r="EQ804" s="1786"/>
      <c r="ER804" s="1786"/>
      <c r="ES804" s="1787"/>
      <c r="ET804" s="1785">
        <f t="shared" si="57"/>
        <v>0</v>
      </c>
      <c r="EU804" s="1786"/>
      <c r="EV804" s="1786"/>
      <c r="EW804" s="1786"/>
      <c r="EX804" s="1787"/>
    </row>
    <row r="805" spans="1:154" s="4" customFormat="1" ht="12.95" customHeight="1">
      <c r="A805"/>
      <c r="B805"/>
      <c r="C805"/>
      <c r="D805"/>
      <c r="E805"/>
      <c r="F805"/>
      <c r="G805"/>
      <c r="H805"/>
      <c r="I805"/>
      <c r="J805" s="1774" t="s">
        <v>125</v>
      </c>
      <c r="K805" s="1775"/>
      <c r="L805" s="1775"/>
      <c r="M805" s="1775"/>
      <c r="N805" s="1776"/>
      <c r="O805" s="1992">
        <f>SUM(O795:S804)</f>
        <v>0</v>
      </c>
      <c r="P805" s="1992"/>
      <c r="Q805" s="1992"/>
      <c r="R805" s="1992"/>
      <c r="S805" s="1992"/>
      <c r="T805"/>
      <c r="U805"/>
      <c r="V805"/>
      <c r="W805"/>
      <c r="X805" s="896" t="s">
        <v>124</v>
      </c>
      <c r="Y805" s="11"/>
      <c r="Z805" s="11"/>
      <c r="AA805" s="11"/>
      <c r="AB805" s="903"/>
      <c r="AC805" s="1665">
        <f>SUM(AC795:AG804)</f>
        <v>0</v>
      </c>
      <c r="AD805" s="1661"/>
      <c r="AE805" s="1661"/>
      <c r="AF805" s="1661"/>
      <c r="AG805" s="1666"/>
      <c r="AH805"/>
      <c r="AI805"/>
      <c r="AJ805"/>
      <c r="AK805"/>
      <c r="AL805"/>
      <c r="AM805"/>
      <c r="AN805"/>
      <c r="AO805"/>
      <c r="AP805"/>
      <c r="AQ805"/>
      <c r="AR805"/>
      <c r="AS805"/>
      <c r="AT805"/>
      <c r="AU805"/>
      <c r="AV805"/>
      <c r="AW805"/>
      <c r="AX805"/>
      <c r="AY805"/>
      <c r="AZ805" s="3"/>
      <c r="BA805"/>
      <c r="CP805" s="1789">
        <f>SUM(CP795:CT804)</f>
        <v>0</v>
      </c>
      <c r="CQ805" s="1791"/>
      <c r="CR805" s="1791"/>
      <c r="CS805" s="1791"/>
      <c r="CT805" s="1790"/>
      <c r="CU805" s="1792">
        <f>SUM(CU795:CY804)</f>
        <v>0</v>
      </c>
      <c r="CV805" s="1793"/>
      <c r="CW805" s="1793"/>
      <c r="CX805" s="1793"/>
      <c r="CY805" s="1794"/>
      <c r="CZ805" s="1792">
        <f>SUM(CZ795:DD804)</f>
        <v>0</v>
      </c>
      <c r="DA805" s="1793"/>
      <c r="DB805" s="1793"/>
      <c r="DC805" s="1793"/>
      <c r="DD805" s="1794"/>
      <c r="DE805" s="1792">
        <f>SUM(DE795:DI804)</f>
        <v>0</v>
      </c>
      <c r="DF805" s="1793"/>
      <c r="DG805" s="1793"/>
      <c r="DH805" s="1793"/>
      <c r="DI805" s="1794"/>
      <c r="DJ805" s="1792">
        <f>SUM(DJ795:DN804)</f>
        <v>0</v>
      </c>
      <c r="DK805" s="1793"/>
      <c r="DL805" s="1793"/>
      <c r="DM805" s="1793"/>
      <c r="DN805" s="1794"/>
      <c r="DO805" s="1792">
        <f>SUM(DO795:DS804)</f>
        <v>0</v>
      </c>
      <c r="DP805" s="1793"/>
      <c r="DQ805" s="1793"/>
      <c r="DR805" s="1793"/>
      <c r="DS805" s="1794"/>
      <c r="DT805" s="1004"/>
      <c r="DU805" s="1789">
        <f>SUM(DU795:DY804)</f>
        <v>0</v>
      </c>
      <c r="DV805" s="1791"/>
      <c r="DW805" s="1791"/>
      <c r="DX805" s="1791"/>
      <c r="DY805" s="1790"/>
      <c r="DZ805" s="1789">
        <f>SUM(DZ795:ED804)</f>
        <v>0</v>
      </c>
      <c r="EA805" s="1791"/>
      <c r="EB805" s="1791"/>
      <c r="EC805" s="1791"/>
      <c r="ED805" s="1790"/>
      <c r="EE805" s="1789">
        <f>SUM(EE795:EI804)</f>
        <v>0</v>
      </c>
      <c r="EF805" s="1791"/>
      <c r="EG805" s="1791"/>
      <c r="EH805" s="1791"/>
      <c r="EI805" s="1790"/>
      <c r="EJ805" s="1789">
        <f>SUM(EJ795:EN804)</f>
        <v>0</v>
      </c>
      <c r="EK805" s="1791"/>
      <c r="EL805" s="1791"/>
      <c r="EM805" s="1791"/>
      <c r="EN805" s="1790"/>
      <c r="EO805" s="1789">
        <f>SUM(EO795:ES804)</f>
        <v>0</v>
      </c>
      <c r="EP805" s="1791"/>
      <c r="EQ805" s="1791"/>
      <c r="ER805" s="1791"/>
      <c r="ES805" s="1790"/>
      <c r="ET805" s="1789">
        <f>SUM(ET795:EX804)</f>
        <v>0</v>
      </c>
      <c r="EU805" s="1791"/>
      <c r="EV805" s="1791"/>
      <c r="EW805" s="1791"/>
      <c r="EX805" s="1790"/>
    </row>
    <row r="806" spans="1:154" s="4" customFormat="1" ht="12.95" customHeight="1">
      <c r="A806"/>
      <c r="B806"/>
      <c r="C806" s="1993" t="str">
        <f>IF(O805&lt;&gt;AG447,"! Total market rate units in the Unit Mix Table above does not match the number of  market rate units on row #"&amp;TEXT(ROW(D447),"#"),"")</f>
        <v/>
      </c>
      <c r="D806" s="1993"/>
      <c r="E806" s="1993"/>
      <c r="F806" s="1993"/>
      <c r="G806" s="1993"/>
      <c r="H806" s="1993"/>
      <c r="I806" s="1993"/>
      <c r="J806" s="1993"/>
      <c r="K806" s="1993"/>
      <c r="L806" s="1993"/>
      <c r="M806" s="1993"/>
      <c r="N806" s="1993"/>
      <c r="O806" s="1993"/>
      <c r="P806" s="1993"/>
      <c r="Q806" s="1993"/>
      <c r="R806" s="1993"/>
      <c r="S806" s="1993"/>
      <c r="T806" s="1993"/>
      <c r="U806" s="1993"/>
      <c r="V806" s="1993"/>
      <c r="W806" s="1993"/>
      <c r="X806" s="1993"/>
      <c r="Y806" s="1993"/>
      <c r="Z806" s="1993"/>
      <c r="AA806" s="1993"/>
      <c r="AB806" s="1993"/>
      <c r="AC806" s="1993"/>
      <c r="AD806" s="1993"/>
      <c r="AE806" s="1993"/>
      <c r="AF806" s="1993"/>
      <c r="AG806" s="1993"/>
      <c r="AH806" s="1993"/>
      <c r="AI806" s="1993"/>
      <c r="AJ806" s="1993"/>
      <c r="AK806" s="1993"/>
      <c r="AL806" s="1993"/>
      <c r="AM806" s="1993"/>
      <c r="AN806" s="1993"/>
      <c r="AO806"/>
      <c r="AP806"/>
      <c r="AQ806"/>
      <c r="AR806"/>
      <c r="AS806"/>
      <c r="AT806"/>
      <c r="AU806"/>
      <c r="AV806"/>
      <c r="AW806"/>
      <c r="AX806"/>
      <c r="AY806"/>
      <c r="AZ806" s="30"/>
      <c r="BA806" s="30"/>
      <c r="CP806"/>
      <c r="CQ806"/>
      <c r="CR806"/>
      <c r="CS806"/>
      <c r="CT806" s="855">
        <f>CP805*1</f>
        <v>0</v>
      </c>
      <c r="CU806" s="3"/>
      <c r="CV806" s="3"/>
      <c r="CW806" s="3"/>
      <c r="CX806" s="3"/>
      <c r="CY806" s="855">
        <f>CU805*1</f>
        <v>0</v>
      </c>
      <c r="CZ806" s="3"/>
      <c r="DA806" s="3"/>
      <c r="DB806" s="3"/>
      <c r="DC806" s="3"/>
      <c r="DD806" s="855">
        <f>CZ805*2</f>
        <v>0</v>
      </c>
      <c r="DE806" s="3"/>
      <c r="DF806" s="3"/>
      <c r="DG806" s="3"/>
      <c r="DH806" s="3"/>
      <c r="DI806" s="855">
        <f>DE805*3</f>
        <v>0</v>
      </c>
      <c r="DJ806" s="3"/>
      <c r="DK806" s="3"/>
      <c r="DL806" s="3"/>
      <c r="DM806" s="3"/>
      <c r="DN806" s="855">
        <f>DJ805*4</f>
        <v>0</v>
      </c>
      <c r="DO806" s="3"/>
      <c r="DP806" s="3"/>
      <c r="DQ806" s="3"/>
      <c r="DR806" s="3"/>
      <c r="DS806" s="855">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993"/>
      <c r="D807" s="1993"/>
      <c r="E807" s="1993"/>
      <c r="F807" s="1993"/>
      <c r="G807" s="1993"/>
      <c r="H807" s="1993"/>
      <c r="I807" s="1993"/>
      <c r="J807" s="1993"/>
      <c r="K807" s="1993"/>
      <c r="L807" s="1993"/>
      <c r="M807" s="1993"/>
      <c r="N807" s="1993"/>
      <c r="O807" s="1993"/>
      <c r="P807" s="1993"/>
      <c r="Q807" s="1993"/>
      <c r="R807" s="1993"/>
      <c r="S807" s="1993"/>
      <c r="T807" s="1993"/>
      <c r="U807" s="1993"/>
      <c r="V807" s="1993"/>
      <c r="W807" s="1993"/>
      <c r="X807" s="1993"/>
      <c r="Y807" s="1993"/>
      <c r="Z807" s="1993"/>
      <c r="AA807" s="1993"/>
      <c r="AB807" s="1993"/>
      <c r="AC807" s="1993"/>
      <c r="AD807" s="1993"/>
      <c r="AE807" s="1993"/>
      <c r="AF807" s="1993"/>
      <c r="AG807" s="1993"/>
      <c r="AH807" s="1993"/>
      <c r="AI807" s="1993"/>
      <c r="AJ807" s="1993"/>
      <c r="AK807" s="1993"/>
      <c r="AL807" s="1993"/>
      <c r="AM807" s="1993"/>
      <c r="AN807" s="199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5">
        <f>CP805+CU805+CZ805+DE805+DJ805+DO805</f>
        <v>0</v>
      </c>
      <c r="DV807" s="57" t="s">
        <v>1829</v>
      </c>
      <c r="DW807" s="3"/>
      <c r="DX807" s="3"/>
      <c r="DY807" s="3"/>
      <c r="DZ807" s="3"/>
      <c r="EA807" s="3"/>
      <c r="EB807" s="3"/>
      <c r="EC807" s="3"/>
      <c r="ED807" s="3"/>
      <c r="EE807" s="3"/>
      <c r="EF807" s="3"/>
      <c r="EG807" s="3"/>
      <c r="EH807" s="3"/>
      <c r="EI807"/>
      <c r="EJ807"/>
      <c r="EK807"/>
      <c r="EL807"/>
      <c r="EM807"/>
      <c r="EN807"/>
      <c r="EO807"/>
      <c r="EP807"/>
      <c r="EQ807"/>
      <c r="ER807"/>
      <c r="ES807" s="56" t="s">
        <v>1838</v>
      </c>
      <c r="ET807" s="2123">
        <f>SUM(DU805:EX805)</f>
        <v>0</v>
      </c>
      <c r="EU807" s="2124"/>
      <c r="EV807" s="2124"/>
      <c r="EW807" s="2124"/>
      <c r="EX807" s="212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934">
        <f>O761+AC785+AC805</f>
        <v>182839.79</v>
      </c>
      <c r="Z808" s="1934"/>
      <c r="AA808" s="1934"/>
      <c r="AB808" s="1934"/>
      <c r="AC808" s="193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5">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934">
        <f>(O761+AC785+AC805)*12</f>
        <v>2194077.48</v>
      </c>
      <c r="Z809" s="1934"/>
      <c r="AA809" s="1934"/>
      <c r="AB809" s="1934"/>
      <c r="AC809" s="193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792">
        <f>CP761+CP785+CP805</f>
        <v>0</v>
      </c>
      <c r="CQ810" s="1793"/>
      <c r="CR810" s="1793"/>
      <c r="CS810" s="1793"/>
      <c r="CT810" s="1794"/>
      <c r="CU810" s="1792">
        <f>CU761+CU785+CU805</f>
        <v>56</v>
      </c>
      <c r="CV810" s="1793"/>
      <c r="CW810" s="1793"/>
      <c r="CX810" s="1793"/>
      <c r="CY810" s="1794"/>
      <c r="CZ810" s="1792">
        <f>CZ761+CZ785+CZ805</f>
        <v>30</v>
      </c>
      <c r="DA810" s="1793"/>
      <c r="DB810" s="1793"/>
      <c r="DC810" s="1793"/>
      <c r="DD810" s="1794"/>
      <c r="DE810" s="1792">
        <f>DE761+DE785+DE805</f>
        <v>33</v>
      </c>
      <c r="DF810" s="1793"/>
      <c r="DG810" s="1793"/>
      <c r="DH810" s="1793"/>
      <c r="DI810" s="1794"/>
      <c r="DJ810" s="1792">
        <f>DJ761+DJ785+DJ805</f>
        <v>0</v>
      </c>
      <c r="DK810" s="1793"/>
      <c r="DL810" s="1793"/>
      <c r="DM810" s="1793"/>
      <c r="DN810" s="1794"/>
      <c r="DO810" s="1783">
        <f>DO805+DO785+DO761</f>
        <v>0</v>
      </c>
      <c r="DP810" s="1795"/>
      <c r="DQ810" s="1795"/>
      <c r="DR810" s="1795"/>
      <c r="DS810" s="1784"/>
      <c r="DT810" s="3"/>
      <c r="DU810" s="855">
        <f>DU763+DU808</f>
        <v>212</v>
      </c>
      <c r="DV810" s="57" t="s">
        <v>1834</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913</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896"/>
      <c r="AA814" s="1897"/>
      <c r="AB814" s="1897"/>
      <c r="AC814" s="1897"/>
      <c r="AD814" s="1897"/>
      <c r="AE814" s="189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2003"/>
      <c r="AA815" s="1897"/>
      <c r="AB815" s="1897"/>
      <c r="AC815" s="1897"/>
      <c r="AD815" s="1897"/>
      <c r="AE815" s="189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943">
        <v>0</v>
      </c>
      <c r="AA816" s="1872"/>
      <c r="AB816" s="1872"/>
      <c r="AC816" s="1872"/>
      <c r="AD816" s="1872"/>
      <c r="AE816" s="187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770">
        <f>'Subsidy Contract Calculation'!J40</f>
        <v>0</v>
      </c>
      <c r="AA817" s="1771"/>
      <c r="AB817" s="1771"/>
      <c r="AC817" s="1771"/>
      <c r="AD817" s="1771"/>
      <c r="AE817" s="177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17">
        <v>23119</v>
      </c>
      <c r="AA821" s="1718"/>
      <c r="AB821" s="1718"/>
      <c r="AC821" s="1718"/>
      <c r="AD821" s="1718"/>
      <c r="AE821" s="171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17"/>
      <c r="AA822" s="1718"/>
      <c r="AB822" s="1718"/>
      <c r="AC822" s="1718"/>
      <c r="AD822" s="1718"/>
      <c r="AE822" s="171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17"/>
      <c r="AA823" s="1718"/>
      <c r="AB823" s="1718"/>
      <c r="AC823" s="1718"/>
      <c r="AD823" s="1718"/>
      <c r="AE823" s="171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911" t="s">
        <v>2755</v>
      </c>
      <c r="Q824" s="1912"/>
      <c r="R824" s="1912"/>
      <c r="S824" s="1912"/>
      <c r="T824" s="1912"/>
      <c r="U824" s="1912"/>
      <c r="V824" s="1912"/>
      <c r="W824" s="1912"/>
      <c r="X824" s="1912"/>
      <c r="Y824" s="1913"/>
      <c r="Z824" s="1717">
        <f>1428+5310+3186+11800</f>
        <v>21724</v>
      </c>
      <c r="AA824" s="1718"/>
      <c r="AB824" s="1718"/>
      <c r="AC824" s="1718"/>
      <c r="AD824" s="1718"/>
      <c r="AE824" s="171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770">
        <f>SUM(Z821:AE824)</f>
        <v>44843</v>
      </c>
      <c r="AA825" s="1771"/>
      <c r="AB825" s="1771"/>
      <c r="AC825" s="1771"/>
      <c r="AD825" s="1771"/>
      <c r="AE825" s="177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770">
        <f>Z825+Y809+Z817</f>
        <v>2238920.48</v>
      </c>
      <c r="AA826" s="1771"/>
      <c r="AB826" s="1771"/>
      <c r="AC826" s="1771"/>
      <c r="AD826" s="1771"/>
      <c r="AE826" s="177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844" t="s">
        <v>126</v>
      </c>
      <c r="N831" s="1844"/>
      <c r="O831" s="1844"/>
      <c r="P831" s="1939"/>
      <c r="Q831" s="1799" t="s">
        <v>289</v>
      </c>
      <c r="R831" s="1799"/>
      <c r="S831" s="1799"/>
      <c r="T831" s="1799"/>
      <c r="U831" s="1799" t="s">
        <v>290</v>
      </c>
      <c r="V831" s="1799"/>
      <c r="W831" s="1799"/>
      <c r="X831" s="1799"/>
      <c r="Y831" s="1799" t="s">
        <v>291</v>
      </c>
      <c r="Z831" s="1799"/>
      <c r="AA831" s="1799"/>
      <c r="AB831" s="1799"/>
      <c r="AC831" s="1799" t="s">
        <v>360</v>
      </c>
      <c r="AD831" s="1799"/>
      <c r="AE831" s="1799"/>
      <c r="AF831" s="1799"/>
      <c r="AG831" s="2004" t="s">
        <v>334</v>
      </c>
      <c r="AH831" s="2004"/>
      <c r="AI831" s="2004"/>
      <c r="AJ831" s="200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848"/>
      <c r="N832" s="1848"/>
      <c r="O832" s="1848"/>
      <c r="P832" s="1892"/>
      <c r="Q832" s="1799"/>
      <c r="R832" s="1799"/>
      <c r="S832" s="1799"/>
      <c r="T832" s="1799"/>
      <c r="U832" s="1799"/>
      <c r="V832" s="1799"/>
      <c r="W832" s="1799"/>
      <c r="X832" s="1799"/>
      <c r="Y832" s="1799"/>
      <c r="Z832" s="1799"/>
      <c r="AA832" s="1799"/>
      <c r="AB832" s="1799"/>
      <c r="AC832" s="1799"/>
      <c r="AD832" s="1799"/>
      <c r="AE832" s="1799"/>
      <c r="AF832" s="1799"/>
      <c r="AG832" s="2004"/>
      <c r="AH832" s="2004"/>
      <c r="AI832" s="2004"/>
      <c r="AJ832" s="200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880" t="s">
        <v>40</v>
      </c>
      <c r="D833" s="1695"/>
      <c r="E833" s="1695"/>
      <c r="F833" s="1695"/>
      <c r="G833" s="1695"/>
      <c r="H833" s="1695"/>
      <c r="I833" s="48"/>
      <c r="J833" s="48"/>
      <c r="K833" s="48"/>
      <c r="L833" s="49"/>
      <c r="M833" s="1914"/>
      <c r="N833" s="1914"/>
      <c r="O833" s="1914"/>
      <c r="P833" s="1914"/>
      <c r="Q833" s="1914">
        <v>1</v>
      </c>
      <c r="R833" s="1914"/>
      <c r="S833" s="1914"/>
      <c r="T833" s="1914"/>
      <c r="U833" s="1914">
        <v>2</v>
      </c>
      <c r="V833" s="1914"/>
      <c r="W833" s="1914"/>
      <c r="X833" s="1914"/>
      <c r="Y833" s="1914">
        <v>2</v>
      </c>
      <c r="Z833" s="1914"/>
      <c r="AA833" s="1914"/>
      <c r="AB833" s="1914"/>
      <c r="AC833" s="1708"/>
      <c r="AD833" s="1709"/>
      <c r="AE833" s="1709"/>
      <c r="AF833" s="1710"/>
      <c r="AG833" s="1708"/>
      <c r="AH833" s="1709"/>
      <c r="AI833" s="1709"/>
      <c r="AJ833" s="1710"/>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938" t="s">
        <v>41</v>
      </c>
      <c r="D834" s="1937"/>
      <c r="E834" s="1937"/>
      <c r="F834" s="1937"/>
      <c r="G834" s="1937"/>
      <c r="H834" s="1937"/>
      <c r="I834" s="5"/>
      <c r="J834" s="5"/>
      <c r="K834" s="5"/>
      <c r="L834" s="46"/>
      <c r="M834" s="1914"/>
      <c r="N834" s="1914"/>
      <c r="O834" s="1914"/>
      <c r="P834" s="1914"/>
      <c r="Q834" s="1914"/>
      <c r="R834" s="1914"/>
      <c r="S834" s="1914"/>
      <c r="T834" s="1914"/>
      <c r="U834" s="1914"/>
      <c r="V834" s="1914"/>
      <c r="W834" s="1914"/>
      <c r="X834" s="1914"/>
      <c r="Y834" s="1914"/>
      <c r="Z834" s="1914"/>
      <c r="AA834" s="1914"/>
      <c r="AB834" s="1914"/>
      <c r="AC834" s="1708"/>
      <c r="AD834" s="1709"/>
      <c r="AE834" s="1709"/>
      <c r="AF834" s="1710"/>
      <c r="AG834" s="1708"/>
      <c r="AH834" s="1709"/>
      <c r="AI834" s="1709"/>
      <c r="AJ834" s="1710"/>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938" t="s">
        <v>42</v>
      </c>
      <c r="D835" s="1937"/>
      <c r="E835" s="1937"/>
      <c r="F835" s="1937"/>
      <c r="G835" s="1937"/>
      <c r="H835" s="1937"/>
      <c r="I835" s="60"/>
      <c r="J835" s="60"/>
      <c r="K835" s="60"/>
      <c r="L835" s="61"/>
      <c r="M835" s="1914"/>
      <c r="N835" s="1914"/>
      <c r="O835" s="1914"/>
      <c r="P835" s="1914"/>
      <c r="Q835" s="1914">
        <v>2</v>
      </c>
      <c r="R835" s="1914"/>
      <c r="S835" s="1914"/>
      <c r="T835" s="1914"/>
      <c r="U835" s="1914">
        <v>2</v>
      </c>
      <c r="V835" s="1914"/>
      <c r="W835" s="1914"/>
      <c r="X835" s="1914"/>
      <c r="Y835" s="1914">
        <v>2</v>
      </c>
      <c r="Z835" s="1914"/>
      <c r="AA835" s="1914"/>
      <c r="AB835" s="1914"/>
      <c r="AC835" s="1708"/>
      <c r="AD835" s="1709"/>
      <c r="AE835" s="1709"/>
      <c r="AF835" s="1710"/>
      <c r="AG835" s="1708"/>
      <c r="AH835" s="1709"/>
      <c r="AI835" s="1709"/>
      <c r="AJ835" s="1710"/>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938" t="s">
        <v>761</v>
      </c>
      <c r="D836" s="1937"/>
      <c r="E836" s="1937"/>
      <c r="F836" s="1937"/>
      <c r="G836" s="1937"/>
      <c r="H836" s="1937"/>
      <c r="I836" s="60"/>
      <c r="J836" s="60"/>
      <c r="K836" s="60"/>
      <c r="L836" s="61"/>
      <c r="M836" s="1914"/>
      <c r="N836" s="1914"/>
      <c r="O836" s="1914"/>
      <c r="P836" s="1914"/>
      <c r="Q836" s="1914">
        <v>2</v>
      </c>
      <c r="R836" s="1914"/>
      <c r="S836" s="1914"/>
      <c r="T836" s="1914"/>
      <c r="U836" s="1914">
        <v>2</v>
      </c>
      <c r="V836" s="1914"/>
      <c r="W836" s="1914"/>
      <c r="X836" s="1914"/>
      <c r="Y836" s="1914">
        <v>2</v>
      </c>
      <c r="Z836" s="1914"/>
      <c r="AA836" s="1914"/>
      <c r="AB836" s="1914"/>
      <c r="AC836" s="1708"/>
      <c r="AD836" s="1709"/>
      <c r="AE836" s="1709"/>
      <c r="AF836" s="1710"/>
      <c r="AG836" s="1708"/>
      <c r="AH836" s="1709"/>
      <c r="AI836" s="1709"/>
      <c r="AJ836" s="1710"/>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938" t="s">
        <v>458</v>
      </c>
      <c r="D837" s="1937"/>
      <c r="E837" s="1937"/>
      <c r="F837" s="1937"/>
      <c r="G837" s="1937"/>
      <c r="H837" s="1937"/>
      <c r="I837" s="60"/>
      <c r="J837" s="60"/>
      <c r="K837" s="60"/>
      <c r="L837" s="61"/>
      <c r="M837" s="1914"/>
      <c r="N837" s="1914"/>
      <c r="O837" s="1914"/>
      <c r="P837" s="1914"/>
      <c r="Q837" s="1914">
        <v>24</v>
      </c>
      <c r="R837" s="1914"/>
      <c r="S837" s="1914"/>
      <c r="T837" s="1914"/>
      <c r="U837" s="1914">
        <v>25</v>
      </c>
      <c r="V837" s="1914"/>
      <c r="W837" s="1914"/>
      <c r="X837" s="1914"/>
      <c r="Y837" s="1914">
        <v>26</v>
      </c>
      <c r="Z837" s="1914"/>
      <c r="AA837" s="1914"/>
      <c r="AB837" s="1914"/>
      <c r="AC837" s="1708"/>
      <c r="AD837" s="1709"/>
      <c r="AE837" s="1709"/>
      <c r="AF837" s="1710"/>
      <c r="AG837" s="1708"/>
      <c r="AH837" s="1709"/>
      <c r="AI837" s="1709"/>
      <c r="AJ837" s="1710"/>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936" t="s">
        <v>782</v>
      </c>
      <c r="D838" s="1937"/>
      <c r="E838" s="1937"/>
      <c r="F838" s="1937"/>
      <c r="G838" s="1937"/>
      <c r="H838" s="1937"/>
      <c r="I838" s="60"/>
      <c r="J838" s="60"/>
      <c r="K838" s="60"/>
      <c r="L838" s="61"/>
      <c r="M838" s="1914"/>
      <c r="N838" s="1914"/>
      <c r="O838" s="1914"/>
      <c r="P838" s="1914"/>
      <c r="Q838" s="1914"/>
      <c r="R838" s="1914"/>
      <c r="S838" s="1914"/>
      <c r="T838" s="1914"/>
      <c r="U838" s="1914"/>
      <c r="V838" s="1914"/>
      <c r="W838" s="1914"/>
      <c r="X838" s="1914"/>
      <c r="Y838" s="1914"/>
      <c r="Z838" s="1914"/>
      <c r="AA838" s="1914"/>
      <c r="AB838" s="1914"/>
      <c r="AC838" s="1708"/>
      <c r="AD838" s="1709"/>
      <c r="AE838" s="1709"/>
      <c r="AF838" s="1710"/>
      <c r="AG838" s="1708"/>
      <c r="AH838" s="1709"/>
      <c r="AI838" s="1709"/>
      <c r="AJ838" s="1710"/>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911" t="s">
        <v>2756</v>
      </c>
      <c r="G839" s="1912"/>
      <c r="H839" s="1912"/>
      <c r="I839" s="1912"/>
      <c r="J839" s="1912"/>
      <c r="K839" s="1912"/>
      <c r="L839" s="1912"/>
      <c r="M839" s="1914"/>
      <c r="N839" s="1914"/>
      <c r="O839" s="1914"/>
      <c r="P839" s="1914"/>
      <c r="Q839" s="1914">
        <v>3</v>
      </c>
      <c r="R839" s="1914"/>
      <c r="S839" s="1914"/>
      <c r="T839" s="1914"/>
      <c r="U839" s="1914">
        <v>3</v>
      </c>
      <c r="V839" s="1914"/>
      <c r="W839" s="1914"/>
      <c r="X839" s="1914"/>
      <c r="Y839" s="1914">
        <v>3</v>
      </c>
      <c r="Z839" s="1914"/>
      <c r="AA839" s="1914"/>
      <c r="AB839" s="1914"/>
      <c r="AC839" s="1708"/>
      <c r="AD839" s="1709"/>
      <c r="AE839" s="1709"/>
      <c r="AF839" s="1710"/>
      <c r="AG839" s="1708"/>
      <c r="AH839" s="1709"/>
      <c r="AI839" s="1709"/>
      <c r="AJ839" s="1710"/>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774" t="s">
        <v>124</v>
      </c>
      <c r="D840" s="1775"/>
      <c r="E840" s="1775"/>
      <c r="F840" s="1775"/>
      <c r="G840" s="1775"/>
      <c r="H840" s="1775"/>
      <c r="I840" s="1775"/>
      <c r="J840" s="1775"/>
      <c r="K840" s="1775"/>
      <c r="L840" s="1776"/>
      <c r="M840" s="1933">
        <f>SUM(M833:P839)</f>
        <v>0</v>
      </c>
      <c r="N840" s="1933"/>
      <c r="O840" s="1933"/>
      <c r="P840" s="1933"/>
      <c r="Q840" s="1933">
        <f>SUM(Q833:T839)</f>
        <v>32</v>
      </c>
      <c r="R840" s="1933"/>
      <c r="S840" s="1933"/>
      <c r="T840" s="1933"/>
      <c r="U840" s="1933">
        <f>SUM(U833:X839)</f>
        <v>34</v>
      </c>
      <c r="V840" s="1933"/>
      <c r="W840" s="1933"/>
      <c r="X840" s="1933"/>
      <c r="Y840" s="1933">
        <f>SUM(Y833:AB839)</f>
        <v>35</v>
      </c>
      <c r="Z840" s="1933"/>
      <c r="AA840" s="1933"/>
      <c r="AB840" s="1933"/>
      <c r="AC840" s="1933">
        <f>SUM(AC833:AF839)</f>
        <v>0</v>
      </c>
      <c r="AD840" s="1933"/>
      <c r="AE840" s="1933"/>
      <c r="AF840" s="1933"/>
      <c r="AG840" s="1933">
        <f>SUM(AG833:AJ839)</f>
        <v>0</v>
      </c>
      <c r="AH840" s="1933"/>
      <c r="AI840" s="1933"/>
      <c r="AJ840" s="193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981" t="s">
        <v>2757</v>
      </c>
      <c r="D845" s="1982"/>
      <c r="E845" s="1982"/>
      <c r="F845" s="1982"/>
      <c r="G845" s="1982"/>
      <c r="H845" s="1982"/>
      <c r="I845" s="1982"/>
      <c r="J845" s="1982"/>
      <c r="K845" s="1982"/>
      <c r="L845" s="1982"/>
      <c r="M845" s="1982"/>
      <c r="N845" s="1982"/>
      <c r="O845" s="1982"/>
      <c r="P845" s="1982"/>
      <c r="Q845" s="1982"/>
      <c r="R845" s="1982"/>
      <c r="S845" s="1982"/>
      <c r="T845" s="1982"/>
      <c r="U845" s="1982"/>
      <c r="V845" s="1982"/>
      <c r="W845" s="1982"/>
      <c r="X845" s="1982"/>
      <c r="Y845" s="1982"/>
      <c r="Z845" s="1982"/>
      <c r="AA845" s="1982"/>
      <c r="AB845" s="1982"/>
      <c r="AC845" s="1982"/>
      <c r="AD845" s="1982"/>
      <c r="AE845" s="1982"/>
      <c r="AF845" s="1982"/>
      <c r="AG845" s="1982"/>
      <c r="AH845" s="1982"/>
      <c r="AI845" s="1982"/>
      <c r="AJ845" s="198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949"/>
      <c r="BJ849" s="1949"/>
      <c r="BK849" s="1949"/>
      <c r="BL849" s="1949"/>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731">
        <v>25823</v>
      </c>
      <c r="X850" s="1731"/>
      <c r="Y850" s="1731"/>
      <c r="Z850" s="1731"/>
      <c r="AA850" s="1731"/>
      <c r="AB850" s="1731"/>
      <c r="AC850" s="173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731"/>
      <c r="X851" s="1731"/>
      <c r="Y851" s="1731"/>
      <c r="Z851" s="1731"/>
      <c r="AA851" s="1731"/>
      <c r="AB851" s="1731"/>
      <c r="AC851" s="173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731"/>
      <c r="X852" s="1731"/>
      <c r="Y852" s="1731"/>
      <c r="Z852" s="1731"/>
      <c r="AA852" s="1731"/>
      <c r="AB852" s="1731"/>
      <c r="AC852" s="1731"/>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731"/>
      <c r="X853" s="1731"/>
      <c r="Y853" s="1731"/>
      <c r="Z853" s="1731"/>
      <c r="AA853" s="1731"/>
      <c r="AB853" s="1731"/>
      <c r="AC853" s="1731"/>
      <c r="AZ853" s="30"/>
      <c r="BA853" s="30"/>
      <c r="BB853" s="14"/>
      <c r="BC853" s="14"/>
      <c r="BD853" s="14"/>
      <c r="BE853" s="14"/>
      <c r="BF853" s="14"/>
      <c r="BG853" s="14"/>
      <c r="BH853" s="14"/>
      <c r="BI853" s="14"/>
      <c r="BJ853" s="14"/>
      <c r="BK853" s="14"/>
      <c r="BL853" s="14"/>
    </row>
    <row r="854" spans="1:64" ht="12.95" customHeight="1">
      <c r="J854" s="45" t="s">
        <v>169</v>
      </c>
      <c r="K854" s="5"/>
      <c r="L854" s="5"/>
      <c r="M854" s="1911" t="s">
        <v>2758</v>
      </c>
      <c r="N854" s="1912"/>
      <c r="O854" s="1912"/>
      <c r="P854" s="1912"/>
      <c r="Q854" s="1912"/>
      <c r="R854" s="1912"/>
      <c r="S854" s="1912"/>
      <c r="T854" s="1912"/>
      <c r="U854" s="1912"/>
      <c r="V854" s="1913"/>
      <c r="W854" s="1731">
        <f>39984</f>
        <v>39984</v>
      </c>
      <c r="X854" s="1731"/>
      <c r="Y854" s="1731"/>
      <c r="Z854" s="1731"/>
      <c r="AA854" s="1731"/>
      <c r="AB854" s="1731"/>
      <c r="AC854" s="173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770">
        <f>SUM(W850:W854)</f>
        <v>65807</v>
      </c>
      <c r="X855" s="1771"/>
      <c r="Y855" s="1771"/>
      <c r="Z855" s="1771"/>
      <c r="AA855" s="1771"/>
      <c r="AB855" s="1771"/>
      <c r="AC855" s="1772"/>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379"/>
      <c r="BH856" s="1379"/>
      <c r="BI856" s="1379"/>
      <c r="BJ856" s="1379"/>
      <c r="BK856" s="1379"/>
      <c r="BL856" s="1379"/>
    </row>
    <row r="857" spans="1:64" ht="12.95" customHeight="1">
      <c r="C857" s="2" t="s">
        <v>343</v>
      </c>
      <c r="J857" s="1774" t="s">
        <v>344</v>
      </c>
      <c r="K857" s="1775"/>
      <c r="L857" s="1775"/>
      <c r="M857" s="1775"/>
      <c r="N857" s="1775"/>
      <c r="O857" s="1775"/>
      <c r="P857" s="1775"/>
      <c r="Q857" s="1775"/>
      <c r="R857" s="1775"/>
      <c r="S857" s="1775"/>
      <c r="T857" s="1775"/>
      <c r="U857" s="1775"/>
      <c r="V857" s="1776"/>
      <c r="W857" s="1717">
        <v>111342</v>
      </c>
      <c r="X857" s="1718"/>
      <c r="Y857" s="1718"/>
      <c r="Z857" s="1718"/>
      <c r="AA857" s="1718"/>
      <c r="AB857" s="1718"/>
      <c r="AC857" s="1719"/>
      <c r="AD857" s="531"/>
      <c r="AZ857" s="30"/>
      <c r="BA857" s="30"/>
      <c r="BB857" s="14"/>
      <c r="BC857" s="14"/>
    </row>
    <row r="858" spans="1:64" ht="12.95" customHeight="1">
      <c r="AD858" s="531"/>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935"/>
      <c r="X859" s="1935"/>
      <c r="Y859" s="1935"/>
      <c r="Z859" s="1935"/>
      <c r="AA859" s="1935"/>
      <c r="AB859" s="1935"/>
      <c r="AC859" s="1935"/>
      <c r="AZ859" s="1991"/>
      <c r="BA859" s="1991"/>
      <c r="BB859" s="14"/>
      <c r="BC859" s="14"/>
    </row>
    <row r="860" spans="1:64" ht="12.95" customHeight="1">
      <c r="J860" s="45" t="s">
        <v>350</v>
      </c>
      <c r="K860" s="5"/>
      <c r="L860" s="5"/>
      <c r="M860" s="5"/>
      <c r="N860" s="5"/>
      <c r="O860" s="5"/>
      <c r="P860" s="5"/>
      <c r="Q860" s="5"/>
      <c r="R860" s="5"/>
      <c r="S860" s="5"/>
      <c r="T860" s="5"/>
      <c r="U860" s="5"/>
      <c r="V860" s="46"/>
      <c r="W860" s="1935"/>
      <c r="X860" s="1935"/>
      <c r="Y860" s="1935"/>
      <c r="Z860" s="1935"/>
      <c r="AA860" s="1935"/>
      <c r="AB860" s="1935"/>
      <c r="AC860" s="1935"/>
      <c r="AZ860" s="30"/>
      <c r="BA860" s="30"/>
      <c r="BB860" s="14"/>
      <c r="BC860" s="14"/>
    </row>
    <row r="861" spans="1:64" ht="12.95" customHeight="1">
      <c r="J861" s="45" t="s">
        <v>458</v>
      </c>
      <c r="K861" s="5"/>
      <c r="L861" s="5"/>
      <c r="M861" s="5"/>
      <c r="N861" s="5"/>
      <c r="O861" s="5"/>
      <c r="P861" s="5"/>
      <c r="Q861" s="5"/>
      <c r="R861" s="5"/>
      <c r="S861" s="5"/>
      <c r="T861" s="5"/>
      <c r="U861" s="5"/>
      <c r="V861" s="46"/>
      <c r="W861" s="1935">
        <v>72667</v>
      </c>
      <c r="X861" s="1935"/>
      <c r="Y861" s="1935"/>
      <c r="Z861" s="1935"/>
      <c r="AA861" s="1935"/>
      <c r="AB861" s="1935"/>
      <c r="AC861" s="1935"/>
      <c r="AZ861" s="30"/>
      <c r="BA861" s="30"/>
      <c r="BB861" s="14"/>
      <c r="BC861" s="14"/>
    </row>
    <row r="862" spans="1:64" ht="12.95" customHeight="1">
      <c r="J862" s="62" t="s">
        <v>619</v>
      </c>
      <c r="K862" s="5"/>
      <c r="L862" s="5"/>
      <c r="M862" s="5"/>
      <c r="N862" s="5"/>
      <c r="O862" s="5"/>
      <c r="P862" s="5"/>
      <c r="Q862" s="5"/>
      <c r="R862" s="5"/>
      <c r="S862" s="5"/>
      <c r="T862" s="5"/>
      <c r="U862" s="5"/>
      <c r="V862" s="46"/>
      <c r="W862" s="1935">
        <f>136654-46295</f>
        <v>90359</v>
      </c>
      <c r="X862" s="1935"/>
      <c r="Y862" s="1935"/>
      <c r="Z862" s="1935"/>
      <c r="AA862" s="1935"/>
      <c r="AB862" s="1935"/>
      <c r="AC862" s="1935"/>
      <c r="AZ862" s="34"/>
      <c r="BA862" s="34"/>
      <c r="BB862" s="34"/>
      <c r="BC862" s="34"/>
    </row>
    <row r="863" spans="1:64" ht="12.95" customHeight="1">
      <c r="J863" s="63"/>
      <c r="K863" s="48"/>
      <c r="L863" s="48"/>
      <c r="M863" s="48"/>
      <c r="N863" s="48"/>
      <c r="O863" s="48"/>
      <c r="P863" s="48"/>
      <c r="Q863" s="48"/>
      <c r="R863" s="48"/>
      <c r="S863" s="48"/>
      <c r="T863" s="48"/>
      <c r="U863" s="48"/>
      <c r="V863" s="54" t="s">
        <v>271</v>
      </c>
      <c r="W863" s="1980">
        <f>SUM(W859:W862)</f>
        <v>163026</v>
      </c>
      <c r="X863" s="1980"/>
      <c r="Y863" s="1980"/>
      <c r="Z863" s="1980"/>
      <c r="AA863" s="1980"/>
      <c r="AB863" s="1980"/>
      <c r="AC863" s="1980"/>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927">
        <v>157056</v>
      </c>
      <c r="X865" s="1928"/>
      <c r="Y865" s="1928"/>
      <c r="Z865" s="1928"/>
      <c r="AA865" s="1928"/>
      <c r="AB865" s="1928"/>
      <c r="AC865" s="1929"/>
      <c r="AD865" s="526"/>
      <c r="AZ865" s="34"/>
      <c r="BA865" s="34"/>
      <c r="BB865" s="34"/>
      <c r="BC865" s="34"/>
    </row>
    <row r="866" spans="3:55" ht="12.95" customHeight="1">
      <c r="C866" s="2" t="s">
        <v>346</v>
      </c>
      <c r="J866" s="121" t="s">
        <v>1641</v>
      </c>
      <c r="K866" s="5"/>
      <c r="L866" s="5"/>
      <c r="M866" s="5"/>
      <c r="N866" s="5"/>
      <c r="O866" s="5"/>
      <c r="P866" s="5"/>
      <c r="Q866" s="5"/>
      <c r="R866" s="5"/>
      <c r="S866" s="5"/>
      <c r="T866" s="1984">
        <v>2</v>
      </c>
      <c r="U866" s="1733"/>
      <c r="V866" s="1985"/>
      <c r="W866" s="868"/>
      <c r="X866" s="869"/>
      <c r="Y866" s="869"/>
      <c r="Z866" s="869"/>
      <c r="AA866" s="869"/>
      <c r="AB866" s="869"/>
      <c r="AC866" s="870"/>
      <c r="AD866" s="526"/>
      <c r="AZ866" s="34"/>
      <c r="BA866" s="34"/>
      <c r="BB866" s="34"/>
      <c r="BC866" s="34"/>
    </row>
    <row r="867" spans="3:55" ht="12.95" customHeight="1">
      <c r="C867" s="2"/>
      <c r="J867" s="45" t="s">
        <v>617</v>
      </c>
      <c r="K867" s="5"/>
      <c r="L867" s="5"/>
      <c r="M867" s="5"/>
      <c r="N867" s="5"/>
      <c r="O867" s="5"/>
      <c r="P867" s="5"/>
      <c r="Q867" s="5"/>
      <c r="R867" s="5"/>
      <c r="S867" s="5"/>
      <c r="T867" s="5"/>
      <c r="U867" s="5"/>
      <c r="V867" s="46"/>
      <c r="W867" s="1927">
        <v>60000</v>
      </c>
      <c r="X867" s="1928"/>
      <c r="Y867" s="1928"/>
      <c r="Z867" s="1928"/>
      <c r="AA867" s="1928"/>
      <c r="AB867" s="1928"/>
      <c r="AC867" s="1929"/>
      <c r="AD867" s="531"/>
      <c r="AZ867" s="34"/>
      <c r="BA867" s="34"/>
      <c r="BB867" s="34"/>
      <c r="BC867" s="34"/>
    </row>
    <row r="868" spans="3:55" ht="12.95" customHeight="1">
      <c r="C868" s="2"/>
      <c r="J868" s="121" t="s">
        <v>1642</v>
      </c>
      <c r="K868" s="5"/>
      <c r="L868" s="5"/>
      <c r="M868" s="5"/>
      <c r="N868" s="5"/>
      <c r="O868" s="5"/>
      <c r="P868" s="5"/>
      <c r="Q868" s="5"/>
      <c r="R868" s="5"/>
      <c r="S868" s="5"/>
      <c r="T868" s="1984"/>
      <c r="U868" s="1733"/>
      <c r="V868" s="1985"/>
      <c r="W868" s="868"/>
      <c r="X868" s="869"/>
      <c r="Y868" s="869"/>
      <c r="Z868" s="869"/>
      <c r="AA868" s="869"/>
      <c r="AB868" s="869"/>
      <c r="AC868" s="870"/>
      <c r="AD868" s="531"/>
      <c r="AZ868" s="34"/>
      <c r="BA868" s="34"/>
      <c r="BB868" s="34"/>
      <c r="BC868" s="34"/>
    </row>
    <row r="869" spans="3:55" ht="12.95" customHeight="1">
      <c r="J869" s="45" t="s">
        <v>169</v>
      </c>
      <c r="K869" s="5"/>
      <c r="L869" s="5"/>
      <c r="M869" s="1911" t="s">
        <v>333</v>
      </c>
      <c r="N869" s="1912"/>
      <c r="O869" s="1912"/>
      <c r="P869" s="1912"/>
      <c r="Q869" s="1912"/>
      <c r="R869" s="1912"/>
      <c r="S869" s="1912"/>
      <c r="T869" s="1912"/>
      <c r="U869" s="1912"/>
      <c r="V869" s="1913"/>
      <c r="W869" s="1927"/>
      <c r="X869" s="1928"/>
      <c r="Y869" s="1928"/>
      <c r="Z869" s="1928"/>
      <c r="AA869" s="1928"/>
      <c r="AB869" s="1928"/>
      <c r="AC869" s="1929"/>
      <c r="AD869" s="526"/>
      <c r="AU869" s="14"/>
      <c r="AZ869" s="34"/>
      <c r="BA869" s="34"/>
      <c r="BB869" s="34"/>
      <c r="BC869" s="34"/>
    </row>
    <row r="870" spans="3:55" ht="12.95" customHeight="1">
      <c r="J870" s="45"/>
      <c r="K870" s="5"/>
      <c r="L870" s="5"/>
      <c r="M870" s="5"/>
      <c r="N870" s="5"/>
      <c r="O870" s="5"/>
      <c r="P870" s="5"/>
      <c r="Q870" s="5"/>
      <c r="R870" s="5"/>
      <c r="S870" s="5"/>
      <c r="T870" s="5"/>
      <c r="U870" s="5"/>
      <c r="V870" s="54" t="s">
        <v>272</v>
      </c>
      <c r="W870" s="1986">
        <f>SUM(W865:W869)</f>
        <v>217056</v>
      </c>
      <c r="X870" s="1987"/>
      <c r="Y870" s="1987"/>
      <c r="Z870" s="1987"/>
      <c r="AA870" s="1987"/>
      <c r="AB870" s="1987"/>
      <c r="AC870" s="1988"/>
      <c r="AD870" s="531"/>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927">
        <v>77350</v>
      </c>
      <c r="X872" s="1928"/>
      <c r="Y872" s="1928"/>
      <c r="Z872" s="1928"/>
      <c r="AA872" s="1928"/>
      <c r="AB872" s="1928"/>
      <c r="AC872" s="1929"/>
      <c r="AU872" s="14"/>
      <c r="AZ872" s="34"/>
      <c r="BA872" s="34"/>
      <c r="BB872" s="34"/>
      <c r="BC872" s="34"/>
    </row>
    <row r="873" spans="3:55" ht="12.95" customHeight="1">
      <c r="J873" s="510"/>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731"/>
      <c r="X874" s="1731"/>
      <c r="Y874" s="1731"/>
      <c r="Z874" s="1731"/>
      <c r="AA874" s="1731"/>
      <c r="AB874" s="1731"/>
      <c r="AC874" s="1731"/>
      <c r="AU874" s="14"/>
      <c r="AZ874" s="34"/>
      <c r="BA874" s="34"/>
      <c r="BB874" s="34"/>
      <c r="BC874" s="34"/>
    </row>
    <row r="875" spans="3:55" ht="12.95" customHeight="1">
      <c r="J875" s="45" t="s">
        <v>521</v>
      </c>
      <c r="K875" s="5"/>
      <c r="L875" s="5"/>
      <c r="M875" s="5"/>
      <c r="N875" s="5"/>
      <c r="O875" s="5"/>
      <c r="P875" s="5"/>
      <c r="Q875" s="5"/>
      <c r="R875" s="5"/>
      <c r="S875" s="5"/>
      <c r="T875" s="5"/>
      <c r="U875" s="5"/>
      <c r="V875" s="46"/>
      <c r="W875" s="1731">
        <f>37698+25228</f>
        <v>62926</v>
      </c>
      <c r="X875" s="1731"/>
      <c r="Y875" s="1731"/>
      <c r="Z875" s="1731"/>
      <c r="AA875" s="1731"/>
      <c r="AB875" s="1731"/>
      <c r="AC875" s="1731"/>
      <c r="AU875" s="4"/>
      <c r="AZ875" s="34"/>
      <c r="BA875" s="34"/>
      <c r="BB875" s="34"/>
      <c r="BC875" s="34"/>
    </row>
    <row r="876" spans="3:55" ht="12.95" customHeight="1">
      <c r="J876" s="45" t="s">
        <v>520</v>
      </c>
      <c r="K876" s="5"/>
      <c r="L876" s="5"/>
      <c r="M876" s="5"/>
      <c r="N876" s="5"/>
      <c r="O876" s="5"/>
      <c r="P876" s="5"/>
      <c r="Q876" s="5"/>
      <c r="R876" s="5"/>
      <c r="S876" s="5"/>
      <c r="T876" s="5"/>
      <c r="U876" s="5"/>
      <c r="V876" s="46"/>
      <c r="W876" s="1731">
        <v>38700</v>
      </c>
      <c r="X876" s="1731"/>
      <c r="Y876" s="1731"/>
      <c r="Z876" s="1731"/>
      <c r="AA876" s="1731"/>
      <c r="AB876" s="1731"/>
      <c r="AC876" s="1731"/>
      <c r="AU876" s="4"/>
      <c r="AZ876" s="34"/>
      <c r="BA876" s="34"/>
      <c r="BB876" s="34"/>
      <c r="BC876" s="34"/>
    </row>
    <row r="877" spans="3:55" ht="12.95" customHeight="1">
      <c r="J877" s="45" t="s">
        <v>519</v>
      </c>
      <c r="K877" s="5"/>
      <c r="L877" s="5"/>
      <c r="M877" s="5"/>
      <c r="N877" s="5"/>
      <c r="O877" s="5"/>
      <c r="P877" s="5"/>
      <c r="Q877" s="5"/>
      <c r="R877" s="5"/>
      <c r="S877" s="5"/>
      <c r="T877" s="5"/>
      <c r="U877" s="5"/>
      <c r="V877" s="46"/>
      <c r="W877" s="1731"/>
      <c r="X877" s="1731"/>
      <c r="Y877" s="1731"/>
      <c r="Z877" s="1731"/>
      <c r="AA877" s="1731"/>
      <c r="AB877" s="1731"/>
      <c r="AC877" s="1731"/>
      <c r="AU877" s="4"/>
      <c r="AZ877" s="34"/>
      <c r="BA877" s="34"/>
      <c r="BB877" s="34"/>
      <c r="BC877" s="34"/>
    </row>
    <row r="878" spans="3:55" ht="12.95" customHeight="1">
      <c r="J878" s="45" t="s">
        <v>518</v>
      </c>
      <c r="K878" s="5"/>
      <c r="L878" s="5"/>
      <c r="M878" s="5"/>
      <c r="N878" s="5"/>
      <c r="O878" s="5"/>
      <c r="P878" s="5"/>
      <c r="Q878" s="5"/>
      <c r="R878" s="5"/>
      <c r="S878" s="5"/>
      <c r="T878" s="5"/>
      <c r="U878" s="5"/>
      <c r="V878" s="46"/>
      <c r="W878" s="1731">
        <v>23800</v>
      </c>
      <c r="X878" s="1731"/>
      <c r="Y878" s="1731"/>
      <c r="Z878" s="1731"/>
      <c r="AA878" s="1731"/>
      <c r="AB878" s="1731"/>
      <c r="AC878" s="1731"/>
      <c r="AU878" s="4"/>
      <c r="AZ878" s="34"/>
      <c r="BA878" s="34"/>
      <c r="BB878" s="34"/>
      <c r="BC878" s="34"/>
    </row>
    <row r="879" spans="3:55" ht="12.95" customHeight="1">
      <c r="J879" s="45" t="s">
        <v>517</v>
      </c>
      <c r="K879" s="5"/>
      <c r="L879" s="5"/>
      <c r="M879" s="5"/>
      <c r="N879" s="5"/>
      <c r="O879" s="5"/>
      <c r="P879" s="5"/>
      <c r="Q879" s="5"/>
      <c r="R879" s="5"/>
      <c r="S879" s="5"/>
      <c r="T879" s="5"/>
      <c r="U879" s="5"/>
      <c r="V879" s="46"/>
      <c r="W879" s="1731"/>
      <c r="X879" s="1731"/>
      <c r="Y879" s="1731"/>
      <c r="Z879" s="1731"/>
      <c r="AA879" s="1731"/>
      <c r="AB879" s="1731"/>
      <c r="AC879" s="1731"/>
      <c r="AU879" s="4"/>
      <c r="AZ879" s="34"/>
      <c r="BA879" s="34"/>
      <c r="BB879" s="34"/>
      <c r="BC879" s="34"/>
    </row>
    <row r="880" spans="3:55" ht="12.95" customHeight="1">
      <c r="J880" s="45" t="s">
        <v>169</v>
      </c>
      <c r="K880" s="5"/>
      <c r="L880" s="5"/>
      <c r="M880" s="1911" t="s">
        <v>333</v>
      </c>
      <c r="N880" s="1912"/>
      <c r="O880" s="1912"/>
      <c r="P880" s="1912"/>
      <c r="Q880" s="1912"/>
      <c r="R880" s="1912"/>
      <c r="S880" s="1912"/>
      <c r="T880" s="1912"/>
      <c r="U880" s="1912"/>
      <c r="V880" s="1913"/>
      <c r="W880" s="1731"/>
      <c r="X880" s="1731"/>
      <c r="Y880" s="1731"/>
      <c r="Z880" s="1731"/>
      <c r="AA880" s="1731"/>
      <c r="AB880" s="1731"/>
      <c r="AC880" s="1731"/>
      <c r="AD880" s="531"/>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934">
        <f>SUM(W874:W880)</f>
        <v>125426</v>
      </c>
      <c r="X881" s="1934"/>
      <c r="Y881" s="1934"/>
      <c r="Z881" s="1934"/>
      <c r="AA881" s="1934"/>
      <c r="AB881" s="1934"/>
      <c r="AC881" s="193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1240</v>
      </c>
      <c r="J883" s="45" t="s">
        <v>169</v>
      </c>
      <c r="K883" s="5"/>
      <c r="L883" s="5"/>
      <c r="M883" s="1911" t="s">
        <v>2759</v>
      </c>
      <c r="N883" s="1912"/>
      <c r="O883" s="1912"/>
      <c r="P883" s="1912"/>
      <c r="Q883" s="1912"/>
      <c r="R883" s="1912"/>
      <c r="S883" s="1912"/>
      <c r="T883" s="1912"/>
      <c r="U883" s="1912"/>
      <c r="V883" s="1913"/>
      <c r="W883" s="1717">
        <v>3808</v>
      </c>
      <c r="X883" s="1718"/>
      <c r="Y883" s="1718"/>
      <c r="Z883" s="1718"/>
      <c r="AA883" s="1718"/>
      <c r="AB883" s="1718"/>
      <c r="AC883" s="1719"/>
      <c r="AD883" s="531"/>
      <c r="AV883" s="14"/>
      <c r="AW883" s="14"/>
      <c r="AX883" s="14"/>
      <c r="AY883" s="14"/>
      <c r="AZ883" s="34"/>
      <c r="BA883" s="34"/>
      <c r="BB883" s="34"/>
      <c r="BC883" s="34"/>
    </row>
    <row r="884" spans="3:55" ht="12.95" customHeight="1">
      <c r="C884" s="2" t="s">
        <v>1241</v>
      </c>
      <c r="J884" s="45" t="s">
        <v>169</v>
      </c>
      <c r="K884" s="5"/>
      <c r="L884" s="5"/>
      <c r="M884" s="1911" t="s">
        <v>333</v>
      </c>
      <c r="N884" s="1912"/>
      <c r="O884" s="1912"/>
      <c r="P884" s="1912"/>
      <c r="Q884" s="1912"/>
      <c r="R884" s="1912"/>
      <c r="S884" s="1912"/>
      <c r="T884" s="1912"/>
      <c r="U884" s="1912"/>
      <c r="V884" s="1913"/>
      <c r="W884" s="1717"/>
      <c r="X884" s="1718"/>
      <c r="Y884" s="1718"/>
      <c r="Z884" s="1718"/>
      <c r="AA884" s="1718"/>
      <c r="AB884" s="1718"/>
      <c r="AC884" s="1719"/>
      <c r="AD884" s="531"/>
      <c r="AV884" s="14"/>
      <c r="AW884" s="14"/>
      <c r="AX884" s="14"/>
      <c r="AY884" s="14"/>
      <c r="AZ884" s="34"/>
      <c r="BA884" s="34"/>
      <c r="BB884" s="34"/>
      <c r="BC884" s="34"/>
    </row>
    <row r="885" spans="3:55" ht="12.95" customHeight="1">
      <c r="J885" s="45" t="s">
        <v>169</v>
      </c>
      <c r="K885" s="5"/>
      <c r="L885" s="5"/>
      <c r="M885" s="1911" t="s">
        <v>333</v>
      </c>
      <c r="N885" s="1912"/>
      <c r="O885" s="1912"/>
      <c r="P885" s="1912"/>
      <c r="Q885" s="1912"/>
      <c r="R885" s="1912"/>
      <c r="S885" s="1912"/>
      <c r="T885" s="1912"/>
      <c r="U885" s="1912"/>
      <c r="V885" s="1913"/>
      <c r="W885" s="1717"/>
      <c r="X885" s="1718"/>
      <c r="Y885" s="1718"/>
      <c r="Z885" s="1718"/>
      <c r="AA885" s="1718"/>
      <c r="AB885" s="1718"/>
      <c r="AC885" s="1719"/>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911" t="s">
        <v>333</v>
      </c>
      <c r="N886" s="1912"/>
      <c r="O886" s="1912"/>
      <c r="P886" s="1912"/>
      <c r="Q886" s="1912"/>
      <c r="R886" s="1912"/>
      <c r="S886" s="1912"/>
      <c r="T886" s="1912"/>
      <c r="U886" s="1912"/>
      <c r="V886" s="1913"/>
      <c r="W886" s="1717"/>
      <c r="X886" s="1718"/>
      <c r="Y886" s="1718"/>
      <c r="Z886" s="1718"/>
      <c r="AA886" s="1718"/>
      <c r="AB886" s="1718"/>
      <c r="AC886" s="1719"/>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911" t="s">
        <v>333</v>
      </c>
      <c r="N887" s="1912"/>
      <c r="O887" s="1912"/>
      <c r="P887" s="1912"/>
      <c r="Q887" s="1912"/>
      <c r="R887" s="1912"/>
      <c r="S887" s="1912"/>
      <c r="T887" s="1912"/>
      <c r="U887" s="1912"/>
      <c r="V887" s="1913"/>
      <c r="W887" s="1717"/>
      <c r="X887" s="1718"/>
      <c r="Y887" s="1718"/>
      <c r="Z887" s="1718"/>
      <c r="AA887" s="1718"/>
      <c r="AB887" s="1718"/>
      <c r="AC887" s="171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770">
        <f>SUM(W883:W887)</f>
        <v>3808</v>
      </c>
      <c r="X888" s="1771"/>
      <c r="Y888" s="1771"/>
      <c r="Z888" s="1771"/>
      <c r="AA888" s="1771"/>
      <c r="AB888" s="1771"/>
      <c r="AC888" s="1772"/>
      <c r="AL888" s="14"/>
      <c r="AM888" s="14"/>
      <c r="AN888" s="14"/>
      <c r="AO888" s="14"/>
      <c r="AP888" s="14"/>
      <c r="AQ888" s="14"/>
      <c r="AR888" s="14"/>
      <c r="AS888" s="14"/>
      <c r="AT888" s="14"/>
      <c r="AV888" s="4"/>
      <c r="AW888" s="4"/>
      <c r="AX888" s="4"/>
      <c r="AY888" s="4"/>
      <c r="AZ888" s="34"/>
      <c r="BA888" s="34"/>
      <c r="BB888" s="34"/>
      <c r="BC888" s="34"/>
    </row>
    <row r="889" spans="3:55" ht="12.95" customHeight="1">
      <c r="E889" s="510"/>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1"/>
      <c r="J890" s="531"/>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0"/>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7" t="s">
        <v>276</v>
      </c>
      <c r="AC892" s="1771">
        <f>W855+W863+W870+W872+W881+W888+W857</f>
        <v>763815</v>
      </c>
      <c r="AD892" s="1771"/>
      <c r="AE892" s="1771"/>
      <c r="AF892" s="1771"/>
      <c r="AG892" s="1771"/>
      <c r="AH892" s="1772"/>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7" t="s">
        <v>510</v>
      </c>
      <c r="AC893" s="1972">
        <f>O805+O785+G761</f>
        <v>119</v>
      </c>
      <c r="AD893" s="1972"/>
      <c r="AE893" s="1972"/>
      <c r="AF893" s="1972"/>
      <c r="AG893" s="1972"/>
      <c r="AH893" s="1973"/>
      <c r="AL893" s="4"/>
      <c r="AM893" s="4"/>
      <c r="AN893" s="4"/>
      <c r="AO893" s="4"/>
      <c r="AP893" s="4"/>
      <c r="AQ893" s="4"/>
      <c r="AR893" s="4"/>
      <c r="AS893" s="4"/>
      <c r="AT893" s="4"/>
      <c r="AZ893" s="34"/>
      <c r="BA893" s="34"/>
      <c r="BB893" s="34"/>
      <c r="BC893" s="34"/>
    </row>
    <row r="894" spans="3:55" ht="12.95" customHeight="1">
      <c r="C894" s="41"/>
      <c r="D894" s="42"/>
      <c r="E894" s="1989" t="s">
        <v>32</v>
      </c>
      <c r="F894" s="1989"/>
      <c r="G894" s="1989"/>
      <c r="H894" s="1989"/>
      <c r="I894" s="1989"/>
      <c r="J894" s="1989"/>
      <c r="K894" s="1989"/>
      <c r="L894" s="1989"/>
      <c r="M894" s="1989"/>
      <c r="N894" s="1989"/>
      <c r="O894" s="1989"/>
      <c r="P894" s="1989"/>
      <c r="Q894" s="1989"/>
      <c r="R894" s="1989"/>
      <c r="S894" s="1989"/>
      <c r="T894" s="1989"/>
      <c r="U894" s="1989"/>
      <c r="V894" s="1989"/>
      <c r="W894" s="1989"/>
      <c r="X894" s="1989"/>
      <c r="Y894" s="1989"/>
      <c r="Z894" s="1989"/>
      <c r="AA894" s="1989"/>
      <c r="AB894" s="1990"/>
      <c r="AC894" s="1934">
        <f>IF(ISERROR((ROUNDDOWN(AC892/AC893,0))),0,(ROUNDDOWN(AC892/AC893,0)))</f>
        <v>6418</v>
      </c>
      <c r="AD894" s="1934"/>
      <c r="AE894" s="1934"/>
      <c r="AF894" s="1934"/>
      <c r="AG894" s="1934"/>
      <c r="AH894" s="193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974">
        <v>489776</v>
      </c>
      <c r="AD895" s="1975"/>
      <c r="AE895" s="1975"/>
      <c r="AF895" s="1975"/>
      <c r="AG895" s="1975"/>
      <c r="AH895" s="197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719"/>
      <c r="AD896" s="1731"/>
      <c r="AE896" s="1731"/>
      <c r="AF896" s="1731"/>
      <c r="AG896" s="1731"/>
      <c r="AH896" s="173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718">
        <v>28000</v>
      </c>
      <c r="AD897" s="1718"/>
      <c r="AE897" s="1718"/>
      <c r="AF897" s="1718"/>
      <c r="AG897" s="1718"/>
      <c r="AH897" s="1719"/>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718">
        <v>41650</v>
      </c>
      <c r="AD898" s="1718"/>
      <c r="AE898" s="1718"/>
      <c r="AF898" s="1718"/>
      <c r="AG898" s="1718"/>
      <c r="AH898" s="1719"/>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708">
        <v>7500</v>
      </c>
      <c r="AD899" s="1709"/>
      <c r="AE899" s="1709"/>
      <c r="AF899" s="1709"/>
      <c r="AG899" s="1709"/>
      <c r="AH899" s="1710"/>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718">
        <v>2380</v>
      </c>
      <c r="AD900" s="1718"/>
      <c r="AE900" s="1718"/>
      <c r="AF900" s="1718"/>
      <c r="AG900" s="1718"/>
      <c r="AH900" s="1719"/>
      <c r="AZ900" s="34"/>
      <c r="BA900" s="34"/>
      <c r="BB900" s="34"/>
      <c r="BC900" s="34"/>
    </row>
    <row r="901" spans="1:58" ht="12.95" hidden="1" customHeight="1">
      <c r="C901" s="1774" t="s">
        <v>2183</v>
      </c>
      <c r="D901" s="1775"/>
      <c r="E901" s="1775"/>
      <c r="F901" s="1775"/>
      <c r="G901" s="1775"/>
      <c r="H901" s="1775"/>
      <c r="I901" s="1775"/>
      <c r="J901" s="1775"/>
      <c r="K901" s="1775"/>
      <c r="L901" s="1775"/>
      <c r="M901" s="1775"/>
      <c r="N901" s="1775"/>
      <c r="O901" s="1775"/>
      <c r="P901" s="1775"/>
      <c r="Q901" s="1775"/>
      <c r="R901" s="1775"/>
      <c r="S901" s="1775"/>
      <c r="T901" s="1775"/>
      <c r="U901" s="1775"/>
      <c r="V901" s="1775"/>
      <c r="W901" s="1775"/>
      <c r="X901" s="1775"/>
      <c r="Y901" s="1775"/>
      <c r="Z901" s="1775"/>
      <c r="AA901" s="1775"/>
      <c r="AB901" s="1776"/>
      <c r="AC901" s="1718"/>
      <c r="AD901" s="1718"/>
      <c r="AE901" s="1718"/>
      <c r="AF901" s="1718"/>
      <c r="AG901" s="1718"/>
      <c r="AH901" s="171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718"/>
      <c r="AD902" s="1718"/>
      <c r="AE902" s="1718"/>
      <c r="AF902" s="1718"/>
      <c r="AG902" s="1718"/>
      <c r="AH902" s="1719"/>
      <c r="AZ902" s="34"/>
      <c r="BA902" s="34"/>
      <c r="BB902" s="34"/>
      <c r="BC902" s="34"/>
    </row>
    <row r="903" spans="1:58" ht="12.95" customHeight="1">
      <c r="C903" s="1930" t="s">
        <v>953</v>
      </c>
      <c r="D903" s="1931"/>
      <c r="E903" s="1931"/>
      <c r="F903" s="1931"/>
      <c r="G903" s="1931"/>
      <c r="H903" s="1931"/>
      <c r="I903" s="1931"/>
      <c r="J903" s="1931"/>
      <c r="K903" s="1931"/>
      <c r="L903" s="1931"/>
      <c r="M903" s="1931"/>
      <c r="N903" s="1931"/>
      <c r="O903" s="1931"/>
      <c r="P903" s="1931"/>
      <c r="Q903" s="1931"/>
      <c r="R903" s="1931"/>
      <c r="S903" s="1931"/>
      <c r="T903" s="1931"/>
      <c r="U903" s="1931"/>
      <c r="V903" s="1931"/>
      <c r="W903" s="1931"/>
      <c r="X903" s="1931"/>
      <c r="Y903" s="1931"/>
      <c r="Z903" s="1931"/>
      <c r="AA903" s="1931"/>
      <c r="AB903" s="1932"/>
      <c r="AC903" s="1731"/>
      <c r="AD903" s="1731"/>
      <c r="AE903" s="1731"/>
      <c r="AF903" s="1731"/>
      <c r="AG903" s="1731"/>
      <c r="AH903" s="1731"/>
      <c r="AZ903" s="34"/>
      <c r="BA903" s="34"/>
      <c r="BB903" s="34"/>
      <c r="BC903" s="34"/>
    </row>
    <row r="904" spans="1:58" ht="12.95" customHeight="1">
      <c r="C904" s="1930" t="s">
        <v>953</v>
      </c>
      <c r="D904" s="1931"/>
      <c r="E904" s="1931"/>
      <c r="F904" s="1931"/>
      <c r="G904" s="1931"/>
      <c r="H904" s="1931"/>
      <c r="I904" s="1931"/>
      <c r="J904" s="1931"/>
      <c r="K904" s="1931"/>
      <c r="L904" s="1931"/>
      <c r="M904" s="1931"/>
      <c r="N904" s="1931"/>
      <c r="O904" s="1931"/>
      <c r="P904" s="1931"/>
      <c r="Q904" s="1931"/>
      <c r="R904" s="1931"/>
      <c r="S904" s="1931"/>
      <c r="T904" s="1931"/>
      <c r="U904" s="1931"/>
      <c r="V904" s="1931"/>
      <c r="W904" s="1931"/>
      <c r="X904" s="1931"/>
      <c r="Y904" s="1931"/>
      <c r="Z904" s="1931"/>
      <c r="AA904" s="1931"/>
      <c r="AB904" s="1932"/>
      <c r="AC904" s="1731"/>
      <c r="AD904" s="1731"/>
      <c r="AE904" s="1731"/>
      <c r="AF904" s="1731"/>
      <c r="AG904" s="1731"/>
      <c r="AH904" s="1731"/>
      <c r="AU904" s="95"/>
      <c r="AZ904" s="34"/>
      <c r="BA904" s="34"/>
      <c r="BB904" s="34"/>
      <c r="BC904" s="34"/>
    </row>
    <row r="905" spans="1:58" ht="12.95" customHeight="1">
      <c r="E905" s="510"/>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1"/>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717"/>
      <c r="AA908" s="1718"/>
      <c r="AB908" s="1718"/>
      <c r="AC908" s="1718"/>
      <c r="AD908" s="1718"/>
      <c r="AE908" s="1719"/>
      <c r="AF908" s="531"/>
      <c r="AZ908" s="34"/>
      <c r="BB908" s="30"/>
      <c r="BC908" s="810"/>
      <c r="BD908" s="1926"/>
      <c r="BE908" s="1926"/>
      <c r="BF908" s="14"/>
    </row>
    <row r="909" spans="1:58" ht="12.95" customHeight="1">
      <c r="H909" s="121" t="s">
        <v>238</v>
      </c>
      <c r="I909" s="5"/>
      <c r="J909" s="5"/>
      <c r="K909" s="5"/>
      <c r="L909" s="5"/>
      <c r="M909" s="5"/>
      <c r="N909" s="5"/>
      <c r="O909" s="5"/>
      <c r="P909" s="5"/>
      <c r="Q909" s="5"/>
      <c r="R909" s="5"/>
      <c r="S909" s="5"/>
      <c r="T909" s="5"/>
      <c r="U909" s="5"/>
      <c r="V909" s="5"/>
      <c r="W909" s="5"/>
      <c r="X909" s="5"/>
      <c r="Y909" s="5"/>
      <c r="Z909" s="1717"/>
      <c r="AA909" s="1718"/>
      <c r="AB909" s="1718"/>
      <c r="AC909" s="1718"/>
      <c r="AD909" s="1718"/>
      <c r="AE909" s="1719"/>
      <c r="AZ909" s="34"/>
      <c r="BB909" s="30"/>
      <c r="BC909" s="810"/>
      <c r="BD909" s="1926"/>
      <c r="BE909" s="1926"/>
      <c r="BF909" s="14"/>
    </row>
    <row r="910" spans="1:58" ht="12.95" customHeight="1">
      <c r="H910" s="121" t="s">
        <v>239</v>
      </c>
      <c r="I910" s="5"/>
      <c r="J910" s="5"/>
      <c r="K910" s="5"/>
      <c r="L910" s="5"/>
      <c r="M910" s="5"/>
      <c r="N910" s="5"/>
      <c r="O910" s="5"/>
      <c r="P910" s="5"/>
      <c r="Q910" s="5"/>
      <c r="R910" s="5"/>
      <c r="S910" s="5"/>
      <c r="T910" s="5"/>
      <c r="U910" s="5"/>
      <c r="V910" s="5"/>
      <c r="W910" s="5"/>
      <c r="X910" s="5"/>
      <c r="Y910" s="5"/>
      <c r="Z910" s="1717"/>
      <c r="AA910" s="1718"/>
      <c r="AB910" s="1718"/>
      <c r="AC910" s="1718"/>
      <c r="AD910" s="1718"/>
      <c r="AE910" s="1719"/>
      <c r="AZ910" s="34"/>
      <c r="BB910" s="30"/>
      <c r="BC910" s="810"/>
      <c r="BD910" s="1379"/>
      <c r="BE910" s="137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770">
        <f>Z908-(Z909+Z910)</f>
        <v>0</v>
      </c>
      <c r="AA911" s="1771"/>
      <c r="AB911" s="1771"/>
      <c r="AC911" s="1771"/>
      <c r="AD911" s="1771"/>
      <c r="AE911" s="1772"/>
      <c r="AZ911" s="34"/>
      <c r="BB911" s="30"/>
      <c r="BC911" s="810"/>
      <c r="BD911" s="1379"/>
      <c r="BE911" s="1379"/>
      <c r="BF911" s="14"/>
    </row>
    <row r="912" spans="1:58" ht="12.95" customHeight="1">
      <c r="C912" s="510"/>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0"/>
      <c r="BD912" s="1379"/>
      <c r="BE912" s="137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0"/>
      <c r="BD913" s="1926"/>
      <c r="BE913" s="137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0"/>
      <c r="BD914" s="1979"/>
      <c r="BE914" s="1979"/>
      <c r="BF914" s="1979"/>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0"/>
      <c r="BD915" s="1949"/>
      <c r="BE915" s="1949"/>
      <c r="BF915" s="1949"/>
    </row>
    <row r="916" spans="1:58" ht="12.95" customHeight="1">
      <c r="C916" s="338"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0"/>
      <c r="BD916" s="1379"/>
      <c r="BE916" s="13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0"/>
      <c r="BD917" s="1926"/>
      <c r="BE917" s="1379"/>
      <c r="BF917" s="14"/>
    </row>
    <row r="918" spans="1:58" ht="12.95" customHeight="1">
      <c r="AZ918" s="34"/>
      <c r="BB918" s="30"/>
      <c r="BC918" s="810"/>
    </row>
    <row r="919" spans="1:58" ht="12.95" customHeight="1">
      <c r="A919" s="1744" t="s">
        <v>96</v>
      </c>
      <c r="B919" s="1744"/>
      <c r="C919" s="1744"/>
      <c r="D919" s="1744"/>
      <c r="E919" s="1744"/>
      <c r="F919" s="1744"/>
      <c r="G919" s="1744"/>
      <c r="H919" s="1744"/>
      <c r="I919" s="1744"/>
      <c r="J919" s="1744"/>
      <c r="K919" s="1744"/>
      <c r="L919" s="1744"/>
      <c r="M919" s="1744"/>
      <c r="N919" s="1744"/>
      <c r="O919" s="1744"/>
      <c r="P919" s="1744"/>
      <c r="Q919" s="1744"/>
      <c r="R919" s="1744"/>
      <c r="S919" s="1744"/>
      <c r="T919" s="1744"/>
      <c r="U919" s="1744"/>
      <c r="V919" s="1744"/>
      <c r="W919" s="1744"/>
      <c r="X919" s="1744"/>
      <c r="Y919" s="1744"/>
      <c r="Z919" s="1744"/>
      <c r="AA919" s="1744"/>
      <c r="AB919" s="1744"/>
      <c r="AC919" s="1744"/>
      <c r="AD919" s="1744"/>
      <c r="AE919" s="1744"/>
      <c r="AF919" s="1744"/>
      <c r="AG919" s="1744"/>
      <c r="AH919" s="1744"/>
      <c r="AI919" s="1744"/>
      <c r="AJ919" s="1744"/>
      <c r="AK919" s="1744"/>
      <c r="AL919" s="1744"/>
      <c r="AM919" s="1744"/>
      <c r="AN919" s="1744"/>
      <c r="AO919" s="1744"/>
      <c r="AP919" s="1744"/>
      <c r="AQ919" s="1744"/>
      <c r="AR919" s="1744"/>
      <c r="AS919" s="1744"/>
      <c r="AT919" s="1744"/>
      <c r="AZ919" s="34"/>
      <c r="BA919" s="34"/>
      <c r="BB919" s="30"/>
      <c r="BC919" s="30"/>
      <c r="BD919" s="1926"/>
      <c r="BE919" s="1379"/>
      <c r="BF919" s="905"/>
    </row>
    <row r="920" spans="1:58" ht="12.95" customHeight="1">
      <c r="A920" s="1744"/>
      <c r="B920" s="1744"/>
      <c r="C920" s="1744"/>
      <c r="D920" s="1744"/>
      <c r="E920" s="1744"/>
      <c r="F920" s="1744"/>
      <c r="G920" s="1744"/>
      <c r="H920" s="1744"/>
      <c r="I920" s="1744"/>
      <c r="J920" s="1744"/>
      <c r="K920" s="1744"/>
      <c r="L920" s="1744"/>
      <c r="M920" s="1744"/>
      <c r="N920" s="1744"/>
      <c r="O920" s="1744"/>
      <c r="P920" s="1744"/>
      <c r="Q920" s="1744"/>
      <c r="R920" s="1744"/>
      <c r="S920" s="1744"/>
      <c r="T920" s="1744"/>
      <c r="U920" s="1744"/>
      <c r="V920" s="1744"/>
      <c r="W920" s="1744"/>
      <c r="X920" s="1744"/>
      <c r="Y920" s="1744"/>
      <c r="Z920" s="1744"/>
      <c r="AA920" s="1744"/>
      <c r="AB920" s="1744"/>
      <c r="AC920" s="1744"/>
      <c r="AD920" s="1744"/>
      <c r="AE920" s="1744"/>
      <c r="AF920" s="1744"/>
      <c r="AG920" s="1744"/>
      <c r="AH920" s="1744"/>
      <c r="AI920" s="1744"/>
      <c r="AJ920" s="1744"/>
      <c r="AK920" s="1744"/>
      <c r="AL920" s="1744"/>
      <c r="AM920" s="1744"/>
      <c r="AN920" s="1744"/>
      <c r="AO920" s="1744"/>
      <c r="AP920" s="1744"/>
      <c r="AQ920" s="1744"/>
      <c r="AR920" s="1744"/>
      <c r="AS920" s="1744"/>
      <c r="AT920" s="1744"/>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976" t="s">
        <v>791</v>
      </c>
      <c r="G924" s="1977"/>
      <c r="H924" s="1977"/>
      <c r="I924" s="1977"/>
      <c r="J924" s="1977"/>
      <c r="K924" s="1977"/>
      <c r="L924" s="1977"/>
      <c r="M924" s="1977"/>
      <c r="N924" s="1977"/>
      <c r="O924" s="1977"/>
      <c r="P924" s="1977"/>
      <c r="Q924" s="1977"/>
      <c r="R924" s="1977"/>
      <c r="S924" s="1977"/>
      <c r="T924" s="1978"/>
      <c r="U924" s="1843" t="s">
        <v>31</v>
      </c>
      <c r="V924" s="1844"/>
      <c r="W924" s="1844"/>
      <c r="X924" s="1844"/>
      <c r="Y924" s="1844"/>
      <c r="Z924" s="1844"/>
      <c r="AA924" s="43"/>
      <c r="AB924" s="105"/>
      <c r="AC924" s="105"/>
      <c r="AD924" s="105"/>
      <c r="AE924" s="105"/>
      <c r="AF924" s="106"/>
      <c r="AZ924" s="34"/>
      <c r="BA924" s="34"/>
      <c r="BB924" s="34"/>
      <c r="BC924" s="34"/>
    </row>
    <row r="925" spans="1:58" ht="12.95" customHeight="1">
      <c r="B925" s="2"/>
      <c r="F925" s="1845" t="s">
        <v>817</v>
      </c>
      <c r="G925" s="1846"/>
      <c r="H925" s="1846"/>
      <c r="I925" s="1846"/>
      <c r="J925" s="1846"/>
      <c r="K925" s="1846"/>
      <c r="L925" s="1846"/>
      <c r="M925" s="1846"/>
      <c r="N925" s="1846"/>
      <c r="O925" s="1846"/>
      <c r="P925" s="1846"/>
      <c r="Q925" s="1846"/>
      <c r="R925" s="1846"/>
      <c r="S925" s="1846"/>
      <c r="T925" s="1891"/>
      <c r="U925" s="1845"/>
      <c r="V925" s="1846"/>
      <c r="W925" s="1846"/>
      <c r="X925" s="1846"/>
      <c r="Y925" s="1846"/>
      <c r="Z925" s="1846"/>
      <c r="AA925" s="44"/>
      <c r="AB925" s="4"/>
      <c r="AC925" s="4"/>
      <c r="AD925" s="4"/>
      <c r="AE925" s="4"/>
      <c r="AF925" s="107"/>
      <c r="AZ925" s="34"/>
      <c r="BA925" s="34"/>
      <c r="BB925" s="34"/>
      <c r="BC925" s="34"/>
    </row>
    <row r="926" spans="1:58" ht="12.95" customHeight="1">
      <c r="B926" s="2"/>
      <c r="F926" s="1847"/>
      <c r="G926" s="1848"/>
      <c r="H926" s="1848"/>
      <c r="I926" s="1848"/>
      <c r="J926" s="1848"/>
      <c r="K926" s="1848"/>
      <c r="L926" s="1848"/>
      <c r="M926" s="1848"/>
      <c r="N926" s="1848"/>
      <c r="O926" s="1848"/>
      <c r="P926" s="1848"/>
      <c r="Q926" s="1848"/>
      <c r="R926" s="1848"/>
      <c r="S926" s="1848"/>
      <c r="T926" s="1892"/>
      <c r="U926" s="1847"/>
      <c r="V926" s="1848"/>
      <c r="W926" s="1848"/>
      <c r="X926" s="1848"/>
      <c r="Y926" s="1848"/>
      <c r="Z926" s="1848"/>
      <c r="AA926" s="108"/>
      <c r="AB926" s="1730" t="s">
        <v>390</v>
      </c>
      <c r="AC926" s="1730"/>
      <c r="AD926" s="1730"/>
      <c r="AE926" s="1730"/>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39" t="s">
        <v>590</v>
      </c>
      <c r="V927" s="1640"/>
      <c r="W927" s="1640"/>
      <c r="X927" s="1640"/>
      <c r="Y927" s="1640"/>
      <c r="Z927" s="1641"/>
      <c r="AA927" s="1673">
        <f>AM562</f>
        <v>15120000</v>
      </c>
      <c r="AB927" s="1674"/>
      <c r="AC927" s="1674"/>
      <c r="AD927" s="1674"/>
      <c r="AE927" s="1674"/>
      <c r="AF927" s="1675"/>
      <c r="AG927" s="1186" t="str">
        <f>IF(NOT(AA927=AW927),"!","")</f>
        <v/>
      </c>
      <c r="AH927" s="3"/>
      <c r="AW927" s="1601">
        <f>SUMIF($M$562:$M$573,"Loan, Tax-Exempt",$AM$562:$AM$573)</f>
        <v>15120000</v>
      </c>
      <c r="AX927" s="1601"/>
      <c r="AY927" s="1601"/>
      <c r="AZ927" s="3" t="s">
        <v>2529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39" t="s">
        <v>590</v>
      </c>
      <c r="V928" s="1640"/>
      <c r="W928" s="1640"/>
      <c r="X928" s="1640"/>
      <c r="Y928" s="1640"/>
      <c r="Z928" s="1641"/>
      <c r="AA928" s="1673">
        <f>AM563</f>
        <v>24177571</v>
      </c>
      <c r="AB928" s="1674"/>
      <c r="AC928" s="1674"/>
      <c r="AD928" s="1674"/>
      <c r="AE928" s="1674"/>
      <c r="AF928" s="1675"/>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39" t="s">
        <v>590</v>
      </c>
      <c r="V929" s="1640"/>
      <c r="W929" s="1640"/>
      <c r="X929" s="1640"/>
      <c r="Y929" s="1640"/>
      <c r="Z929" s="1641"/>
      <c r="AA929" s="1673"/>
      <c r="AB929" s="1674"/>
      <c r="AC929" s="1674"/>
      <c r="AD929" s="1674"/>
      <c r="AE929" s="1674"/>
      <c r="AF929" s="1675"/>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39" t="s">
        <v>590</v>
      </c>
      <c r="V930" s="1640"/>
      <c r="W930" s="1640"/>
      <c r="X930" s="1640"/>
      <c r="Y930" s="1640"/>
      <c r="Z930" s="1641"/>
      <c r="AA930" s="1673"/>
      <c r="AB930" s="1674"/>
      <c r="AC930" s="1674"/>
      <c r="AD930" s="1674"/>
      <c r="AE930" s="1674"/>
      <c r="AF930" s="1675"/>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39" t="s">
        <v>590</v>
      </c>
      <c r="V931" s="1640"/>
      <c r="W931" s="1640"/>
      <c r="X931" s="1640"/>
      <c r="Y931" s="1640"/>
      <c r="Z931" s="1641"/>
      <c r="AA931" s="1673"/>
      <c r="AB931" s="1674"/>
      <c r="AC931" s="1674"/>
      <c r="AD931" s="1674"/>
      <c r="AE931" s="1674"/>
      <c r="AF931" s="1675"/>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39" t="s">
        <v>590</v>
      </c>
      <c r="V932" s="1640"/>
      <c r="W932" s="1640"/>
      <c r="X932" s="1640"/>
      <c r="Y932" s="1640"/>
      <c r="Z932" s="1641"/>
      <c r="AA932" s="1673"/>
      <c r="AB932" s="1674"/>
      <c r="AC932" s="1674"/>
      <c r="AD932" s="1674"/>
      <c r="AE932" s="1674"/>
      <c r="AF932" s="1675"/>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39" t="s">
        <v>590</v>
      </c>
      <c r="V933" s="1640"/>
      <c r="W933" s="1640"/>
      <c r="X933" s="1640"/>
      <c r="Y933" s="1640"/>
      <c r="Z933" s="1641"/>
      <c r="AA933" s="1673"/>
      <c r="AB933" s="1674"/>
      <c r="AC933" s="1674"/>
      <c r="AD933" s="1674"/>
      <c r="AE933" s="1674"/>
      <c r="AF933" s="1675"/>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39" t="s">
        <v>590</v>
      </c>
      <c r="V934" s="1640"/>
      <c r="W934" s="1640"/>
      <c r="X934" s="1640"/>
      <c r="Y934" s="1640"/>
      <c r="Z934" s="1641"/>
      <c r="AA934" s="1673"/>
      <c r="AB934" s="1674"/>
      <c r="AC934" s="1674"/>
      <c r="AD934" s="1674"/>
      <c r="AE934" s="1674"/>
      <c r="AF934" s="1675"/>
      <c r="AZ934" s="34"/>
      <c r="BA934" s="34"/>
      <c r="BB934" s="34"/>
      <c r="BC934" s="34"/>
    </row>
    <row r="935" spans="6:55" ht="12.95" customHeight="1">
      <c r="F935" s="1893" t="s">
        <v>2143</v>
      </c>
      <c r="G935" s="1894"/>
      <c r="H935" s="1894"/>
      <c r="I935" s="1894"/>
      <c r="J935" s="1894"/>
      <c r="K935" s="1894"/>
      <c r="L935" s="1894"/>
      <c r="M935" s="1894"/>
      <c r="N935" s="1894"/>
      <c r="O935" s="1894"/>
      <c r="P935" s="1894"/>
      <c r="Q935" s="1894"/>
      <c r="R935" s="1894"/>
      <c r="S935" s="1894"/>
      <c r="T935" s="1895"/>
      <c r="U935" s="1639" t="s">
        <v>590</v>
      </c>
      <c r="V935" s="1640"/>
      <c r="W935" s="1640"/>
      <c r="X935" s="1640"/>
      <c r="Y935" s="1640"/>
      <c r="Z935" s="1641"/>
      <c r="AA935" s="1673"/>
      <c r="AB935" s="1674"/>
      <c r="AC935" s="1674"/>
      <c r="AD935" s="1674"/>
      <c r="AE935" s="1674"/>
      <c r="AF935" s="1675"/>
      <c r="AZ935" s="34"/>
      <c r="BA935" s="34"/>
      <c r="BB935" s="34"/>
      <c r="BC935" s="34"/>
    </row>
    <row r="936" spans="6:55" ht="12.95" customHeight="1">
      <c r="F936" s="1893" t="s">
        <v>678</v>
      </c>
      <c r="G936" s="1894"/>
      <c r="H936" s="1894"/>
      <c r="I936" s="1894"/>
      <c r="J936" s="1894"/>
      <c r="K936" s="1894"/>
      <c r="L936" s="1894"/>
      <c r="M936" s="1894"/>
      <c r="N936" s="1894"/>
      <c r="O936" s="1894"/>
      <c r="P936" s="1894"/>
      <c r="Q936" s="1894"/>
      <c r="R936" s="1894"/>
      <c r="S936" s="1894"/>
      <c r="T936" s="1895"/>
      <c r="U936" s="1639" t="s">
        <v>590</v>
      </c>
      <c r="V936" s="1640"/>
      <c r="W936" s="1640"/>
      <c r="X936" s="1640"/>
      <c r="Y936" s="1640"/>
      <c r="Z936" s="1641"/>
      <c r="AA936" s="1673"/>
      <c r="AB936" s="1674"/>
      <c r="AC936" s="1674"/>
      <c r="AD936" s="1674"/>
      <c r="AE936" s="1674"/>
      <c r="AF936" s="1675"/>
      <c r="AU936" s="2"/>
      <c r="AZ936" s="34"/>
      <c r="BA936" s="34"/>
      <c r="BB936" s="34"/>
      <c r="BC936" s="34"/>
    </row>
    <row r="937" spans="6:55" ht="12.95" customHeight="1">
      <c r="F937" s="1893" t="s">
        <v>2144</v>
      </c>
      <c r="G937" s="1894"/>
      <c r="H937" s="1894"/>
      <c r="I937" s="1894"/>
      <c r="J937" s="1894"/>
      <c r="K937" s="1894"/>
      <c r="L937" s="1894"/>
      <c r="M937" s="1894"/>
      <c r="N937" s="1894"/>
      <c r="O937" s="1894"/>
      <c r="P937" s="1894"/>
      <c r="Q937" s="1894"/>
      <c r="R937" s="1894"/>
      <c r="S937" s="1894"/>
      <c r="T937" s="1895"/>
      <c r="U937" s="1639" t="s">
        <v>590</v>
      </c>
      <c r="V937" s="1640"/>
      <c r="W937" s="1640"/>
      <c r="X937" s="1640"/>
      <c r="Y937" s="1640"/>
      <c r="Z937" s="1641"/>
      <c r="AA937" s="1673"/>
      <c r="AB937" s="1674"/>
      <c r="AC937" s="1674"/>
      <c r="AD937" s="1674"/>
      <c r="AE937" s="1674"/>
      <c r="AF937" s="1675"/>
      <c r="AU937" s="2"/>
      <c r="AZ937" s="34"/>
      <c r="BA937" s="34"/>
      <c r="BB937" s="34"/>
      <c r="BC937" s="34"/>
    </row>
    <row r="938" spans="6:55" ht="12.95" customHeight="1">
      <c r="F938" s="1893" t="s">
        <v>2145</v>
      </c>
      <c r="G938" s="1894"/>
      <c r="H938" s="1894"/>
      <c r="I938" s="1894"/>
      <c r="J938" s="1894"/>
      <c r="K938" s="1894"/>
      <c r="L938" s="1894"/>
      <c r="M938" s="1894"/>
      <c r="N938" s="1894"/>
      <c r="O938" s="1894"/>
      <c r="P938" s="1894"/>
      <c r="Q938" s="1894"/>
      <c r="R938" s="1894"/>
      <c r="S938" s="1894"/>
      <c r="T938" s="1895"/>
      <c r="U938" s="1639" t="s">
        <v>590</v>
      </c>
      <c r="V938" s="1640"/>
      <c r="W938" s="1640"/>
      <c r="X938" s="1640"/>
      <c r="Y938" s="1640"/>
      <c r="Z938" s="1641"/>
      <c r="AA938" s="1673"/>
      <c r="AB938" s="1674"/>
      <c r="AC938" s="1674"/>
      <c r="AD938" s="1674"/>
      <c r="AE938" s="1674"/>
      <c r="AF938" s="1675"/>
      <c r="AU938" s="2"/>
      <c r="AZ938" s="34"/>
      <c r="BA938" s="34"/>
      <c r="BB938" s="34"/>
      <c r="BC938" s="34"/>
    </row>
    <row r="939" spans="6:55" ht="12.95" customHeight="1">
      <c r="F939" s="1893" t="s">
        <v>2146</v>
      </c>
      <c r="G939" s="1894"/>
      <c r="H939" s="1894"/>
      <c r="I939" s="1894"/>
      <c r="J939" s="1894"/>
      <c r="K939" s="1894"/>
      <c r="L939" s="1894"/>
      <c r="M939" s="1894"/>
      <c r="N939" s="1894"/>
      <c r="O939" s="1894"/>
      <c r="P939" s="1894"/>
      <c r="Q939" s="1894"/>
      <c r="R939" s="1894"/>
      <c r="S939" s="1894"/>
      <c r="T939" s="1895"/>
      <c r="U939" s="1639" t="s">
        <v>590</v>
      </c>
      <c r="V939" s="1640"/>
      <c r="W939" s="1640"/>
      <c r="X939" s="1640"/>
      <c r="Y939" s="1640"/>
      <c r="Z939" s="1641"/>
      <c r="AA939" s="1673"/>
      <c r="AB939" s="1674"/>
      <c r="AC939" s="1674"/>
      <c r="AD939" s="1674"/>
      <c r="AE939" s="1674"/>
      <c r="AF939" s="1675"/>
      <c r="AU939" s="2"/>
      <c r="AZ939" s="34"/>
      <c r="BA939" s="34"/>
      <c r="BB939" s="34"/>
      <c r="BC939" s="34"/>
    </row>
    <row r="940" spans="6:55" ht="12.95" customHeight="1">
      <c r="F940" s="1893" t="s">
        <v>2147</v>
      </c>
      <c r="G940" s="1894"/>
      <c r="H940" s="1894"/>
      <c r="I940" s="1894"/>
      <c r="J940" s="1894"/>
      <c r="K940" s="1894"/>
      <c r="L940" s="1894"/>
      <c r="M940" s="1894"/>
      <c r="N940" s="1894"/>
      <c r="O940" s="1894"/>
      <c r="P940" s="1894"/>
      <c r="Q940" s="1894"/>
      <c r="R940" s="1894"/>
      <c r="S940" s="1894"/>
      <c r="T940" s="1895"/>
      <c r="U940" s="1639" t="s">
        <v>590</v>
      </c>
      <c r="V940" s="1640"/>
      <c r="W940" s="1640"/>
      <c r="X940" s="1640"/>
      <c r="Y940" s="1640"/>
      <c r="Z940" s="1641"/>
      <c r="AA940" s="1673"/>
      <c r="AB940" s="1674"/>
      <c r="AC940" s="1674"/>
      <c r="AD940" s="1674"/>
      <c r="AE940" s="1674"/>
      <c r="AF940" s="1675"/>
      <c r="AU940" s="2"/>
      <c r="AZ940" s="34"/>
      <c r="BA940" s="34"/>
      <c r="BB940" s="34"/>
      <c r="BC940" s="34"/>
    </row>
    <row r="941" spans="6:55" ht="12.95" customHeight="1">
      <c r="F941" s="1893" t="s">
        <v>2148</v>
      </c>
      <c r="G941" s="1894"/>
      <c r="H941" s="1894"/>
      <c r="I941" s="1894"/>
      <c r="J941" s="1894"/>
      <c r="K941" s="1894"/>
      <c r="L941" s="1894"/>
      <c r="M941" s="1894"/>
      <c r="N941" s="1894"/>
      <c r="O941" s="1894"/>
      <c r="P941" s="1894"/>
      <c r="Q941" s="1894"/>
      <c r="R941" s="1894"/>
      <c r="S941" s="1894"/>
      <c r="T941" s="1895"/>
      <c r="U941" s="1639" t="s">
        <v>590</v>
      </c>
      <c r="V941" s="1640"/>
      <c r="W941" s="1640"/>
      <c r="X941" s="1640"/>
      <c r="Y941" s="1640"/>
      <c r="Z941" s="1641"/>
      <c r="AA941" s="1673"/>
      <c r="AB941" s="1674"/>
      <c r="AC941" s="1674"/>
      <c r="AD941" s="1674"/>
      <c r="AE941" s="1674"/>
      <c r="AF941" s="1675"/>
      <c r="AZ941" s="30"/>
      <c r="BA941" s="30"/>
    </row>
    <row r="942" spans="6:55" ht="12.95" customHeight="1">
      <c r="F942" s="178" t="s">
        <v>675</v>
      </c>
      <c r="G942" s="5"/>
      <c r="H942" s="5"/>
      <c r="I942" s="5"/>
      <c r="J942" s="5"/>
      <c r="K942" s="5"/>
      <c r="L942" s="5"/>
      <c r="M942" s="5"/>
      <c r="N942" s="5"/>
      <c r="O942" s="5"/>
      <c r="P942" s="5"/>
      <c r="Q942" s="5"/>
      <c r="R942" s="5"/>
      <c r="S942" s="5"/>
      <c r="T942" s="46"/>
      <c r="U942" s="1639" t="s">
        <v>590</v>
      </c>
      <c r="V942" s="1640"/>
      <c r="W942" s="1640"/>
      <c r="X942" s="1640"/>
      <c r="Y942" s="1640"/>
      <c r="Z942" s="1641"/>
      <c r="AA942" s="1673"/>
      <c r="AB942" s="1674"/>
      <c r="AC942" s="1674"/>
      <c r="AD942" s="1674"/>
      <c r="AE942" s="1674"/>
      <c r="AF942" s="1675"/>
    </row>
    <row r="943" spans="6:55" ht="12.95" customHeight="1">
      <c r="F943" s="121" t="s">
        <v>1274</v>
      </c>
      <c r="G943" s="5"/>
      <c r="H943" s="5"/>
      <c r="I943" s="5"/>
      <c r="J943" s="5"/>
      <c r="K943" s="5"/>
      <c r="L943" s="5"/>
      <c r="M943" s="5"/>
      <c r="N943" s="5"/>
      <c r="O943" s="5"/>
      <c r="P943" s="5"/>
      <c r="Q943" s="5"/>
      <c r="R943" s="5"/>
      <c r="S943" s="5"/>
      <c r="T943" s="46"/>
      <c r="U943" s="1639" t="s">
        <v>590</v>
      </c>
      <c r="V943" s="1640"/>
      <c r="W943" s="1640"/>
      <c r="X943" s="1640"/>
      <c r="Y943" s="1640"/>
      <c r="Z943" s="1641"/>
      <c r="AA943" s="1673"/>
      <c r="AB943" s="1674"/>
      <c r="AC943" s="1674"/>
      <c r="AD943" s="1674"/>
      <c r="AE943" s="1674"/>
      <c r="AF943" s="1675"/>
      <c r="AZ943" s="30"/>
      <c r="BA943" s="14"/>
    </row>
    <row r="944" spans="6:55" ht="12.95" customHeight="1">
      <c r="F944" s="66" t="s">
        <v>801</v>
      </c>
      <c r="G944" s="5"/>
      <c r="H944" s="5"/>
      <c r="I944" s="5"/>
      <c r="J944" s="5"/>
      <c r="K944" s="5"/>
      <c r="L944" s="5"/>
      <c r="M944" s="5"/>
      <c r="N944" s="5"/>
      <c r="O944" s="5"/>
      <c r="P944" s="5"/>
      <c r="Q944" s="5"/>
      <c r="R944" s="5"/>
      <c r="S944" s="5"/>
      <c r="T944" s="46"/>
      <c r="U944" s="1639" t="s">
        <v>590</v>
      </c>
      <c r="V944" s="1640"/>
      <c r="W944" s="1640"/>
      <c r="X944" s="1640"/>
      <c r="Y944" s="1640"/>
      <c r="Z944" s="1641"/>
      <c r="AA944" s="1673"/>
      <c r="AB944" s="1674"/>
      <c r="AC944" s="1674"/>
      <c r="AD944" s="1674"/>
      <c r="AE944" s="1674"/>
      <c r="AF944" s="1675"/>
      <c r="AZ944" s="30"/>
      <c r="BA944" s="14"/>
    </row>
    <row r="945" spans="6:55" ht="12.95" customHeight="1">
      <c r="F945" s="1915" t="s">
        <v>2152</v>
      </c>
      <c r="G945" s="1916"/>
      <c r="H945" s="1916"/>
      <c r="I945" s="1916"/>
      <c r="J945" s="1916"/>
      <c r="K945" s="1916"/>
      <c r="L945" s="1916"/>
      <c r="M945" s="1916"/>
      <c r="N945" s="1916"/>
      <c r="O945" s="1916"/>
      <c r="P945" s="1916"/>
      <c r="Q945" s="1916"/>
      <c r="R945" s="1916"/>
      <c r="S945" s="1916"/>
      <c r="T945" s="1917"/>
      <c r="U945" s="1639" t="s">
        <v>590</v>
      </c>
      <c r="V945" s="1640"/>
      <c r="W945" s="1640"/>
      <c r="X945" s="1640"/>
      <c r="Y945" s="1640"/>
      <c r="Z945" s="1641"/>
      <c r="AA945" s="1673"/>
      <c r="AB945" s="1674"/>
      <c r="AC945" s="1674"/>
      <c r="AD945" s="1674"/>
      <c r="AE945" s="1674"/>
      <c r="AF945" s="1675"/>
      <c r="AZ945" s="30"/>
      <c r="BA945" s="14"/>
    </row>
    <row r="946" spans="6:55" ht="12.95" customHeight="1">
      <c r="F946" s="1915" t="s">
        <v>2153</v>
      </c>
      <c r="G946" s="1916"/>
      <c r="H946" s="1916"/>
      <c r="I946" s="1916"/>
      <c r="J946" s="1916"/>
      <c r="K946" s="1916"/>
      <c r="L946" s="1916"/>
      <c r="M946" s="1916"/>
      <c r="N946" s="1916"/>
      <c r="O946" s="1916"/>
      <c r="P946" s="1916"/>
      <c r="Q946" s="1916"/>
      <c r="R946" s="1916"/>
      <c r="S946" s="1916"/>
      <c r="T946" s="1917"/>
      <c r="U946" s="1639" t="s">
        <v>590</v>
      </c>
      <c r="V946" s="1640"/>
      <c r="W946" s="1640"/>
      <c r="X946" s="1640"/>
      <c r="Y946" s="1640"/>
      <c r="Z946" s="1641"/>
      <c r="AA946" s="1673"/>
      <c r="AB946" s="1674"/>
      <c r="AC946" s="1674"/>
      <c r="AD946" s="1674"/>
      <c r="AE946" s="1674"/>
      <c r="AF946" s="1675"/>
      <c r="AZ946" s="30"/>
      <c r="BA946" s="30"/>
    </row>
    <row r="947" spans="6:55" ht="12.95" customHeight="1">
      <c r="F947" s="1893" t="s">
        <v>2149</v>
      </c>
      <c r="G947" s="1894"/>
      <c r="H947" s="1894"/>
      <c r="I947" s="1894"/>
      <c r="J947" s="1894"/>
      <c r="K947" s="1894"/>
      <c r="L947" s="1894"/>
      <c r="M947" s="1894"/>
      <c r="N947" s="1894"/>
      <c r="O947" s="1894"/>
      <c r="P947" s="1894"/>
      <c r="Q947" s="1894"/>
      <c r="R947" s="1894"/>
      <c r="S947" s="1894"/>
      <c r="T947" s="1895"/>
      <c r="U947" s="1639" t="s">
        <v>590</v>
      </c>
      <c r="V947" s="1640"/>
      <c r="W947" s="1640"/>
      <c r="X947" s="1640"/>
      <c r="Y947" s="1640"/>
      <c r="Z947" s="1641"/>
      <c r="AA947" s="1673"/>
      <c r="AB947" s="1674"/>
      <c r="AC947" s="1674"/>
      <c r="AD947" s="1674"/>
      <c r="AE947" s="1674"/>
      <c r="AF947" s="1675"/>
      <c r="AZ947" s="30"/>
      <c r="BA947" s="30"/>
    </row>
    <row r="948" spans="6:55" ht="12.95" customHeight="1">
      <c r="F948" s="1893" t="s">
        <v>2150</v>
      </c>
      <c r="G948" s="1894"/>
      <c r="H948" s="1894"/>
      <c r="I948" s="1894"/>
      <c r="J948" s="1894"/>
      <c r="K948" s="1894"/>
      <c r="L948" s="1894"/>
      <c r="M948" s="1894"/>
      <c r="N948" s="1894"/>
      <c r="O948" s="1894"/>
      <c r="P948" s="1894"/>
      <c r="Q948" s="1894"/>
      <c r="R948" s="1894"/>
      <c r="S948" s="1894"/>
      <c r="T948" s="1895"/>
      <c r="U948" s="1639" t="s">
        <v>590</v>
      </c>
      <c r="V948" s="1640"/>
      <c r="W948" s="1640"/>
      <c r="X948" s="1640"/>
      <c r="Y948" s="1640"/>
      <c r="Z948" s="1641"/>
      <c r="AA948" s="1673"/>
      <c r="AB948" s="1674"/>
      <c r="AC948" s="1674"/>
      <c r="AD948" s="1674"/>
      <c r="AE948" s="1674"/>
      <c r="AF948" s="1675"/>
      <c r="AZ948" s="30"/>
      <c r="BA948" s="30"/>
    </row>
    <row r="949" spans="6:55" ht="12.95" customHeight="1">
      <c r="F949" s="1893" t="s">
        <v>2151</v>
      </c>
      <c r="G949" s="1894"/>
      <c r="H949" s="1894"/>
      <c r="I949" s="1894"/>
      <c r="J949" s="1894"/>
      <c r="K949" s="1894"/>
      <c r="L949" s="1894"/>
      <c r="M949" s="1894"/>
      <c r="N949" s="1894"/>
      <c r="O949" s="1894"/>
      <c r="P949" s="1894"/>
      <c r="Q949" s="1894"/>
      <c r="R949" s="1894"/>
      <c r="S949" s="1894"/>
      <c r="T949" s="1895"/>
      <c r="U949" s="1639" t="s">
        <v>590</v>
      </c>
      <c r="V949" s="1640"/>
      <c r="W949" s="1640"/>
      <c r="X949" s="1640"/>
      <c r="Y949" s="1640"/>
      <c r="Z949" s="1641"/>
      <c r="AA949" s="1673"/>
      <c r="AB949" s="1674"/>
      <c r="AC949" s="1674"/>
      <c r="AD949" s="1674"/>
      <c r="AE949" s="1674"/>
      <c r="AF949" s="1675"/>
      <c r="AZ949" s="34"/>
      <c r="BA949" s="34"/>
      <c r="BB949" s="14"/>
      <c r="BC949" s="14"/>
    </row>
    <row r="950" spans="6:55" ht="12.95" customHeight="1">
      <c r="F950" s="121" t="s">
        <v>1258</v>
      </c>
      <c r="G950" s="5"/>
      <c r="H950" s="5"/>
      <c r="I950" s="5"/>
      <c r="J950" s="5"/>
      <c r="K950" s="5"/>
      <c r="L950" s="5"/>
      <c r="M950" s="5"/>
      <c r="N950" s="5"/>
      <c r="O950" s="5"/>
      <c r="P950" s="5"/>
      <c r="Q950" s="5"/>
      <c r="R950" s="5"/>
      <c r="S950" s="5"/>
      <c r="T950" s="46"/>
      <c r="U950" s="1639" t="s">
        <v>590</v>
      </c>
      <c r="V950" s="1640"/>
      <c r="W950" s="1640"/>
      <c r="X950" s="1640"/>
      <c r="Y950" s="1640"/>
      <c r="Z950" s="1641"/>
      <c r="AA950" s="1673"/>
      <c r="AB950" s="1674"/>
      <c r="AC950" s="1674"/>
      <c r="AD950" s="1674"/>
      <c r="AE950" s="1674"/>
      <c r="AF950" s="1675"/>
      <c r="AZ950" s="34"/>
      <c r="BA950" s="34"/>
      <c r="BB950" s="14"/>
      <c r="BC950" s="14"/>
    </row>
    <row r="951" spans="6:55" ht="12.95" customHeight="1">
      <c r="F951" s="1915" t="s">
        <v>2154</v>
      </c>
      <c r="G951" s="1916"/>
      <c r="H951" s="1916"/>
      <c r="I951" s="1916"/>
      <c r="J951" s="1916"/>
      <c r="K951" s="1916"/>
      <c r="L951" s="1916"/>
      <c r="M951" s="1916"/>
      <c r="N951" s="1916"/>
      <c r="O951" s="1916"/>
      <c r="P951" s="1916"/>
      <c r="Q951" s="1916"/>
      <c r="R951" s="1916"/>
      <c r="S951" s="1916"/>
      <c r="T951" s="1917"/>
      <c r="U951" s="1639" t="s">
        <v>590</v>
      </c>
      <c r="V951" s="1640"/>
      <c r="W951" s="1640"/>
      <c r="X951" s="1640"/>
      <c r="Y951" s="1640"/>
      <c r="Z951" s="1641"/>
      <c r="AA951" s="1673"/>
      <c r="AB951" s="1674"/>
      <c r="AC951" s="1674"/>
      <c r="AD951" s="1674"/>
      <c r="AE951" s="1674"/>
      <c r="AF951" s="1675"/>
      <c r="AZ951" s="34"/>
      <c r="BA951" s="34"/>
      <c r="BB951" s="34"/>
      <c r="BC951" s="34"/>
    </row>
    <row r="952" spans="6:55" ht="12.95" customHeight="1">
      <c r="F952" s="121" t="s">
        <v>1259</v>
      </c>
      <c r="G952" s="5"/>
      <c r="H952" s="5"/>
      <c r="I952" s="5"/>
      <c r="J952" s="5"/>
      <c r="K952" s="5"/>
      <c r="L952" s="5"/>
      <c r="M952" s="5"/>
      <c r="N952" s="5"/>
      <c r="O952" s="5"/>
      <c r="P952" s="5"/>
      <c r="Q952" s="5"/>
      <c r="R952" s="5"/>
      <c r="S952" s="5"/>
      <c r="T952" s="46"/>
      <c r="U952" s="1639" t="s">
        <v>590</v>
      </c>
      <c r="V952" s="1640"/>
      <c r="W952" s="1640"/>
      <c r="X952" s="1640"/>
      <c r="Y952" s="1640"/>
      <c r="Z952" s="1641"/>
      <c r="AA952" s="1673"/>
      <c r="AB952" s="1674"/>
      <c r="AC952" s="1674"/>
      <c r="AD952" s="1674"/>
      <c r="AE952" s="1674"/>
      <c r="AF952" s="1675"/>
      <c r="AZ952" s="34"/>
      <c r="BA952" s="34"/>
      <c r="BB952" s="34"/>
      <c r="BC952" s="34"/>
    </row>
    <row r="953" spans="6:55" ht="12.95" customHeight="1">
      <c r="F953" s="1915" t="s">
        <v>2155</v>
      </c>
      <c r="G953" s="1916"/>
      <c r="H953" s="1916"/>
      <c r="I953" s="1916"/>
      <c r="J953" s="1916"/>
      <c r="K953" s="1916"/>
      <c r="L953" s="1916"/>
      <c r="M953" s="1916"/>
      <c r="N953" s="1916"/>
      <c r="O953" s="1916"/>
      <c r="P953" s="1916"/>
      <c r="Q953" s="1916"/>
      <c r="R953" s="1916"/>
      <c r="S953" s="1916"/>
      <c r="T953" s="1917"/>
      <c r="U953" s="1639" t="s">
        <v>590</v>
      </c>
      <c r="V953" s="1640"/>
      <c r="W953" s="1640"/>
      <c r="X953" s="1640"/>
      <c r="Y953" s="1640"/>
      <c r="Z953" s="1641"/>
      <c r="AA953" s="1673"/>
      <c r="AB953" s="1674"/>
      <c r="AC953" s="1674"/>
      <c r="AD953" s="1674"/>
      <c r="AE953" s="1674"/>
      <c r="AF953" s="1675"/>
      <c r="AZ953" s="34"/>
      <c r="BA953" s="34"/>
      <c r="BB953" s="34"/>
      <c r="BC953" s="34"/>
    </row>
    <row r="954" spans="6:55" ht="12.95" customHeight="1">
      <c r="F954" s="45" t="s">
        <v>805</v>
      </c>
      <c r="G954" s="5"/>
      <c r="H954" s="5"/>
      <c r="I954" s="5"/>
      <c r="J954" s="5"/>
      <c r="K954" s="5"/>
      <c r="L954" s="5"/>
      <c r="M954" s="5"/>
      <c r="N954" s="5"/>
      <c r="O954" s="5"/>
      <c r="P954" s="1639" t="s">
        <v>668</v>
      </c>
      <c r="Q954" s="1640"/>
      <c r="R954" s="1640"/>
      <c r="S954" s="1640"/>
      <c r="T954" s="1641"/>
      <c r="U954" s="1639" t="s">
        <v>590</v>
      </c>
      <c r="V954" s="1640"/>
      <c r="W954" s="1640"/>
      <c r="X954" s="1640"/>
      <c r="Y954" s="1640"/>
      <c r="Z954" s="1641"/>
      <c r="AA954" s="1673"/>
      <c r="AB954" s="1674"/>
      <c r="AC954" s="1674"/>
      <c r="AD954" s="1674"/>
      <c r="AE954" s="1674"/>
      <c r="AF954" s="1675"/>
      <c r="AZ954" s="34"/>
      <c r="BA954" s="34"/>
      <c r="BB954" s="34"/>
      <c r="BC954" s="34"/>
    </row>
    <row r="955" spans="6:55" ht="12.95" customHeight="1">
      <c r="F955" s="1893" t="s">
        <v>2142</v>
      </c>
      <c r="G955" s="1894"/>
      <c r="H955" s="1895"/>
      <c r="I955" s="1911" t="s">
        <v>333</v>
      </c>
      <c r="J955" s="1912"/>
      <c r="K955" s="1912"/>
      <c r="L955" s="1912"/>
      <c r="M955" s="1912"/>
      <c r="N955" s="1912"/>
      <c r="O955" s="1912"/>
      <c r="P955" s="1912"/>
      <c r="Q955" s="1912"/>
      <c r="R955" s="1912"/>
      <c r="S955" s="1912"/>
      <c r="T955" s="1913"/>
      <c r="U955" s="1639" t="s">
        <v>590</v>
      </c>
      <c r="V955" s="1640"/>
      <c r="W955" s="1640"/>
      <c r="X955" s="1640"/>
      <c r="Y955" s="1640"/>
      <c r="Z955" s="1641"/>
      <c r="AA955" s="1673"/>
      <c r="AB955" s="1674"/>
      <c r="AC955" s="1674"/>
      <c r="AD955" s="1674"/>
      <c r="AE955" s="1674"/>
      <c r="AF955" s="1675"/>
      <c r="AZ955" s="34"/>
      <c r="BA955" s="34"/>
      <c r="BB955" s="34"/>
      <c r="BC955" s="34"/>
    </row>
    <row r="956" spans="6:55" ht="12.95" customHeight="1">
      <c r="F956" s="45" t="s">
        <v>86</v>
      </c>
      <c r="G956" s="48"/>
      <c r="H956" s="48"/>
      <c r="I956" s="1911" t="s">
        <v>333</v>
      </c>
      <c r="J956" s="1912"/>
      <c r="K956" s="1912"/>
      <c r="L956" s="1912"/>
      <c r="M956" s="1912"/>
      <c r="N956" s="1912"/>
      <c r="O956" s="1912"/>
      <c r="P956" s="1912"/>
      <c r="Q956" s="1912"/>
      <c r="R956" s="1912"/>
      <c r="S956" s="1912"/>
      <c r="T956" s="1913"/>
      <c r="U956" s="1639" t="s">
        <v>590</v>
      </c>
      <c r="V956" s="1640"/>
      <c r="W956" s="1640"/>
      <c r="X956" s="1640"/>
      <c r="Y956" s="1640"/>
      <c r="Z956" s="1641"/>
      <c r="AA956" s="1673"/>
      <c r="AB956" s="1674"/>
      <c r="AC956" s="1674"/>
      <c r="AD956" s="1674"/>
      <c r="AE956" s="1674"/>
      <c r="AF956" s="1675"/>
      <c r="AZ956" s="34"/>
      <c r="BA956" s="34"/>
      <c r="BB956" s="34"/>
      <c r="BC956" s="34"/>
    </row>
    <row r="957" spans="6:55" ht="12.95" customHeight="1">
      <c r="F957" s="45" t="s">
        <v>10</v>
      </c>
      <c r="G957" s="48"/>
      <c r="H957" s="48"/>
      <c r="I957" s="1874" t="s">
        <v>333</v>
      </c>
      <c r="J957" s="1875"/>
      <c r="K957" s="1875"/>
      <c r="L957" s="1875"/>
      <c r="M957" s="1875"/>
      <c r="N957" s="1875"/>
      <c r="O957" s="1875"/>
      <c r="P957" s="1875"/>
      <c r="Q957" s="1875"/>
      <c r="R957" s="1875"/>
      <c r="S957" s="1875"/>
      <c r="T957" s="1876"/>
      <c r="U957" s="1639" t="s">
        <v>590</v>
      </c>
      <c r="V957" s="1640"/>
      <c r="W957" s="1640"/>
      <c r="X957" s="1640"/>
      <c r="Y957" s="1640"/>
      <c r="Z957" s="1641"/>
      <c r="AA957" s="1673"/>
      <c r="AB957" s="1674"/>
      <c r="AC957" s="1674"/>
      <c r="AD957" s="1674"/>
      <c r="AE957" s="1674"/>
      <c r="AF957" s="1675"/>
      <c r="AV957" s="2"/>
      <c r="AW957" s="2"/>
      <c r="AX957" s="2"/>
      <c r="AY957" s="2"/>
      <c r="AZ957" s="34"/>
      <c r="BA957" s="34"/>
      <c r="BB957" s="34"/>
      <c r="BC957" s="34"/>
    </row>
    <row r="958" spans="6:55" ht="12.95" customHeight="1">
      <c r="F958" s="47" t="s">
        <v>169</v>
      </c>
      <c r="G958" s="48"/>
      <c r="H958" s="48"/>
      <c r="I958" s="1911" t="s">
        <v>2785</v>
      </c>
      <c r="J958" s="1875"/>
      <c r="K958" s="1875"/>
      <c r="L958" s="1875"/>
      <c r="M958" s="1875"/>
      <c r="N958" s="1875"/>
      <c r="O958" s="1875"/>
      <c r="P958" s="1875"/>
      <c r="Q958" s="1875"/>
      <c r="R958" s="1875"/>
      <c r="S958" s="1875"/>
      <c r="T958" s="1876"/>
      <c r="U958" s="1639" t="s">
        <v>590</v>
      </c>
      <c r="V958" s="1640"/>
      <c r="W958" s="1640"/>
      <c r="X958" s="1640"/>
      <c r="Y958" s="1640"/>
      <c r="Z958" s="1641"/>
      <c r="AA958" s="1673"/>
      <c r="AB958" s="1674"/>
      <c r="AC958" s="1674"/>
      <c r="AD958" s="1674"/>
      <c r="AE958" s="1674"/>
      <c r="AF958" s="1675"/>
      <c r="AU958" s="2"/>
      <c r="AZ958" s="34"/>
      <c r="BA958" s="34"/>
      <c r="BB958" s="34"/>
      <c r="BC958" s="34"/>
    </row>
    <row r="959" spans="6:55" ht="12.95" customHeight="1">
      <c r="F959" s="47" t="s">
        <v>169</v>
      </c>
      <c r="G959" s="48"/>
      <c r="H959" s="48"/>
      <c r="I959" s="1874" t="s">
        <v>333</v>
      </c>
      <c r="J959" s="1875"/>
      <c r="K959" s="1875"/>
      <c r="L959" s="1875"/>
      <c r="M959" s="1875"/>
      <c r="N959" s="1875"/>
      <c r="O959" s="1875"/>
      <c r="P959" s="1875"/>
      <c r="Q959" s="1875"/>
      <c r="R959" s="1875"/>
      <c r="S959" s="1875"/>
      <c r="T959" s="1876"/>
      <c r="U959" s="1639" t="s">
        <v>590</v>
      </c>
      <c r="V959" s="1640"/>
      <c r="W959" s="1640"/>
      <c r="X959" s="1640"/>
      <c r="Y959" s="1640"/>
      <c r="Z959" s="1641"/>
      <c r="AA959" s="1673"/>
      <c r="AB959" s="1674"/>
      <c r="AC959" s="1674"/>
      <c r="AD959" s="1674"/>
      <c r="AE959" s="1674"/>
      <c r="AF959" s="1675"/>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871"/>
      <c r="N964" s="1872"/>
      <c r="O964" s="1872"/>
      <c r="P964" s="1872"/>
      <c r="Q964" s="1872"/>
      <c r="R964" s="1872"/>
      <c r="S964" s="1873"/>
      <c r="U964" s="66" t="s">
        <v>11</v>
      </c>
      <c r="V964" s="5"/>
      <c r="W964" s="5"/>
      <c r="X964" s="5"/>
      <c r="Y964" s="5"/>
      <c r="Z964" s="5"/>
      <c r="AA964" s="5"/>
      <c r="AB964" s="5"/>
      <c r="AC964" s="5"/>
      <c r="AD964" s="46"/>
      <c r="AE964" s="1871"/>
      <c r="AF964" s="1872"/>
      <c r="AG964" s="1872"/>
      <c r="AH964" s="1872"/>
      <c r="AI964" s="1872"/>
      <c r="AJ964" s="1872"/>
      <c r="AK964" s="1873"/>
      <c r="AZ964" s="34"/>
      <c r="BA964" s="34"/>
      <c r="BB964" s="34"/>
      <c r="BC964" s="34"/>
    </row>
    <row r="965" spans="1:64" ht="12.95" customHeight="1">
      <c r="C965" s="66" t="s">
        <v>12</v>
      </c>
      <c r="D965" s="5"/>
      <c r="E965" s="5"/>
      <c r="F965" s="5"/>
      <c r="G965" s="5"/>
      <c r="H965" s="5"/>
      <c r="I965" s="5"/>
      <c r="J965" s="5"/>
      <c r="K965" s="5"/>
      <c r="L965" s="46"/>
      <c r="M965" s="1642"/>
      <c r="N965" s="1643"/>
      <c r="O965" s="1643"/>
      <c r="P965" s="1643"/>
      <c r="Q965" s="1643"/>
      <c r="R965" s="1643"/>
      <c r="S965" s="1644"/>
      <c r="U965" s="66" t="s">
        <v>12</v>
      </c>
      <c r="V965" s="5"/>
      <c r="W965" s="5"/>
      <c r="X965" s="5"/>
      <c r="Y965" s="5"/>
      <c r="Z965" s="5"/>
      <c r="AA965" s="5"/>
      <c r="AB965" s="5"/>
      <c r="AC965" s="5"/>
      <c r="AD965" s="46"/>
      <c r="AE965" s="1642"/>
      <c r="AF965" s="1643"/>
      <c r="AG965" s="1643"/>
      <c r="AH965" s="1643"/>
      <c r="AI965" s="1643"/>
      <c r="AJ965" s="1643"/>
      <c r="AK965" s="1644"/>
      <c r="AZ965" s="34"/>
      <c r="BA965" s="34"/>
      <c r="BB965" s="34"/>
      <c r="BC965" s="34"/>
    </row>
    <row r="966" spans="1:64" ht="12.95" customHeight="1">
      <c r="C966" s="66" t="s">
        <v>877</v>
      </c>
      <c r="D966" s="5"/>
      <c r="E966" s="5"/>
      <c r="J966" s="1645" t="s">
        <v>306</v>
      </c>
      <c r="K966" s="1646"/>
      <c r="L966" s="1646"/>
      <c r="M966" s="1646"/>
      <c r="N966" s="1646"/>
      <c r="O966" s="1646"/>
      <c r="P966" s="1646"/>
      <c r="Q966" s="1646"/>
      <c r="R966" s="1646"/>
      <c r="S966" s="1647"/>
      <c r="U966" s="66" t="s">
        <v>877</v>
      </c>
      <c r="V966" s="5"/>
      <c r="W966" s="5"/>
      <c r="AB966" s="1645" t="s">
        <v>306</v>
      </c>
      <c r="AC966" s="1646"/>
      <c r="AD966" s="1646"/>
      <c r="AE966" s="1646"/>
      <c r="AF966" s="1646"/>
      <c r="AG966" s="1646"/>
      <c r="AH966" s="1646"/>
      <c r="AI966" s="1646"/>
      <c r="AJ966" s="1646"/>
      <c r="AK966" s="1647"/>
      <c r="AZ966" s="34"/>
      <c r="BA966" s="34"/>
      <c r="BB966" s="34"/>
      <c r="BC966" s="34"/>
    </row>
    <row r="967" spans="1:64" ht="12.95" customHeight="1">
      <c r="C967" s="66" t="s">
        <v>13</v>
      </c>
      <c r="D967" s="5"/>
      <c r="E967" s="5"/>
      <c r="F967" s="5"/>
      <c r="G967" s="5"/>
      <c r="H967" s="5"/>
      <c r="I967" s="5"/>
      <c r="J967" s="5"/>
      <c r="K967" s="5"/>
      <c r="L967" s="46"/>
      <c r="M967" s="1925"/>
      <c r="N967" s="1889"/>
      <c r="O967" s="1889"/>
      <c r="P967" s="1889"/>
      <c r="Q967" s="1889"/>
      <c r="R967" s="1889"/>
      <c r="S967" s="1890"/>
      <c r="U967" s="66" t="s">
        <v>13</v>
      </c>
      <c r="V967" s="5"/>
      <c r="W967" s="5"/>
      <c r="X967" s="5"/>
      <c r="Y967" s="5"/>
      <c r="Z967" s="5"/>
      <c r="AA967" s="5"/>
      <c r="AB967" s="5"/>
      <c r="AC967" s="5"/>
      <c r="AD967" s="46"/>
      <c r="AE967" s="1888"/>
      <c r="AF967" s="1889"/>
      <c r="AG967" s="1889"/>
      <c r="AH967" s="1889"/>
      <c r="AI967" s="1889"/>
      <c r="AJ967" s="1889"/>
      <c r="AK967" s="1890"/>
      <c r="AZ967" s="34"/>
      <c r="BA967" s="34"/>
      <c r="BB967" s="34"/>
      <c r="BC967" s="34"/>
    </row>
    <row r="968" spans="1:64" ht="12.95" customHeight="1">
      <c r="C968" s="66" t="s">
        <v>14</v>
      </c>
      <c r="D968" s="5"/>
      <c r="E968" s="5"/>
      <c r="F968" s="5"/>
      <c r="G968" s="5"/>
      <c r="H968" s="5"/>
      <c r="I968" s="5"/>
      <c r="J968" s="5"/>
      <c r="K968" s="5"/>
      <c r="L968" s="46"/>
      <c r="M968" s="1896"/>
      <c r="N968" s="1897"/>
      <c r="O968" s="1897"/>
      <c r="P968" s="1897"/>
      <c r="Q968" s="1897"/>
      <c r="R968" s="1897"/>
      <c r="S968" s="1898"/>
      <c r="U968" s="66" t="s">
        <v>14</v>
      </c>
      <c r="V968" s="5"/>
      <c r="W968" s="5"/>
      <c r="X968" s="5"/>
      <c r="Y968" s="5"/>
      <c r="Z968" s="5"/>
      <c r="AA968" s="5"/>
      <c r="AB968" s="5"/>
      <c r="AC968" s="5"/>
      <c r="AD968" s="46"/>
      <c r="AE968" s="1896"/>
      <c r="AF968" s="1897"/>
      <c r="AG968" s="1897"/>
      <c r="AH968" s="1897"/>
      <c r="AI968" s="1897"/>
      <c r="AJ968" s="1897"/>
      <c r="AK968" s="1898"/>
      <c r="AV968" s="2"/>
      <c r="AW968" s="2"/>
      <c r="AX968" s="2"/>
      <c r="AY968" s="2"/>
      <c r="AZ968" s="34"/>
      <c r="BA968" s="34"/>
      <c r="BB968" s="34"/>
      <c r="BC968" s="34"/>
    </row>
    <row r="969" spans="1:64" ht="12.95" customHeight="1">
      <c r="C969" s="66" t="s">
        <v>15</v>
      </c>
      <c r="D969" s="5"/>
      <c r="E969" s="5"/>
      <c r="F969" s="5"/>
      <c r="G969" s="5"/>
      <c r="H969" s="5"/>
      <c r="I969" s="5"/>
      <c r="J969" s="5"/>
      <c r="K969" s="5"/>
      <c r="L969" s="46"/>
      <c r="M969" s="1673"/>
      <c r="N969" s="1674"/>
      <c r="O969" s="1674"/>
      <c r="P969" s="1674"/>
      <c r="Q969" s="1674"/>
      <c r="R969" s="1674"/>
      <c r="S969" s="1675"/>
      <c r="U969" s="66" t="s">
        <v>15</v>
      </c>
      <c r="V969" s="5"/>
      <c r="W969" s="5"/>
      <c r="X969" s="5"/>
      <c r="Y969" s="5"/>
      <c r="Z969" s="5"/>
      <c r="AA969" s="5"/>
      <c r="AB969" s="5"/>
      <c r="AC969" s="5"/>
      <c r="AD969" s="46"/>
      <c r="AE969" s="1673"/>
      <c r="AF969" s="1674"/>
      <c r="AG969" s="1674"/>
      <c r="AH969" s="1674"/>
      <c r="AI969" s="1674"/>
      <c r="AJ969" s="1674"/>
      <c r="AK969" s="1675"/>
      <c r="AV969" s="2"/>
      <c r="AW969" s="2"/>
      <c r="AX969" s="2"/>
      <c r="AY969" s="2"/>
      <c r="AZ969" s="34"/>
      <c r="BA969" s="34"/>
      <c r="BB969" s="34"/>
      <c r="BC969" s="34"/>
    </row>
    <row r="970" spans="1:64" ht="12.95" customHeight="1">
      <c r="C970" s="66" t="s">
        <v>16</v>
      </c>
      <c r="D970" s="5"/>
      <c r="E970" s="5"/>
      <c r="F970" s="5"/>
      <c r="G970" s="5"/>
      <c r="H970" s="5"/>
      <c r="I970" s="5"/>
      <c r="J970" s="5"/>
      <c r="K970" s="5"/>
      <c r="L970" s="46"/>
      <c r="M970" s="1673"/>
      <c r="N970" s="1674"/>
      <c r="O970" s="1674"/>
      <c r="P970" s="1674"/>
      <c r="Q970" s="1674"/>
      <c r="R970" s="1674"/>
      <c r="S970" s="1675"/>
      <c r="U970" s="66" t="s">
        <v>16</v>
      </c>
      <c r="V970" s="5"/>
      <c r="W970" s="5"/>
      <c r="X970" s="5"/>
      <c r="Y970" s="5"/>
      <c r="Z970" s="5"/>
      <c r="AA970" s="5"/>
      <c r="AB970" s="5"/>
      <c r="AC970" s="5"/>
      <c r="AD970" s="46"/>
      <c r="AE970" s="1673"/>
      <c r="AF970" s="1674"/>
      <c r="AG970" s="1674"/>
      <c r="AH970" s="1674"/>
      <c r="AI970" s="1674"/>
      <c r="AJ970" s="1674"/>
      <c r="AK970" s="1675"/>
      <c r="AV970" s="2"/>
      <c r="AW970" s="2"/>
      <c r="AX970" s="2"/>
      <c r="AY970" s="2"/>
      <c r="AZ970" s="34"/>
      <c r="BB970" s="34"/>
      <c r="BC970" s="34"/>
    </row>
    <row r="971" spans="1:64" ht="12.95" customHeight="1">
      <c r="C971" s="121" t="s">
        <v>1647</v>
      </c>
      <c r="D971" s="5"/>
      <c r="E971" s="5"/>
      <c r="F971" s="5"/>
      <c r="G971" s="5"/>
      <c r="H971" s="5"/>
      <c r="I971" s="5"/>
      <c r="J971" s="5"/>
      <c r="K971" s="5"/>
      <c r="L971" s="46"/>
      <c r="M971" s="1670"/>
      <c r="N971" s="1671"/>
      <c r="O971" s="1671"/>
      <c r="P971" s="1671"/>
      <c r="Q971" s="1671"/>
      <c r="R971" s="1671"/>
      <c r="S971" s="1672"/>
      <c r="U971" s="121" t="s">
        <v>1647</v>
      </c>
      <c r="V971" s="5"/>
      <c r="W971" s="5"/>
      <c r="X971" s="5"/>
      <c r="Y971" s="5"/>
      <c r="Z971" s="5"/>
      <c r="AA971" s="5"/>
      <c r="AB971" s="5"/>
      <c r="AC971" s="5"/>
      <c r="AD971" s="46"/>
      <c r="AE971" s="1670"/>
      <c r="AF971" s="1671"/>
      <c r="AG971" s="1671"/>
      <c r="AH971" s="1671"/>
      <c r="AI971" s="1671"/>
      <c r="AJ971" s="1671"/>
      <c r="AK971" s="167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03"/>
      <c r="N976" s="1604"/>
      <c r="O976" s="1604"/>
      <c r="P976" s="1604"/>
      <c r="Q976" s="1604"/>
      <c r="R976" s="1604"/>
      <c r="S976" s="1605"/>
      <c r="T976" s="66" t="s">
        <v>789</v>
      </c>
      <c r="U976" s="5"/>
      <c r="V976" s="5"/>
      <c r="W976" s="5"/>
      <c r="X976" s="5"/>
      <c r="Y976" s="5"/>
      <c r="Z976" s="46"/>
      <c r="AA976" s="1603"/>
      <c r="AB976" s="1604"/>
      <c r="AC976" s="1604"/>
      <c r="AD976" s="1604"/>
      <c r="AE976" s="1604"/>
      <c r="AF976" s="1604"/>
      <c r="AG976" s="160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03"/>
      <c r="N977" s="1604"/>
      <c r="O977" s="1604"/>
      <c r="P977" s="1604"/>
      <c r="Q977" s="1604"/>
      <c r="R977" s="1604"/>
      <c r="S977" s="1605"/>
      <c r="T977" s="66" t="s">
        <v>788</v>
      </c>
      <c r="U977" s="5"/>
      <c r="V977" s="5"/>
      <c r="W977" s="5"/>
      <c r="X977" s="5"/>
      <c r="Y977" s="5"/>
      <c r="Z977" s="46"/>
      <c r="AA977" s="1603"/>
      <c r="AB977" s="1604"/>
      <c r="AC977" s="1604"/>
      <c r="AD977" s="1604"/>
      <c r="AE977" s="1604"/>
      <c r="AF977" s="1604"/>
      <c r="AG977" s="160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898</v>
      </c>
      <c r="G978" s="5"/>
      <c r="H978" s="5"/>
      <c r="I978" s="5"/>
      <c r="J978" s="5"/>
      <c r="K978" s="5"/>
      <c r="L978" s="46"/>
      <c r="M978" s="1918" t="s">
        <v>590</v>
      </c>
      <c r="N978" s="1919"/>
      <c r="O978" s="1919"/>
      <c r="P978" s="1919"/>
      <c r="Q978" s="1919"/>
      <c r="R978" s="1919"/>
      <c r="S978" s="1920"/>
      <c r="T978" s="45" t="s">
        <v>336</v>
      </c>
      <c r="U978" s="5"/>
      <c r="V978" s="5"/>
      <c r="W978" s="5"/>
      <c r="X978" s="5"/>
      <c r="Y978" s="5"/>
      <c r="Z978" s="46"/>
      <c r="AA978" s="1603"/>
      <c r="AB978" s="1604"/>
      <c r="AC978" s="1604"/>
      <c r="AD978" s="1604"/>
      <c r="AE978" s="1604"/>
      <c r="AF978" s="1604"/>
      <c r="AG978" s="160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03"/>
      <c r="N979" s="1604"/>
      <c r="O979" s="1604"/>
      <c r="P979" s="1604"/>
      <c r="Q979" s="1604"/>
      <c r="R979" s="1604"/>
      <c r="S979" s="1605"/>
      <c r="T979" s="45" t="s">
        <v>337</v>
      </c>
      <c r="U979" s="5"/>
      <c r="V979" s="5"/>
      <c r="W979" s="5"/>
      <c r="X979" s="5"/>
      <c r="Y979" s="5"/>
      <c r="Z979" s="46"/>
      <c r="AA979" s="1603"/>
      <c r="AB979" s="1604"/>
      <c r="AC979" s="1604"/>
      <c r="AD979" s="1604"/>
      <c r="AE979" s="1604"/>
      <c r="AF979" s="1604"/>
      <c r="AG979" s="160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03"/>
      <c r="N980" s="1604"/>
      <c r="O980" s="1604"/>
      <c r="P980" s="1604"/>
      <c r="Q980" s="1604"/>
      <c r="R980" s="1604"/>
      <c r="S980" s="1605"/>
      <c r="T980" s="45" t="s">
        <v>375</v>
      </c>
      <c r="U980" s="5"/>
      <c r="V980" s="5"/>
      <c r="W980" s="5"/>
      <c r="X980" s="5"/>
      <c r="Y980" s="5"/>
      <c r="Z980" s="46"/>
      <c r="AA980" s="1603"/>
      <c r="AB980" s="1604"/>
      <c r="AC980" s="1604"/>
      <c r="AD980" s="1604"/>
      <c r="AE980" s="1604"/>
      <c r="AF980" s="1604"/>
      <c r="AG980" s="160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0" t="s">
        <v>877</v>
      </c>
      <c r="G981" s="42"/>
      <c r="H981" s="42"/>
      <c r="I981" s="42"/>
      <c r="J981" s="42"/>
      <c r="K981" s="42"/>
      <c r="L981" s="58"/>
      <c r="M981" s="1645" t="s">
        <v>306</v>
      </c>
      <c r="N981" s="1646"/>
      <c r="O981" s="1646"/>
      <c r="P981" s="1646"/>
      <c r="Q981" s="1646"/>
      <c r="R981" s="1646"/>
      <c r="S981" s="1647"/>
      <c r="T981" s="1649"/>
      <c r="U981" s="1650"/>
      <c r="V981" s="1650"/>
      <c r="W981" s="1650"/>
      <c r="X981" s="1650"/>
      <c r="Y981" s="1650"/>
      <c r="Z981" s="1651"/>
      <c r="AA981" s="1603"/>
      <c r="AB981" s="1604"/>
      <c r="AC981" s="1604"/>
      <c r="AD981" s="1604"/>
      <c r="AE981" s="1604"/>
      <c r="AF981" s="1604"/>
      <c r="AG981" s="160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03"/>
      <c r="N982" s="1604"/>
      <c r="O982" s="1604"/>
      <c r="P982" s="1604"/>
      <c r="Q982" s="1604"/>
      <c r="R982" s="1604"/>
      <c r="S982" s="1605"/>
      <c r="T982" s="1649"/>
      <c r="U982" s="1650"/>
      <c r="V982" s="1650"/>
      <c r="W982" s="1650"/>
      <c r="X982" s="1650"/>
      <c r="Y982" s="1650"/>
      <c r="Z982" s="1651"/>
      <c r="AA982" s="1603"/>
      <c r="AB982" s="1604"/>
      <c r="AC982" s="1604"/>
      <c r="AD982" s="1604"/>
      <c r="AE982" s="1604"/>
      <c r="AF982" s="1604"/>
      <c r="AG982" s="160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905" t="s">
        <v>668</v>
      </c>
      <c r="P983" s="1906"/>
      <c r="Q983" s="92"/>
      <c r="R983" s="92"/>
      <c r="S983" s="93"/>
      <c r="T983" s="41" t="s">
        <v>169</v>
      </c>
      <c r="U983" s="42"/>
      <c r="V983" s="42"/>
      <c r="W983" s="1820" t="s">
        <v>333</v>
      </c>
      <c r="X983" s="1821"/>
      <c r="Y983" s="1821"/>
      <c r="Z983" s="1821"/>
      <c r="AA983" s="1821"/>
      <c r="AB983" s="1821"/>
      <c r="AC983" s="1821"/>
      <c r="AD983" s="1821"/>
      <c r="AE983" s="1821"/>
      <c r="AF983" s="1821"/>
      <c r="AG983" s="1822"/>
      <c r="AU983" s="68"/>
      <c r="AV983" s="95"/>
      <c r="AW983" s="95"/>
      <c r="AX983" s="95"/>
      <c r="AY983" s="95"/>
      <c r="AZ983" s="34"/>
      <c r="BB983" s="34"/>
      <c r="BC983" s="34"/>
      <c r="BD983" s="34"/>
      <c r="BE983" s="34"/>
      <c r="BF983" s="34"/>
      <c r="BG983" s="34"/>
      <c r="BH983" s="34"/>
      <c r="BI983" s="34"/>
      <c r="BJ983" s="34"/>
      <c r="BK983" s="34"/>
      <c r="BL983" s="34"/>
    </row>
    <row r="984" spans="1:64" ht="12.95" customHeight="1">
      <c r="F984" s="1880" t="s">
        <v>33</v>
      </c>
      <c r="G984" s="1695"/>
      <c r="H984" s="1695"/>
      <c r="I984" s="1695"/>
      <c r="J984" s="1695"/>
      <c r="K984" s="1695"/>
      <c r="L984" s="1695"/>
      <c r="M984" s="1603"/>
      <c r="N984" s="1604"/>
      <c r="O984" s="1604"/>
      <c r="P984" s="1604"/>
      <c r="Q984" s="1604"/>
      <c r="R984" s="1604"/>
      <c r="S984" s="1605"/>
      <c r="T984" s="47"/>
      <c r="U984" s="48"/>
      <c r="V984" s="48"/>
      <c r="W984" s="48"/>
      <c r="X984" s="48"/>
      <c r="Y984" s="48"/>
      <c r="Z984" s="124" t="s">
        <v>134</v>
      </c>
      <c r="AA984" s="1849"/>
      <c r="AB984" s="1850"/>
      <c r="AC984" s="1850"/>
      <c r="AD984" s="1850"/>
      <c r="AE984" s="1850"/>
      <c r="AF984" s="1850"/>
      <c r="AG984" s="185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379"/>
      <c r="BH985" s="1379"/>
      <c r="BI985" s="1379"/>
      <c r="BJ985" s="1379"/>
      <c r="BK985" s="1379"/>
      <c r="BL985" s="1379"/>
    </row>
    <row r="986" spans="1:64" ht="12.95" customHeight="1">
      <c r="AU986" s="68"/>
      <c r="AV986" s="68"/>
      <c r="AW986" s="68"/>
      <c r="AX986" s="68"/>
      <c r="AY986" s="68"/>
      <c r="AZ986" s="14"/>
      <c r="BA986" s="14"/>
      <c r="BB986" s="906"/>
      <c r="BC986" s="906"/>
      <c r="BD986" s="14"/>
      <c r="BE986" s="14"/>
      <c r="BF986" s="14"/>
      <c r="BG986" s="14"/>
      <c r="BH986" s="14"/>
      <c r="BI986" s="14"/>
      <c r="BJ986" s="14"/>
      <c r="BK986" s="14"/>
      <c r="BL986" s="14"/>
    </row>
    <row r="987" spans="1:64" ht="12.95" customHeight="1">
      <c r="AU987" s="68"/>
      <c r="AV987" s="68"/>
      <c r="AW987" s="68"/>
      <c r="AX987" s="68"/>
      <c r="AY987" s="68"/>
      <c r="AZ987" s="14"/>
      <c r="BA987" s="14"/>
      <c r="BB987" s="906"/>
      <c r="BC987" s="906"/>
    </row>
    <row r="988" spans="1:64" ht="12.95" customHeight="1">
      <c r="A988" s="1744" t="s">
        <v>547</v>
      </c>
      <c r="B988" s="1744"/>
      <c r="C988" s="1744"/>
      <c r="D988" s="1744"/>
      <c r="E988" s="1744"/>
      <c r="F988" s="1744"/>
      <c r="G988" s="1744"/>
      <c r="H988" s="1744"/>
      <c r="I988" s="1744"/>
      <c r="J988" s="1744"/>
      <c r="K988" s="1744"/>
      <c r="L988" s="1744"/>
      <c r="M988" s="1744"/>
      <c r="N988" s="1744"/>
      <c r="O988" s="1744"/>
      <c r="P988" s="1744"/>
      <c r="Q988" s="1744"/>
      <c r="R988" s="1744"/>
      <c r="S988" s="1744"/>
      <c r="T988" s="1744"/>
      <c r="U988" s="1744"/>
      <c r="V988" s="1744"/>
      <c r="W988" s="1744"/>
      <c r="X988" s="1744"/>
      <c r="Y988" s="1744"/>
      <c r="Z988" s="1744"/>
      <c r="AA988" s="1744"/>
      <c r="AB988" s="1744"/>
      <c r="AC988" s="1744"/>
      <c r="AD988" s="1744"/>
      <c r="AE988" s="1744"/>
      <c r="AF988" s="1744"/>
      <c r="AG988" s="1744"/>
      <c r="AH988" s="1744"/>
      <c r="AI988" s="1744"/>
      <c r="AJ988" s="1744"/>
      <c r="AK988" s="1744"/>
      <c r="AL988" s="1744"/>
      <c r="AM988" s="1744"/>
      <c r="AN988" s="1744"/>
      <c r="AO988" s="1744"/>
      <c r="AP988" s="1744"/>
      <c r="AQ988" s="1744"/>
      <c r="AR988" s="1744"/>
      <c r="AS988" s="1744"/>
      <c r="AT988" s="1744"/>
      <c r="AU988" s="68"/>
      <c r="AV988" s="68"/>
      <c r="AW988" s="68"/>
      <c r="AX988" s="68"/>
      <c r="AY988" s="68"/>
      <c r="AZ988" s="14"/>
      <c r="BA988" s="14"/>
      <c r="BB988" s="906"/>
      <c r="BC988" s="906"/>
    </row>
    <row r="989" spans="1:64" ht="12.95" customHeight="1">
      <c r="A989" s="1744"/>
      <c r="B989" s="1744"/>
      <c r="C989" s="1744"/>
      <c r="D989" s="1744"/>
      <c r="E989" s="1744"/>
      <c r="F989" s="1744"/>
      <c r="G989" s="1744"/>
      <c r="H989" s="1744"/>
      <c r="I989" s="1744"/>
      <c r="J989" s="1744"/>
      <c r="K989" s="1744"/>
      <c r="L989" s="1744"/>
      <c r="M989" s="1744"/>
      <c r="N989" s="1744"/>
      <c r="O989" s="1744"/>
      <c r="P989" s="1744"/>
      <c r="Q989" s="1744"/>
      <c r="R989" s="1744"/>
      <c r="S989" s="1744"/>
      <c r="T989" s="1744"/>
      <c r="U989" s="1744"/>
      <c r="V989" s="1744"/>
      <c r="W989" s="1744"/>
      <c r="X989" s="1744"/>
      <c r="Y989" s="1744"/>
      <c r="Z989" s="1744"/>
      <c r="AA989" s="1744"/>
      <c r="AB989" s="1744"/>
      <c r="AC989" s="1744"/>
      <c r="AD989" s="1744"/>
      <c r="AE989" s="1744"/>
      <c r="AF989" s="1744"/>
      <c r="AG989" s="1744"/>
      <c r="AH989" s="1744"/>
      <c r="AI989" s="1744"/>
      <c r="AJ989" s="1744"/>
      <c r="AK989" s="1744"/>
      <c r="AL989" s="1744"/>
      <c r="AM989" s="1744"/>
      <c r="AN989" s="1744"/>
      <c r="AO989" s="1744"/>
      <c r="AP989" s="1744"/>
      <c r="AQ989" s="1744"/>
      <c r="AR989" s="1744"/>
      <c r="AS989" s="1744"/>
      <c r="AT989" s="1744"/>
      <c r="AU989" s="68"/>
      <c r="AV989" s="68"/>
      <c r="AW989" s="68"/>
      <c r="AX989" s="68"/>
      <c r="AY989" s="68"/>
      <c r="AZ989" s="30"/>
      <c r="BA989" s="14"/>
      <c r="BB989" s="14"/>
      <c r="BC989" s="14"/>
    </row>
    <row r="990" spans="1:64" ht="12.95" customHeight="1">
      <c r="A990" s="1744"/>
      <c r="B990" s="1744"/>
      <c r="C990" s="1744"/>
      <c r="D990" s="1744"/>
      <c r="E990" s="1744"/>
      <c r="F990" s="1744"/>
      <c r="G990" s="1744"/>
      <c r="H990" s="1744"/>
      <c r="I990" s="1744"/>
      <c r="J990" s="1744"/>
      <c r="K990" s="1744"/>
      <c r="L990" s="1744"/>
      <c r="M990" s="1744"/>
      <c r="N990" s="1744"/>
      <c r="O990" s="1744"/>
      <c r="P990" s="1744"/>
      <c r="Q990" s="1744"/>
      <c r="R990" s="1744"/>
      <c r="S990" s="1744"/>
      <c r="T990" s="1744"/>
      <c r="U990" s="1744"/>
      <c r="V990" s="1744"/>
      <c r="W990" s="1744"/>
      <c r="X990" s="1744"/>
      <c r="Y990" s="1744"/>
      <c r="Z990" s="1744"/>
      <c r="AA990" s="1744"/>
      <c r="AB990" s="1744"/>
      <c r="AC990" s="1744"/>
      <c r="AD990" s="1744"/>
      <c r="AE990" s="1744"/>
      <c r="AF990" s="1744"/>
      <c r="AG990" s="1744"/>
      <c r="AH990" s="1744"/>
      <c r="AI990" s="1744"/>
      <c r="AJ990" s="1744"/>
      <c r="AK990" s="1744"/>
      <c r="AL990" s="1744"/>
      <c r="AM990" s="1744"/>
      <c r="AN990" s="1744"/>
      <c r="AO990" s="1744"/>
      <c r="AP990" s="1744"/>
      <c r="AQ990" s="1744"/>
      <c r="AR990" s="1744"/>
      <c r="AS990" s="1744"/>
      <c r="AT990" s="1744"/>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2"/>
      <c r="D994" s="1816" t="s">
        <v>637</v>
      </c>
      <c r="E994" s="1817"/>
      <c r="F994" s="1817"/>
      <c r="G994" s="1817"/>
      <c r="H994" s="1817"/>
      <c r="I994" s="1817"/>
      <c r="J994" s="1817"/>
      <c r="K994" s="1817"/>
      <c r="L994" s="1817"/>
      <c r="M994" s="1817"/>
      <c r="N994" s="1817"/>
      <c r="O994" s="1817"/>
      <c r="P994" s="1817"/>
      <c r="Q994" s="1818"/>
      <c r="R994" s="1816" t="s">
        <v>638</v>
      </c>
      <c r="S994" s="1817"/>
      <c r="T994" s="1817"/>
      <c r="U994" s="1817"/>
      <c r="V994" s="1817"/>
      <c r="W994" s="1817"/>
      <c r="X994" s="1817"/>
      <c r="Y994" s="1817"/>
      <c r="Z994" s="1817"/>
      <c r="AA994" s="1818"/>
      <c r="AB994" s="1816" t="s">
        <v>639</v>
      </c>
      <c r="AC994" s="1817"/>
      <c r="AD994" s="1817"/>
      <c r="AE994" s="1817"/>
      <c r="AF994" s="1817"/>
      <c r="AG994" s="1817"/>
      <c r="AH994" s="1817"/>
      <c r="AI994" s="1818"/>
      <c r="AJ994" s="1816" t="s">
        <v>640</v>
      </c>
      <c r="AK994" s="1817"/>
      <c r="AL994" s="1817"/>
      <c r="AM994" s="1817"/>
      <c r="AN994" s="1817"/>
      <c r="AO994" s="1817"/>
      <c r="AP994" s="1817"/>
      <c r="AQ994" s="1818"/>
      <c r="AR994" s="68"/>
      <c r="AS994" s="68"/>
      <c r="AT994" s="68"/>
      <c r="AU994" s="68"/>
      <c r="AV994" s="68"/>
      <c r="AW994" s="68"/>
      <c r="AX994" s="68"/>
      <c r="AY994" s="68"/>
      <c r="AZ994" s="30"/>
      <c r="BB994" s="14"/>
      <c r="BC994" s="14"/>
    </row>
    <row r="995" spans="1:55" ht="12.95" customHeight="1">
      <c r="A995" s="14"/>
      <c r="B995" s="73"/>
      <c r="C995" s="923"/>
      <c r="D995" s="1835" t="s">
        <v>632</v>
      </c>
      <c r="E995" s="1836"/>
      <c r="F995" s="1836"/>
      <c r="G995" s="1836"/>
      <c r="H995" s="1836"/>
      <c r="I995" s="1836"/>
      <c r="J995" s="1836"/>
      <c r="K995" s="1836"/>
      <c r="L995" s="1836"/>
      <c r="M995" s="1836"/>
      <c r="N995" s="1836"/>
      <c r="O995" s="1836"/>
      <c r="P995" s="1836"/>
      <c r="Q995" s="1837"/>
      <c r="R995" s="1819">
        <f>IF(ISNA(IF($CU$122="4%",(INDEX($CS$160:$CW$217,MATCH($DG$122,$CR$160:$CR$217,0),MATCH(D995,$CS$159:$CW$159,0))),(INDEX($CZ$160:$DD$217,MATCH($DG$122,$CY$160:$CY$217,0),MATCH(D995,$CZ$159:$DD$159,0))))),0,IF($CU$122="4%",(INDEX($CS$160:$CW$217,MATCH($DG$122,$CR$160:$CR$217,0),MATCH(D995,$CS$159:$CW$159,0))),(INDEX($CZ$160:$DD$217,MATCH($DG$122,$CY$160:$CY$217,0),MATCH(D995,$CZ$159:$DD$159,0)))))</f>
        <v>360075</v>
      </c>
      <c r="S995" s="1819"/>
      <c r="T995" s="1819"/>
      <c r="U995" s="1819"/>
      <c r="V995" s="1819"/>
      <c r="W995" s="1819"/>
      <c r="X995" s="1819"/>
      <c r="Y995" s="1819"/>
      <c r="Z995" s="1819"/>
      <c r="AA995" s="1819"/>
      <c r="AB995" s="1838">
        <f>CP810</f>
        <v>0</v>
      </c>
      <c r="AC995" s="1839"/>
      <c r="AD995" s="1839"/>
      <c r="AE995" s="1839"/>
      <c r="AF995" s="1839"/>
      <c r="AG995" s="1839"/>
      <c r="AH995" s="1839"/>
      <c r="AI995" s="1840"/>
      <c r="AJ995" s="1654">
        <f>IF(ISERROR((R995*AB995)),0,(R995*AB995))</f>
        <v>0</v>
      </c>
      <c r="AK995" s="1655"/>
      <c r="AL995" s="1655"/>
      <c r="AM995" s="1655"/>
      <c r="AN995" s="1655"/>
      <c r="AO995" s="1655"/>
      <c r="AP995" s="1655"/>
      <c r="AQ995" s="1656"/>
      <c r="AR995" s="68"/>
      <c r="AS995" s="68"/>
      <c r="AT995" s="68"/>
      <c r="AU995" s="68"/>
      <c r="AV995" s="68"/>
      <c r="AW995" s="68"/>
      <c r="AX995" s="68"/>
      <c r="AY995" s="68"/>
      <c r="AZ995" s="30"/>
      <c r="BB995" s="14"/>
      <c r="BC995" s="14"/>
    </row>
    <row r="996" spans="1:55" ht="12.95" customHeight="1">
      <c r="A996" s="14"/>
      <c r="B996" s="73"/>
      <c r="C996" s="83"/>
      <c r="D996" s="1835" t="s">
        <v>324</v>
      </c>
      <c r="E996" s="1836"/>
      <c r="F996" s="1836"/>
      <c r="G996" s="1836"/>
      <c r="H996" s="1836"/>
      <c r="I996" s="1836"/>
      <c r="J996" s="1836"/>
      <c r="K996" s="1836"/>
      <c r="L996" s="1836"/>
      <c r="M996" s="1836"/>
      <c r="N996" s="1836"/>
      <c r="O996" s="1836"/>
      <c r="P996" s="1836"/>
      <c r="Q996" s="1837"/>
      <c r="R996" s="1819">
        <f>IF(ISNA(IF($CU$122="4%",(INDEX($CS$160:$CW$217,MATCH($DG$122,$CR$160:$CR$217,0),MATCH(D996,$CS$159:$CW$159,0))),(INDEX($CZ$160:$DD$217,MATCH($DG$122,$CY$160:$CY$217,0),MATCH(D996,$CZ$159:$DD$159,0))))),0,IF($CU$122="4%",(INDEX($CS$160:$CW$217,MATCH($DG$122,$CR$160:$CR$217,0),MATCH(D996,$CS$159:$CW$159,0))),(INDEX($CZ$160:$DD$217,MATCH($DG$122,$CY$160:$CY$217,0),MATCH(D996,$CZ$159:$DD$159,0)))))</f>
        <v>415163</v>
      </c>
      <c r="S996" s="1819"/>
      <c r="T996" s="1819"/>
      <c r="U996" s="1819"/>
      <c r="V996" s="1819"/>
      <c r="W996" s="1819"/>
      <c r="X996" s="1819"/>
      <c r="Y996" s="1819"/>
      <c r="Z996" s="1819"/>
      <c r="AA996" s="1819"/>
      <c r="AB996" s="1838">
        <f>CU810</f>
        <v>56</v>
      </c>
      <c r="AC996" s="1839"/>
      <c r="AD996" s="1839"/>
      <c r="AE996" s="1839"/>
      <c r="AF996" s="1839"/>
      <c r="AG996" s="1839"/>
      <c r="AH996" s="1839"/>
      <c r="AI996" s="1840"/>
      <c r="AJ996" s="1654">
        <f>IF(ISERROR((R996*AB996)),0,(R996*AB996))</f>
        <v>23249128</v>
      </c>
      <c r="AK996" s="1655"/>
      <c r="AL996" s="1655"/>
      <c r="AM996" s="1655"/>
      <c r="AN996" s="1655"/>
      <c r="AO996" s="1655"/>
      <c r="AP996" s="1655"/>
      <c r="AQ996" s="1656"/>
      <c r="AR996" s="68"/>
      <c r="AS996" s="68"/>
      <c r="AT996" s="68"/>
      <c r="AU996" s="68"/>
      <c r="AV996" s="68"/>
      <c r="AW996" s="68"/>
      <c r="AX996" s="68"/>
      <c r="AY996" s="68"/>
      <c r="AZ996" s="30"/>
      <c r="BB996" s="14"/>
      <c r="BC996" s="14"/>
    </row>
    <row r="997" spans="1:55" ht="12.95" customHeight="1">
      <c r="A997" s="14"/>
      <c r="B997" s="73"/>
      <c r="C997" s="83"/>
      <c r="D997" s="1835" t="s">
        <v>163</v>
      </c>
      <c r="E997" s="1836"/>
      <c r="F997" s="1836"/>
      <c r="G997" s="1836"/>
      <c r="H997" s="1836"/>
      <c r="I997" s="1836"/>
      <c r="J997" s="1836"/>
      <c r="K997" s="1836"/>
      <c r="L997" s="1836"/>
      <c r="M997" s="1836"/>
      <c r="N997" s="1836"/>
      <c r="O997" s="1836"/>
      <c r="P997" s="1836"/>
      <c r="Q997" s="1837"/>
      <c r="R997" s="1819">
        <f>IF(ISNA(IF($CU$122="4%",(INDEX($CS$160:$CW$217,MATCH($DG$122,$CR$160:$CR$217,0),MATCH(D997,$CS$159:$CW$159,0))),(INDEX($CZ$160:$DD$217,MATCH($DG$122,$CY$160:$CY$217,0),MATCH(D997,$CZ$159:$DD$159,0))))),0,IF($CU$122="4%",(INDEX($CS$160:$CW$217,MATCH($DG$122,$CR$160:$CR$217,0),MATCH(D997,$CS$159:$CW$159,0))),(INDEX($CZ$160:$DD$217,MATCH($DG$122,$CY$160:$CY$217,0),MATCH(D997,$CZ$159:$DD$159,0)))))</f>
        <v>500800</v>
      </c>
      <c r="S997" s="1819"/>
      <c r="T997" s="1819"/>
      <c r="U997" s="1819"/>
      <c r="V997" s="1819"/>
      <c r="W997" s="1819"/>
      <c r="X997" s="1819"/>
      <c r="Y997" s="1819"/>
      <c r="Z997" s="1819"/>
      <c r="AA997" s="1819"/>
      <c r="AB997" s="1838">
        <f>CZ810</f>
        <v>30</v>
      </c>
      <c r="AC997" s="1839"/>
      <c r="AD997" s="1839"/>
      <c r="AE997" s="1839"/>
      <c r="AF997" s="1839"/>
      <c r="AG997" s="1839"/>
      <c r="AH997" s="1839"/>
      <c r="AI997" s="1840"/>
      <c r="AJ997" s="1654">
        <f>IF(ISERROR((R997*AB997)),0,(R997*AB997))</f>
        <v>15024000</v>
      </c>
      <c r="AK997" s="1655"/>
      <c r="AL997" s="1655"/>
      <c r="AM997" s="1655"/>
      <c r="AN997" s="1655"/>
      <c r="AO997" s="1655"/>
      <c r="AP997" s="1655"/>
      <c r="AQ997" s="1656"/>
      <c r="AR997" s="68"/>
      <c r="AS997" s="68"/>
      <c r="AT997" s="68"/>
      <c r="AU997" s="68"/>
      <c r="AV997" s="68"/>
      <c r="AW997" s="68"/>
      <c r="AX997" s="68"/>
      <c r="AY997" s="68"/>
      <c r="AZ997" s="30"/>
      <c r="BB997" s="14"/>
      <c r="BC997" s="14"/>
    </row>
    <row r="998" spans="1:55" ht="12.95" customHeight="1">
      <c r="A998" s="14"/>
      <c r="B998" s="73"/>
      <c r="C998" s="83"/>
      <c r="D998" s="1835" t="s">
        <v>164</v>
      </c>
      <c r="E998" s="1836"/>
      <c r="F998" s="1836"/>
      <c r="G998" s="1836"/>
      <c r="H998" s="1836"/>
      <c r="I998" s="1836"/>
      <c r="J998" s="1836"/>
      <c r="K998" s="1836"/>
      <c r="L998" s="1836"/>
      <c r="M998" s="1836"/>
      <c r="N998" s="1836"/>
      <c r="O998" s="1836"/>
      <c r="P998" s="1836"/>
      <c r="Q998" s="1837"/>
      <c r="R998" s="1819">
        <f>IF(ISNA(IF($CU$122="4%",(INDEX($CS$160:$CW$217,MATCH($DG$122,$CR$160:$CR$217,0),MATCH(D998,$CS$159:$CW$159,0))),(INDEX($CZ$160:$DD$217,MATCH($DG$122,$CY$160:$CY$217,0),MATCH(D998,$CZ$159:$DD$159,0))))),0,IF($CU$122="4%",(INDEX($CS$160:$CW$217,MATCH($DG$122,$CR$160:$CR$217,0),MATCH(D998,$CS$159:$CW$159,0))),(INDEX($CZ$160:$DD$217,MATCH($DG$122,$CY$160:$CY$217,0),MATCH(D998,$CZ$159:$DD$159,0)))))</f>
        <v>641024</v>
      </c>
      <c r="S998" s="1819"/>
      <c r="T998" s="1819"/>
      <c r="U998" s="1819"/>
      <c r="V998" s="1819"/>
      <c r="W998" s="1819"/>
      <c r="X998" s="1819"/>
      <c r="Y998" s="1819"/>
      <c r="Z998" s="1819"/>
      <c r="AA998" s="1819"/>
      <c r="AB998" s="1838">
        <f>DE810</f>
        <v>33</v>
      </c>
      <c r="AC998" s="1839"/>
      <c r="AD998" s="1839"/>
      <c r="AE998" s="1839"/>
      <c r="AF998" s="1839"/>
      <c r="AG998" s="1839"/>
      <c r="AH998" s="1839"/>
      <c r="AI998" s="1840"/>
      <c r="AJ998" s="1654">
        <f>IF(ISERROR((R998*AB998)),0,(R998*AB998))</f>
        <v>21153792</v>
      </c>
      <c r="AK998" s="1655"/>
      <c r="AL998" s="1655"/>
      <c r="AM998" s="1655"/>
      <c r="AN998" s="1655"/>
      <c r="AO998" s="1655"/>
      <c r="AP998" s="1655"/>
      <c r="AQ998" s="1656"/>
      <c r="AR998" s="68"/>
      <c r="AS998" s="68"/>
      <c r="AT998" s="68"/>
      <c r="AU998" s="68"/>
      <c r="AV998" s="68"/>
      <c r="AW998" s="68"/>
      <c r="AX998" s="68"/>
      <c r="AY998" s="68"/>
      <c r="AZ998" s="30"/>
      <c r="BA998" s="34"/>
      <c r="BB998" s="14"/>
      <c r="BC998" s="14"/>
    </row>
    <row r="999" spans="1:55" ht="12.95" customHeight="1">
      <c r="A999" s="14"/>
      <c r="B999" s="47"/>
      <c r="C999" s="78"/>
      <c r="D999" s="1835" t="s">
        <v>459</v>
      </c>
      <c r="E999" s="1836"/>
      <c r="F999" s="1836"/>
      <c r="G999" s="1836"/>
      <c r="H999" s="1836"/>
      <c r="I999" s="1836"/>
      <c r="J999" s="1836"/>
      <c r="K999" s="1836"/>
      <c r="L999" s="1836"/>
      <c r="M999" s="1836"/>
      <c r="N999" s="1836"/>
      <c r="O999" s="1836"/>
      <c r="P999" s="1836"/>
      <c r="Q999" s="1837"/>
      <c r="R999" s="1819">
        <f>IF(ISNA(IF($CU$122="4%",(INDEX($CS$160:$CW$217,MATCH($DG$122,$CR$160:$CR$217,0),MATCH(D999,$CS$159:$CW$159,0))),(INDEX($CZ$160:$DD$217,MATCH($DG$122,$CY$160:$CY$217,0),MATCH(D999,$CZ$159:$DD$159,0))))),0,IF($CU$122="4%",(INDEX($CS$160:$CW$217,MATCH($DG$122,$CR$160:$CR$217,0),MATCH(D999,$CS$159:$CW$159,0))),(INDEX($CZ$160:$DD$217,MATCH($DG$122,$CY$160:$CY$217,0),MATCH(D999,$CZ$159:$DD$159,0)))))</f>
        <v>714141</v>
      </c>
      <c r="S999" s="1819"/>
      <c r="T999" s="1819"/>
      <c r="U999" s="1819"/>
      <c r="V999" s="1819"/>
      <c r="W999" s="1819"/>
      <c r="X999" s="1819"/>
      <c r="Y999" s="1819"/>
      <c r="Z999" s="1819"/>
      <c r="AA999" s="1819"/>
      <c r="AB999" s="1838">
        <f>DO810+DJ810</f>
        <v>0</v>
      </c>
      <c r="AC999" s="1839"/>
      <c r="AD999" s="1839"/>
      <c r="AE999" s="1839"/>
      <c r="AF999" s="1839"/>
      <c r="AG999" s="1839"/>
      <c r="AH999" s="1839"/>
      <c r="AI999" s="1840"/>
      <c r="AJ999" s="1654">
        <f>IF(ISERROR((R999*AB999)),0,(R999*AB999))</f>
        <v>0</v>
      </c>
      <c r="AK999" s="1655"/>
      <c r="AL999" s="1655"/>
      <c r="AM999" s="1655"/>
      <c r="AN999" s="1655"/>
      <c r="AO999" s="1655"/>
      <c r="AP999" s="1655"/>
      <c r="AQ999" s="1656"/>
      <c r="AR999" s="68"/>
      <c r="AS999" s="68"/>
      <c r="AT999" s="68"/>
      <c r="AU999" s="68"/>
      <c r="AV999" s="68"/>
      <c r="AW999" s="68"/>
      <c r="AX999" s="68"/>
      <c r="AY999" s="68"/>
      <c r="AZ999" s="30"/>
      <c r="BB999" s="14"/>
      <c r="BC999" s="14"/>
    </row>
    <row r="1000" spans="1:55" ht="12.95" customHeight="1">
      <c r="A1000" s="14"/>
      <c r="B1000" s="1907" t="s">
        <v>790</v>
      </c>
      <c r="C1000" s="1908"/>
      <c r="D1000" s="1908"/>
      <c r="E1000" s="1908"/>
      <c r="F1000" s="1908"/>
      <c r="G1000" s="1908"/>
      <c r="H1000" s="1908"/>
      <c r="I1000" s="1908"/>
      <c r="J1000" s="1908"/>
      <c r="K1000" s="1908"/>
      <c r="L1000" s="1908"/>
      <c r="M1000" s="1908"/>
      <c r="N1000" s="1908"/>
      <c r="O1000" s="1908"/>
      <c r="P1000" s="1908"/>
      <c r="Q1000" s="1908"/>
      <c r="R1000" s="1908"/>
      <c r="S1000" s="1908"/>
      <c r="T1000" s="1908"/>
      <c r="U1000" s="1908"/>
      <c r="V1000" s="1908"/>
      <c r="W1000" s="1908"/>
      <c r="X1000" s="1908"/>
      <c r="Y1000" s="1908"/>
      <c r="Z1000" s="1908"/>
      <c r="AA1000" s="1909"/>
      <c r="AB1000" s="1838">
        <f>SUM(AB995:AI999)</f>
        <v>119</v>
      </c>
      <c r="AC1000" s="1839"/>
      <c r="AD1000" s="1839"/>
      <c r="AE1000" s="1839"/>
      <c r="AF1000" s="1839"/>
      <c r="AG1000" s="1839"/>
      <c r="AH1000" s="1839"/>
      <c r="AI1000" s="1840"/>
      <c r="AJ1000" s="1654"/>
      <c r="AK1000" s="1655"/>
      <c r="AL1000" s="1655"/>
      <c r="AM1000" s="1655"/>
      <c r="AN1000" s="1655"/>
      <c r="AO1000" s="1655"/>
      <c r="AP1000" s="1655"/>
      <c r="AQ1000" s="1656"/>
      <c r="AR1000" s="68"/>
      <c r="AS1000" s="68"/>
      <c r="AT1000" s="68"/>
      <c r="AU1000" s="68"/>
      <c r="AV1000" s="68"/>
      <c r="AW1000" s="68"/>
      <c r="AX1000" s="68"/>
      <c r="AY1000" s="68"/>
      <c r="AZ1000" s="34"/>
      <c r="BA1000" s="34"/>
      <c r="BB1000" s="14"/>
      <c r="BC1000" s="14"/>
    </row>
    <row r="1001" spans="1:55" ht="12.95" customHeight="1">
      <c r="A1001" s="14"/>
      <c r="B1001" s="1881" t="s">
        <v>511</v>
      </c>
      <c r="C1001" s="1882"/>
      <c r="D1001" s="1882"/>
      <c r="E1001" s="1882"/>
      <c r="F1001" s="1882"/>
      <c r="G1001" s="1882"/>
      <c r="H1001" s="1882"/>
      <c r="I1001" s="1882"/>
      <c r="J1001" s="1882"/>
      <c r="K1001" s="1882"/>
      <c r="L1001" s="1882"/>
      <c r="M1001" s="1882"/>
      <c r="N1001" s="1882"/>
      <c r="O1001" s="1882"/>
      <c r="P1001" s="1882"/>
      <c r="Q1001" s="1882"/>
      <c r="R1001" s="1882"/>
      <c r="S1001" s="1882"/>
      <c r="T1001" s="1882"/>
      <c r="U1001" s="1882"/>
      <c r="V1001" s="1882"/>
      <c r="W1001" s="1882"/>
      <c r="X1001" s="1882"/>
      <c r="Y1001" s="1882"/>
      <c r="Z1001" s="1882"/>
      <c r="AA1001" s="1882"/>
      <c r="AB1001" s="1882"/>
      <c r="AC1001" s="1882"/>
      <c r="AD1001" s="1882"/>
      <c r="AE1001" s="1882"/>
      <c r="AF1001" s="1882"/>
      <c r="AG1001" s="1882"/>
      <c r="AH1001" s="1882"/>
      <c r="AI1001" s="1883"/>
      <c r="AJ1001" s="1654">
        <f>SUM(AJ995:AQ999)</f>
        <v>59426920</v>
      </c>
      <c r="AK1001" s="1655"/>
      <c r="AL1001" s="1655"/>
      <c r="AM1001" s="1655"/>
      <c r="AN1001" s="1655"/>
      <c r="AO1001" s="1655"/>
      <c r="AP1001" s="1655"/>
      <c r="AQ1001" s="1656"/>
      <c r="AR1001" s="68"/>
      <c r="AS1001" s="68"/>
      <c r="AT1001" s="68"/>
      <c r="AU1001" s="68"/>
      <c r="AV1001" s="68"/>
      <c r="AW1001" s="68"/>
      <c r="AX1001" s="68"/>
      <c r="AY1001" s="68"/>
      <c r="AZ1001" s="34"/>
      <c r="BB1001" s="34"/>
      <c r="BC1001" s="34"/>
    </row>
    <row r="1002" spans="1:55" ht="12.95" customHeight="1">
      <c r="A1002" s="14"/>
      <c r="B1002" s="1657"/>
      <c r="C1002" s="1658"/>
      <c r="D1002" s="1658"/>
      <c r="E1002" s="1658"/>
      <c r="F1002" s="1658"/>
      <c r="G1002" s="1658"/>
      <c r="H1002" s="1658"/>
      <c r="I1002" s="1658"/>
      <c r="J1002" s="1658"/>
      <c r="K1002" s="1658"/>
      <c r="L1002" s="1658"/>
      <c r="M1002" s="1658"/>
      <c r="N1002" s="1658"/>
      <c r="O1002" s="1658"/>
      <c r="P1002" s="1658"/>
      <c r="Q1002" s="1658"/>
      <c r="R1002" s="1658"/>
      <c r="S1002" s="1658"/>
      <c r="T1002" s="1658"/>
      <c r="U1002" s="1658"/>
      <c r="V1002" s="1658"/>
      <c r="W1002" s="1658"/>
      <c r="X1002" s="1658"/>
      <c r="Y1002" s="1658"/>
      <c r="Z1002" s="1658"/>
      <c r="AA1002" s="1658"/>
      <c r="AB1002" s="1658"/>
      <c r="AC1002" s="1658"/>
      <c r="AD1002" s="1658"/>
      <c r="AE1002" s="1659"/>
      <c r="AF1002" s="1852" t="s">
        <v>665</v>
      </c>
      <c r="AG1002" s="1853"/>
      <c r="AH1002" s="1853"/>
      <c r="AI1002" s="1854"/>
      <c r="AJ1002" s="1657"/>
      <c r="AK1002" s="1658"/>
      <c r="AL1002" s="1658"/>
      <c r="AM1002" s="1658"/>
      <c r="AN1002" s="1658"/>
      <c r="AO1002" s="1658"/>
      <c r="AP1002" s="1658"/>
      <c r="AQ1002" s="1659"/>
      <c r="AR1002" s="68"/>
      <c r="AS1002" s="68"/>
      <c r="AT1002" s="68"/>
      <c r="AU1002" s="68"/>
      <c r="AV1002" s="68"/>
      <c r="AW1002" s="68"/>
      <c r="AX1002" s="68"/>
      <c r="AY1002" s="68"/>
      <c r="AZ1002" s="34"/>
      <c r="BA1002" s="34"/>
      <c r="BB1002" s="34"/>
      <c r="BC1002" s="34"/>
    </row>
    <row r="1003" spans="1:55" ht="12.95" customHeight="1">
      <c r="A1003" s="14"/>
      <c r="B1003" s="73"/>
      <c r="C1003" s="921" t="s">
        <v>667</v>
      </c>
      <c r="D1003" s="1823" t="s">
        <v>1217</v>
      </c>
      <c r="E1003" s="1824"/>
      <c r="F1003" s="1824"/>
      <c r="G1003" s="1824"/>
      <c r="H1003" s="1824"/>
      <c r="I1003" s="1824"/>
      <c r="J1003" s="1824"/>
      <c r="K1003" s="1824"/>
      <c r="L1003" s="1824"/>
      <c r="M1003" s="1824"/>
      <c r="N1003" s="1824"/>
      <c r="O1003" s="1824"/>
      <c r="P1003" s="1824"/>
      <c r="Q1003" s="1824"/>
      <c r="R1003" s="1824"/>
      <c r="S1003" s="1824"/>
      <c r="T1003" s="1824"/>
      <c r="U1003" s="1824"/>
      <c r="V1003" s="1824"/>
      <c r="W1003" s="1824"/>
      <c r="X1003" s="1824"/>
      <c r="Y1003" s="1824"/>
      <c r="Z1003" s="1824"/>
      <c r="AA1003" s="1824"/>
      <c r="AB1003" s="1824"/>
      <c r="AC1003" s="1824"/>
      <c r="AD1003" s="1824"/>
      <c r="AE1003" s="1825"/>
      <c r="AF1003" s="79"/>
      <c r="AG1003" s="1855" t="s">
        <v>668</v>
      </c>
      <c r="AH1003" s="1856"/>
      <c r="AI1003" s="87"/>
      <c r="AJ1003" s="1630">
        <f>ROUND(IF(AND(AG1003="yes",D1009&gt;0),AJ1001*0.2,0),0)</f>
        <v>0</v>
      </c>
      <c r="AK1003" s="1631"/>
      <c r="AL1003" s="1631"/>
      <c r="AM1003" s="1631"/>
      <c r="AN1003" s="1631"/>
      <c r="AO1003" s="1631"/>
      <c r="AP1003" s="1631"/>
      <c r="AQ1003" s="1632"/>
      <c r="AR1003" s="68"/>
      <c r="AS1003" s="68"/>
      <c r="AT1003" s="68"/>
      <c r="AU1003" s="68"/>
      <c r="AV1003" s="68"/>
      <c r="AW1003" s="68"/>
      <c r="AX1003" s="68"/>
      <c r="AY1003" s="68"/>
      <c r="AZ1003" s="34"/>
      <c r="BA1003" s="34"/>
      <c r="BB1003" s="34"/>
      <c r="BC1003" s="34"/>
    </row>
    <row r="1004" spans="1:55" ht="12.95" customHeight="1">
      <c r="A1004" s="14"/>
      <c r="B1004" s="255"/>
      <c r="C1004" s="254"/>
      <c r="D1004" s="1877" t="s">
        <v>2185</v>
      </c>
      <c r="E1004" s="1878"/>
      <c r="F1004" s="1878"/>
      <c r="G1004" s="1878"/>
      <c r="H1004" s="1878"/>
      <c r="I1004" s="1878"/>
      <c r="J1004" s="1878"/>
      <c r="K1004" s="1878"/>
      <c r="L1004" s="1878"/>
      <c r="M1004" s="1878"/>
      <c r="N1004" s="1878"/>
      <c r="O1004" s="1878"/>
      <c r="P1004" s="1878"/>
      <c r="Q1004" s="1878"/>
      <c r="R1004" s="1878"/>
      <c r="S1004" s="1878"/>
      <c r="T1004" s="1878"/>
      <c r="U1004" s="1878"/>
      <c r="V1004" s="1878"/>
      <c r="W1004" s="1878"/>
      <c r="X1004" s="1878"/>
      <c r="Y1004" s="1878"/>
      <c r="Z1004" s="1878"/>
      <c r="AA1004" s="1878"/>
      <c r="AB1004" s="1878"/>
      <c r="AC1004" s="1878"/>
      <c r="AD1004" s="1878"/>
      <c r="AE1004" s="1879"/>
      <c r="AF1004" s="73"/>
      <c r="AG1004" s="14"/>
      <c r="AH1004" s="14"/>
      <c r="AI1004" s="83"/>
      <c r="AJ1004" s="1633"/>
      <c r="AK1004" s="1634"/>
      <c r="AL1004" s="1634"/>
      <c r="AM1004" s="1634"/>
      <c r="AN1004" s="1634"/>
      <c r="AO1004" s="1634"/>
      <c r="AP1004" s="1634"/>
      <c r="AQ1004" s="1635"/>
      <c r="AR1004" s="68"/>
      <c r="AS1004" s="68"/>
      <c r="AT1004" s="68"/>
      <c r="AU1004" s="68"/>
      <c r="AV1004" s="68"/>
      <c r="AW1004" s="68"/>
      <c r="AX1004" s="68"/>
      <c r="AY1004" s="68"/>
      <c r="AZ1004" s="34"/>
      <c r="BA1004" s="34"/>
      <c r="BB1004" s="34"/>
      <c r="BC1004" s="34"/>
    </row>
    <row r="1005" spans="1:55" ht="12.95" customHeight="1">
      <c r="A1005" s="14"/>
      <c r="B1005" s="255"/>
      <c r="C1005" s="254"/>
      <c r="D1005" s="1877"/>
      <c r="E1005" s="1878"/>
      <c r="F1005" s="1878"/>
      <c r="G1005" s="1878"/>
      <c r="H1005" s="1878"/>
      <c r="I1005" s="1878"/>
      <c r="J1005" s="1878"/>
      <c r="K1005" s="1878"/>
      <c r="L1005" s="1878"/>
      <c r="M1005" s="1878"/>
      <c r="N1005" s="1878"/>
      <c r="O1005" s="1878"/>
      <c r="P1005" s="1878"/>
      <c r="Q1005" s="1878"/>
      <c r="R1005" s="1878"/>
      <c r="S1005" s="1878"/>
      <c r="T1005" s="1878"/>
      <c r="U1005" s="1878"/>
      <c r="V1005" s="1878"/>
      <c r="W1005" s="1878"/>
      <c r="X1005" s="1878"/>
      <c r="Y1005" s="1878"/>
      <c r="Z1005" s="1878"/>
      <c r="AA1005" s="1878"/>
      <c r="AB1005" s="1878"/>
      <c r="AC1005" s="1878"/>
      <c r="AD1005" s="1878"/>
      <c r="AE1005" s="1879"/>
      <c r="AF1005" s="73"/>
      <c r="AG1005" s="14"/>
      <c r="AH1005" s="14"/>
      <c r="AI1005" s="83"/>
      <c r="AJ1005" s="1633"/>
      <c r="AK1005" s="1634"/>
      <c r="AL1005" s="1634"/>
      <c r="AM1005" s="1634"/>
      <c r="AN1005" s="1634"/>
      <c r="AO1005" s="1634"/>
      <c r="AP1005" s="1634"/>
      <c r="AQ1005" s="1635"/>
      <c r="AR1005" s="68"/>
      <c r="AS1005" s="68"/>
      <c r="AT1005" s="68"/>
      <c r="AU1005" s="68"/>
      <c r="AV1005" s="68"/>
      <c r="AW1005" s="68"/>
      <c r="AX1005" s="68"/>
      <c r="AY1005" s="68"/>
      <c r="AZ1005" s="34"/>
      <c r="BA1005" s="34"/>
      <c r="BB1005" s="34"/>
      <c r="BC1005" s="34"/>
    </row>
    <row r="1006" spans="1:55" ht="12.95" customHeight="1">
      <c r="A1006" s="14"/>
      <c r="B1006" s="255"/>
      <c r="C1006" s="254"/>
      <c r="D1006" s="1877"/>
      <c r="E1006" s="1878"/>
      <c r="F1006" s="1878"/>
      <c r="G1006" s="1878"/>
      <c r="H1006" s="1878"/>
      <c r="I1006" s="1878"/>
      <c r="J1006" s="1878"/>
      <c r="K1006" s="1878"/>
      <c r="L1006" s="1878"/>
      <c r="M1006" s="1878"/>
      <c r="N1006" s="1878"/>
      <c r="O1006" s="1878"/>
      <c r="P1006" s="1878"/>
      <c r="Q1006" s="1878"/>
      <c r="R1006" s="1878"/>
      <c r="S1006" s="1878"/>
      <c r="T1006" s="1878"/>
      <c r="U1006" s="1878"/>
      <c r="V1006" s="1878"/>
      <c r="W1006" s="1878"/>
      <c r="X1006" s="1878"/>
      <c r="Y1006" s="1878"/>
      <c r="Z1006" s="1878"/>
      <c r="AA1006" s="1878"/>
      <c r="AB1006" s="1878"/>
      <c r="AC1006" s="1878"/>
      <c r="AD1006" s="1878"/>
      <c r="AE1006" s="1879"/>
      <c r="AF1006" s="73"/>
      <c r="AG1006" s="14"/>
      <c r="AH1006" s="14"/>
      <c r="AI1006" s="83"/>
      <c r="AJ1006" s="1633"/>
      <c r="AK1006" s="1634"/>
      <c r="AL1006" s="1634"/>
      <c r="AM1006" s="1634"/>
      <c r="AN1006" s="1634"/>
      <c r="AO1006" s="1634"/>
      <c r="AP1006" s="1634"/>
      <c r="AQ1006" s="1635"/>
      <c r="AR1006" s="68"/>
      <c r="AS1006" s="68"/>
      <c r="AT1006" s="68"/>
      <c r="AU1006" s="68"/>
      <c r="AV1006" s="68"/>
      <c r="AW1006" s="68"/>
      <c r="AX1006" s="68"/>
      <c r="AY1006" s="68"/>
      <c r="AZ1006" s="34"/>
      <c r="BA1006" s="34"/>
      <c r="BB1006" s="34"/>
      <c r="BC1006" s="34"/>
    </row>
    <row r="1007" spans="1:55" ht="12.95" customHeight="1">
      <c r="A1007" s="14"/>
      <c r="B1007" s="255"/>
      <c r="C1007" s="254"/>
      <c r="D1007" s="1877"/>
      <c r="E1007" s="1878"/>
      <c r="F1007" s="1878"/>
      <c r="G1007" s="1878"/>
      <c r="H1007" s="1878"/>
      <c r="I1007" s="1878"/>
      <c r="J1007" s="1878"/>
      <c r="K1007" s="1878"/>
      <c r="L1007" s="1878"/>
      <c r="M1007" s="1878"/>
      <c r="N1007" s="1878"/>
      <c r="O1007" s="1878"/>
      <c r="P1007" s="1878"/>
      <c r="Q1007" s="1878"/>
      <c r="R1007" s="1878"/>
      <c r="S1007" s="1878"/>
      <c r="T1007" s="1878"/>
      <c r="U1007" s="1878"/>
      <c r="V1007" s="1878"/>
      <c r="W1007" s="1878"/>
      <c r="X1007" s="1878"/>
      <c r="Y1007" s="1878"/>
      <c r="Z1007" s="1878"/>
      <c r="AA1007" s="1878"/>
      <c r="AB1007" s="1878"/>
      <c r="AC1007" s="1878"/>
      <c r="AD1007" s="1878"/>
      <c r="AE1007" s="1879"/>
      <c r="AF1007" s="73"/>
      <c r="AG1007" s="14"/>
      <c r="AH1007" s="14"/>
      <c r="AI1007" s="83"/>
      <c r="AJ1007" s="1633"/>
      <c r="AK1007" s="1634"/>
      <c r="AL1007" s="1634"/>
      <c r="AM1007" s="1634"/>
      <c r="AN1007" s="1634"/>
      <c r="AO1007" s="1634"/>
      <c r="AP1007" s="1634"/>
      <c r="AQ1007" s="1635"/>
      <c r="AR1007" s="68"/>
      <c r="AS1007" s="68"/>
      <c r="AT1007" s="68"/>
      <c r="AU1007" s="68"/>
      <c r="AV1007" s="68"/>
      <c r="AW1007" s="68"/>
      <c r="AX1007" s="68"/>
      <c r="AY1007" s="68"/>
      <c r="AZ1007" s="34"/>
      <c r="BA1007" s="34"/>
      <c r="BB1007" s="34"/>
      <c r="BC1007" s="34"/>
    </row>
    <row r="1008" spans="1:55" ht="12.95" customHeight="1">
      <c r="A1008" s="14"/>
      <c r="B1008" s="255"/>
      <c r="C1008" s="254"/>
      <c r="D1008" s="1899" t="s">
        <v>2156</v>
      </c>
      <c r="E1008" s="1900"/>
      <c r="F1008" s="1900"/>
      <c r="G1008" s="1900"/>
      <c r="H1008" s="1900"/>
      <c r="I1008" s="1900"/>
      <c r="J1008" s="1900"/>
      <c r="K1008" s="1900"/>
      <c r="L1008" s="1900"/>
      <c r="M1008" s="1900"/>
      <c r="N1008" s="1900"/>
      <c r="O1008" s="1900"/>
      <c r="P1008" s="1900"/>
      <c r="Q1008" s="1900"/>
      <c r="R1008" s="1900"/>
      <c r="S1008" s="1900"/>
      <c r="T1008" s="1900"/>
      <c r="U1008" s="1900"/>
      <c r="V1008" s="1900"/>
      <c r="W1008" s="1900"/>
      <c r="X1008" s="1900"/>
      <c r="Y1008" s="1900"/>
      <c r="Z1008" s="1900"/>
      <c r="AA1008" s="1900"/>
      <c r="AB1008" s="1900"/>
      <c r="AC1008" s="1900"/>
      <c r="AD1008" s="1900"/>
      <c r="AE1008" s="1901"/>
      <c r="AF1008" s="73"/>
      <c r="AG1008" s="14"/>
      <c r="AH1008" s="14"/>
      <c r="AI1008" s="83"/>
      <c r="AJ1008" s="1633"/>
      <c r="AK1008" s="1634"/>
      <c r="AL1008" s="1634"/>
      <c r="AM1008" s="1634"/>
      <c r="AN1008" s="1634"/>
      <c r="AO1008" s="1634"/>
      <c r="AP1008" s="1634"/>
      <c r="AQ1008" s="1635"/>
      <c r="AR1008" s="68"/>
      <c r="AS1008" s="68"/>
      <c r="AT1008" s="68"/>
      <c r="AU1008" s="68"/>
      <c r="AV1008" s="68"/>
      <c r="AW1008" s="68"/>
      <c r="AX1008" s="68"/>
      <c r="AY1008" s="68"/>
      <c r="AZ1008" s="34"/>
      <c r="BA1008" s="34"/>
      <c r="BB1008" s="34"/>
      <c r="BC1008" s="34"/>
    </row>
    <row r="1009" spans="1:55" ht="12.95" customHeight="1">
      <c r="A1009" s="14"/>
      <c r="B1009" s="255"/>
      <c r="C1009" s="254"/>
      <c r="D1009" s="1902"/>
      <c r="E1009" s="1903"/>
      <c r="F1009" s="1903"/>
      <c r="G1009" s="1903"/>
      <c r="H1009" s="1903"/>
      <c r="I1009" s="1903"/>
      <c r="J1009" s="1903"/>
      <c r="K1009" s="1903"/>
      <c r="L1009" s="1903"/>
      <c r="M1009" s="1903"/>
      <c r="N1009" s="1903"/>
      <c r="O1009" s="1903"/>
      <c r="P1009" s="1903"/>
      <c r="Q1009" s="1903"/>
      <c r="R1009" s="1903"/>
      <c r="S1009" s="1903"/>
      <c r="T1009" s="1903"/>
      <c r="U1009" s="1903"/>
      <c r="V1009" s="1903"/>
      <c r="W1009" s="1903"/>
      <c r="X1009" s="1903"/>
      <c r="Y1009" s="1903"/>
      <c r="Z1009" s="1903"/>
      <c r="AA1009" s="1903"/>
      <c r="AB1009" s="1903"/>
      <c r="AC1009" s="1903"/>
      <c r="AD1009" s="1903"/>
      <c r="AE1009" s="1904"/>
      <c r="AF1009" s="77"/>
      <c r="AG1009" s="7"/>
      <c r="AH1009" s="7"/>
      <c r="AI1009" s="78"/>
      <c r="AJ1009" s="1636"/>
      <c r="AK1009" s="1637"/>
      <c r="AL1009" s="1637"/>
      <c r="AM1009" s="1637"/>
      <c r="AN1009" s="1637"/>
      <c r="AO1009" s="1637"/>
      <c r="AP1009" s="1637"/>
      <c r="AQ1009" s="1638"/>
      <c r="AR1009" s="68"/>
      <c r="AS1009" s="68"/>
      <c r="AT1009" s="68"/>
      <c r="AU1009" s="68"/>
      <c r="AV1009" s="68"/>
      <c r="AW1009" s="68"/>
      <c r="AX1009" s="68"/>
      <c r="AY1009" s="68"/>
      <c r="AZ1009" s="34"/>
      <c r="BA1009" s="34"/>
      <c r="BB1009" s="34"/>
      <c r="BC1009" s="34"/>
    </row>
    <row r="1010" spans="1:55" ht="12.95" customHeight="1">
      <c r="A1010" s="14"/>
      <c r="B1010" s="253"/>
      <c r="C1010" s="316"/>
      <c r="D1010" s="1802" t="s">
        <v>1283</v>
      </c>
      <c r="E1010" s="1803"/>
      <c r="F1010" s="1803"/>
      <c r="G1010" s="1803"/>
      <c r="H1010" s="1803"/>
      <c r="I1010" s="1803"/>
      <c r="J1010" s="1803"/>
      <c r="K1010" s="1803"/>
      <c r="L1010" s="1803"/>
      <c r="M1010" s="1803"/>
      <c r="N1010" s="1803"/>
      <c r="O1010" s="1803"/>
      <c r="P1010" s="1803"/>
      <c r="Q1010" s="1803"/>
      <c r="R1010" s="1803"/>
      <c r="S1010" s="1803"/>
      <c r="T1010" s="1803"/>
      <c r="U1010" s="1803"/>
      <c r="V1010" s="1803"/>
      <c r="W1010" s="1803"/>
      <c r="X1010" s="1803"/>
      <c r="Y1010" s="1803"/>
      <c r="Z1010" s="1803"/>
      <c r="AA1010" s="1803"/>
      <c r="AB1010" s="1803"/>
      <c r="AC1010" s="1803"/>
      <c r="AD1010" s="1803"/>
      <c r="AE1010" s="1804"/>
      <c r="AF1010" s="79"/>
      <c r="AG1010" s="1814" t="s">
        <v>668</v>
      </c>
      <c r="AH1010" s="1815"/>
      <c r="AI1010" s="87"/>
      <c r="AJ1010" s="1630">
        <f>ROUND(IF(AG1010="yes",AJ1001*0.05,0),0)</f>
        <v>0</v>
      </c>
      <c r="AK1010" s="1631"/>
      <c r="AL1010" s="1631"/>
      <c r="AM1010" s="1631"/>
      <c r="AN1010" s="1631"/>
      <c r="AO1010" s="1631"/>
      <c r="AP1010" s="1631"/>
      <c r="AQ1010" s="1632"/>
      <c r="AR1010" s="68"/>
      <c r="AS1010" s="68"/>
      <c r="AT1010" s="68"/>
      <c r="AU1010" s="68"/>
      <c r="AV1010" s="68"/>
      <c r="AW1010" s="68"/>
      <c r="AX1010" s="68"/>
      <c r="AY1010" s="68"/>
      <c r="AZ1010" s="34"/>
      <c r="BA1010" s="34"/>
      <c r="BB1010" s="34"/>
      <c r="BC1010" s="34"/>
    </row>
    <row r="1011" spans="1:55" ht="12.95" customHeight="1">
      <c r="A1011" s="14"/>
      <c r="B1011" s="255"/>
      <c r="C1011" s="82"/>
      <c r="D1011" s="1877" t="s">
        <v>1281</v>
      </c>
      <c r="E1011" s="1878"/>
      <c r="F1011" s="1878"/>
      <c r="G1011" s="1878"/>
      <c r="H1011" s="1878"/>
      <c r="I1011" s="1878"/>
      <c r="J1011" s="1878"/>
      <c r="K1011" s="1878"/>
      <c r="L1011" s="1878"/>
      <c r="M1011" s="1878"/>
      <c r="N1011" s="1878"/>
      <c r="O1011" s="1878"/>
      <c r="P1011" s="1878"/>
      <c r="Q1011" s="1878"/>
      <c r="R1011" s="1878"/>
      <c r="S1011" s="1878"/>
      <c r="T1011" s="1878"/>
      <c r="U1011" s="1878"/>
      <c r="V1011" s="1878"/>
      <c r="W1011" s="1878"/>
      <c r="X1011" s="1878"/>
      <c r="Y1011" s="1878"/>
      <c r="Z1011" s="1878"/>
      <c r="AA1011" s="1878"/>
      <c r="AB1011" s="1878"/>
      <c r="AC1011" s="1878"/>
      <c r="AD1011" s="1878"/>
      <c r="AE1011" s="1879"/>
      <c r="AF1011" s="73"/>
      <c r="AG1011" s="14"/>
      <c r="AH1011" s="14"/>
      <c r="AI1011" s="83"/>
      <c r="AJ1011" s="1633"/>
      <c r="AK1011" s="1634"/>
      <c r="AL1011" s="1634"/>
      <c r="AM1011" s="1634"/>
      <c r="AN1011" s="1634"/>
      <c r="AO1011" s="1634"/>
      <c r="AP1011" s="1634"/>
      <c r="AQ1011" s="1635"/>
      <c r="AR1011" s="68"/>
      <c r="AS1011" s="68"/>
      <c r="AT1011" s="68"/>
      <c r="AU1011" s="68"/>
      <c r="AV1011" s="68"/>
      <c r="AW1011" s="68"/>
      <c r="AX1011" s="68"/>
      <c r="AY1011" s="34"/>
      <c r="AZ1011" s="34"/>
      <c r="BB1011" s="34"/>
    </row>
    <row r="1012" spans="1:55" ht="12.95" customHeight="1">
      <c r="A1012" s="14"/>
      <c r="B1012" s="255"/>
      <c r="C1012" s="82"/>
      <c r="D1012" s="1877"/>
      <c r="E1012" s="1878"/>
      <c r="F1012" s="1878"/>
      <c r="G1012" s="1878"/>
      <c r="H1012" s="1878"/>
      <c r="I1012" s="1878"/>
      <c r="J1012" s="1878"/>
      <c r="K1012" s="1878"/>
      <c r="L1012" s="1878"/>
      <c r="M1012" s="1878"/>
      <c r="N1012" s="1878"/>
      <c r="O1012" s="1878"/>
      <c r="P1012" s="1878"/>
      <c r="Q1012" s="1878"/>
      <c r="R1012" s="1878"/>
      <c r="S1012" s="1878"/>
      <c r="T1012" s="1878"/>
      <c r="U1012" s="1878"/>
      <c r="V1012" s="1878"/>
      <c r="W1012" s="1878"/>
      <c r="X1012" s="1878"/>
      <c r="Y1012" s="1878"/>
      <c r="Z1012" s="1878"/>
      <c r="AA1012" s="1878"/>
      <c r="AB1012" s="1878"/>
      <c r="AC1012" s="1878"/>
      <c r="AD1012" s="1878"/>
      <c r="AE1012" s="1879"/>
      <c r="AF1012" s="73"/>
      <c r="AG1012" s="14"/>
      <c r="AH1012" s="14"/>
      <c r="AI1012" s="83"/>
      <c r="AJ1012" s="1633"/>
      <c r="AK1012" s="1634"/>
      <c r="AL1012" s="1634"/>
      <c r="AM1012" s="1634"/>
      <c r="AN1012" s="1634"/>
      <c r="AO1012" s="1634"/>
      <c r="AP1012" s="1634"/>
      <c r="AQ1012" s="1635"/>
      <c r="AR1012" s="68"/>
      <c r="AS1012" s="68"/>
      <c r="AT1012" s="68"/>
      <c r="AU1012" s="68"/>
      <c r="AV1012" s="68"/>
      <c r="AW1012" s="68"/>
      <c r="AX1012" s="68"/>
      <c r="AY1012" s="908">
        <f>G761+O805</f>
        <v>118</v>
      </c>
      <c r="AZ1012" s="34"/>
      <c r="BB1012" s="34"/>
    </row>
    <row r="1013" spans="1:55" ht="12.95" customHeight="1">
      <c r="A1013" s="14"/>
      <c r="B1013" s="255"/>
      <c r="C1013" s="82"/>
      <c r="D1013" s="1877"/>
      <c r="E1013" s="1878"/>
      <c r="F1013" s="1878"/>
      <c r="G1013" s="1878"/>
      <c r="H1013" s="1878"/>
      <c r="I1013" s="1878"/>
      <c r="J1013" s="1878"/>
      <c r="K1013" s="1878"/>
      <c r="L1013" s="1878"/>
      <c r="M1013" s="1878"/>
      <c r="N1013" s="1878"/>
      <c r="O1013" s="1878"/>
      <c r="P1013" s="1878"/>
      <c r="Q1013" s="1878"/>
      <c r="R1013" s="1878"/>
      <c r="S1013" s="1878"/>
      <c r="T1013" s="1878"/>
      <c r="U1013" s="1878"/>
      <c r="V1013" s="1878"/>
      <c r="W1013" s="1878"/>
      <c r="X1013" s="1878"/>
      <c r="Y1013" s="1878"/>
      <c r="Z1013" s="1878"/>
      <c r="AA1013" s="1878"/>
      <c r="AB1013" s="1878"/>
      <c r="AC1013" s="1878"/>
      <c r="AD1013" s="1878"/>
      <c r="AE1013" s="1879"/>
      <c r="AF1013" s="73"/>
      <c r="AG1013" s="14"/>
      <c r="AH1013" s="14"/>
      <c r="AI1013" s="83"/>
      <c r="AJ1013" s="1633"/>
      <c r="AK1013" s="1634"/>
      <c r="AL1013" s="1634"/>
      <c r="AM1013" s="1634"/>
      <c r="AN1013" s="1634"/>
      <c r="AO1013" s="1634"/>
      <c r="AP1013" s="1634"/>
      <c r="AQ1013" s="1635"/>
      <c r="AR1013" s="68"/>
      <c r="AS1013" s="68"/>
      <c r="AT1013" s="68"/>
      <c r="AU1013" s="68"/>
      <c r="AV1013" s="68"/>
      <c r="AW1013" s="68"/>
      <c r="AX1013" s="68"/>
      <c r="AY1013" s="14"/>
      <c r="AZ1013" s="34"/>
      <c r="BB1013" s="34"/>
    </row>
    <row r="1014" spans="1:55" ht="12.95" customHeight="1">
      <c r="A1014" s="14"/>
      <c r="B1014" s="255"/>
      <c r="C1014" s="82"/>
      <c r="D1014" s="1877"/>
      <c r="E1014" s="1878"/>
      <c r="F1014" s="1878"/>
      <c r="G1014" s="1878"/>
      <c r="H1014" s="1878"/>
      <c r="I1014" s="1878"/>
      <c r="J1014" s="1878"/>
      <c r="K1014" s="1878"/>
      <c r="L1014" s="1878"/>
      <c r="M1014" s="1878"/>
      <c r="N1014" s="1878"/>
      <c r="O1014" s="1878"/>
      <c r="P1014" s="1878"/>
      <c r="Q1014" s="1878"/>
      <c r="R1014" s="1878"/>
      <c r="S1014" s="1878"/>
      <c r="T1014" s="1878"/>
      <c r="U1014" s="1878"/>
      <c r="V1014" s="1878"/>
      <c r="W1014" s="1878"/>
      <c r="X1014" s="1878"/>
      <c r="Y1014" s="1878"/>
      <c r="Z1014" s="1878"/>
      <c r="AA1014" s="1878"/>
      <c r="AB1014" s="1878"/>
      <c r="AC1014" s="1878"/>
      <c r="AD1014" s="1878"/>
      <c r="AE1014" s="1879"/>
      <c r="AF1014" s="73"/>
      <c r="AG1014" s="14"/>
      <c r="AH1014" s="14"/>
      <c r="AI1014" s="83"/>
      <c r="AJ1014" s="1633"/>
      <c r="AK1014" s="1634"/>
      <c r="AL1014" s="1634"/>
      <c r="AM1014" s="1634"/>
      <c r="AN1014" s="1634"/>
      <c r="AO1014" s="1634"/>
      <c r="AP1014" s="1634"/>
      <c r="AQ1014" s="1635"/>
      <c r="AR1014" s="68"/>
      <c r="AS1014" s="68"/>
      <c r="AT1014" s="68"/>
      <c r="AU1014" s="68"/>
      <c r="AV1014" s="68"/>
      <c r="AW1014" s="68"/>
      <c r="AX1014" s="68"/>
      <c r="AY1014" s="907">
        <f>ROUNDDOWN(X1057/I1057,2)</f>
        <v>0.2</v>
      </c>
      <c r="AZ1014" s="34"/>
      <c r="BB1014" s="34"/>
    </row>
    <row r="1015" spans="1:55" ht="12.95" customHeight="1">
      <c r="A1015" s="14"/>
      <c r="B1015" s="75"/>
      <c r="C1015" s="76"/>
      <c r="D1015" s="1899"/>
      <c r="E1015" s="1900"/>
      <c r="F1015" s="1900"/>
      <c r="G1015" s="1900"/>
      <c r="H1015" s="1900"/>
      <c r="I1015" s="1900"/>
      <c r="J1015" s="1900"/>
      <c r="K1015" s="1900"/>
      <c r="L1015" s="1900"/>
      <c r="M1015" s="1900"/>
      <c r="N1015" s="1900"/>
      <c r="O1015" s="1900"/>
      <c r="P1015" s="1900"/>
      <c r="Q1015" s="1900"/>
      <c r="R1015" s="1900"/>
      <c r="S1015" s="1900"/>
      <c r="T1015" s="1900"/>
      <c r="U1015" s="1900"/>
      <c r="V1015" s="1900"/>
      <c r="W1015" s="1900"/>
      <c r="X1015" s="1900"/>
      <c r="Y1015" s="1900"/>
      <c r="Z1015" s="1900"/>
      <c r="AA1015" s="1900"/>
      <c r="AB1015" s="1900"/>
      <c r="AC1015" s="1900"/>
      <c r="AD1015" s="1900"/>
      <c r="AE1015" s="1901"/>
      <c r="AF1015" s="77"/>
      <c r="AG1015" s="7"/>
      <c r="AH1015" s="7"/>
      <c r="AI1015" s="78"/>
      <c r="AJ1015" s="1636"/>
      <c r="AK1015" s="1637"/>
      <c r="AL1015" s="1637"/>
      <c r="AM1015" s="1637"/>
      <c r="AN1015" s="1637"/>
      <c r="AO1015" s="1637"/>
      <c r="AP1015" s="1637"/>
      <c r="AQ1015" s="1638"/>
      <c r="AR1015" s="68"/>
      <c r="AS1015" s="68"/>
      <c r="AT1015" s="68"/>
      <c r="AU1015" s="68"/>
      <c r="AV1015" s="68"/>
      <c r="AW1015" s="68"/>
      <c r="AX1015" s="68"/>
      <c r="AY1015" s="907">
        <f>ROUNDDOWN(X1061/I1061,2)</f>
        <v>0.1</v>
      </c>
      <c r="AZ1015" s="34"/>
      <c r="BB1015" s="34"/>
    </row>
    <row r="1016" spans="1:55" ht="12.95" customHeight="1">
      <c r="A1016" s="14"/>
      <c r="B1016" s="253"/>
      <c r="C1016" s="80" t="s">
        <v>671</v>
      </c>
      <c r="D1016" s="1802" t="s">
        <v>1669</v>
      </c>
      <c r="E1016" s="1803"/>
      <c r="F1016" s="1803"/>
      <c r="G1016" s="1803"/>
      <c r="H1016" s="1803"/>
      <c r="I1016" s="1803"/>
      <c r="J1016" s="1803"/>
      <c r="K1016" s="1803"/>
      <c r="L1016" s="1803"/>
      <c r="M1016" s="1803"/>
      <c r="N1016" s="1803"/>
      <c r="O1016" s="1803"/>
      <c r="P1016" s="1803"/>
      <c r="Q1016" s="1803"/>
      <c r="R1016" s="1803"/>
      <c r="S1016" s="1803"/>
      <c r="T1016" s="1803"/>
      <c r="U1016" s="1803"/>
      <c r="V1016" s="1803"/>
      <c r="W1016" s="1803"/>
      <c r="X1016" s="1803"/>
      <c r="Y1016" s="1803"/>
      <c r="Z1016" s="1803"/>
      <c r="AA1016" s="1803"/>
      <c r="AB1016" s="1803"/>
      <c r="AC1016" s="1803"/>
      <c r="AD1016" s="1803"/>
      <c r="AE1016" s="1804"/>
      <c r="AF1016" s="86"/>
      <c r="AG1016" s="1814" t="s">
        <v>668</v>
      </c>
      <c r="AH1016" s="1815"/>
      <c r="AI1016" s="87"/>
      <c r="AJ1016" s="1630">
        <f>ROUND(IF(AG1016="yes",AJ1001*0.1,0),0)</f>
        <v>0</v>
      </c>
      <c r="AK1016" s="1631"/>
      <c r="AL1016" s="1631"/>
      <c r="AM1016" s="1631"/>
      <c r="AN1016" s="1631"/>
      <c r="AO1016" s="1631"/>
      <c r="AP1016" s="1631"/>
      <c r="AQ1016" s="1632"/>
      <c r="AR1016" s="68"/>
      <c r="AS1016" s="68"/>
      <c r="AT1016" s="68"/>
      <c r="AU1016" s="68"/>
      <c r="AV1016" s="68"/>
      <c r="AW1016" s="68"/>
      <c r="AX1016" s="68"/>
      <c r="BB1016" s="34"/>
    </row>
    <row r="1017" spans="1:55" ht="12.95" customHeight="1">
      <c r="A1017" s="14"/>
      <c r="B1017" s="73"/>
      <c r="C1017" s="74"/>
      <c r="D1017" s="1805" t="s">
        <v>1282</v>
      </c>
      <c r="E1017" s="1806"/>
      <c r="F1017" s="1806"/>
      <c r="G1017" s="1806"/>
      <c r="H1017" s="1806"/>
      <c r="I1017" s="1806"/>
      <c r="J1017" s="1806"/>
      <c r="K1017" s="1806"/>
      <c r="L1017" s="1806"/>
      <c r="M1017" s="1806"/>
      <c r="N1017" s="1806"/>
      <c r="O1017" s="1806"/>
      <c r="P1017" s="1806"/>
      <c r="Q1017" s="1806"/>
      <c r="R1017" s="1806"/>
      <c r="S1017" s="1806"/>
      <c r="T1017" s="1806"/>
      <c r="U1017" s="1806"/>
      <c r="V1017" s="1806"/>
      <c r="W1017" s="1806"/>
      <c r="X1017" s="1806"/>
      <c r="Y1017" s="1806"/>
      <c r="Z1017" s="1806"/>
      <c r="AA1017" s="1806"/>
      <c r="AB1017" s="1806"/>
      <c r="AC1017" s="1806"/>
      <c r="AD1017" s="1806"/>
      <c r="AE1017" s="1807"/>
      <c r="AF1017" s="73"/>
      <c r="AI1017" s="83"/>
      <c r="AJ1017" s="1633"/>
      <c r="AK1017" s="1634"/>
      <c r="AL1017" s="1634"/>
      <c r="AM1017" s="1634"/>
      <c r="AN1017" s="1634"/>
      <c r="AO1017" s="1634"/>
      <c r="AP1017" s="1634"/>
      <c r="AQ1017" s="1635"/>
      <c r="AR1017" s="68"/>
      <c r="AS1017" s="68"/>
      <c r="AT1017" s="68"/>
      <c r="AU1017" s="68"/>
      <c r="AV1017" s="68"/>
      <c r="AW1017" s="68"/>
      <c r="AX1017" s="68"/>
    </row>
    <row r="1018" spans="1:55" ht="12.95" customHeight="1">
      <c r="A1018" s="14"/>
      <c r="B1018" s="73"/>
      <c r="C1018" s="74"/>
      <c r="D1018" s="1805"/>
      <c r="E1018" s="1806"/>
      <c r="F1018" s="1806"/>
      <c r="G1018" s="1806"/>
      <c r="H1018" s="1806"/>
      <c r="I1018" s="1806"/>
      <c r="J1018" s="1806"/>
      <c r="K1018" s="1806"/>
      <c r="L1018" s="1806"/>
      <c r="M1018" s="1806"/>
      <c r="N1018" s="1806"/>
      <c r="O1018" s="1806"/>
      <c r="P1018" s="1806"/>
      <c r="Q1018" s="1806"/>
      <c r="R1018" s="1806"/>
      <c r="S1018" s="1806"/>
      <c r="T1018" s="1806"/>
      <c r="U1018" s="1806"/>
      <c r="V1018" s="1806"/>
      <c r="W1018" s="1806"/>
      <c r="X1018" s="1806"/>
      <c r="Y1018" s="1806"/>
      <c r="Z1018" s="1806"/>
      <c r="AA1018" s="1806"/>
      <c r="AB1018" s="1806"/>
      <c r="AC1018" s="1806"/>
      <c r="AD1018" s="1806"/>
      <c r="AE1018" s="1807"/>
      <c r="AF1018" s="73"/>
      <c r="AG1018" s="14"/>
      <c r="AH1018" s="14"/>
      <c r="AI1018" s="83"/>
      <c r="AJ1018" s="1633"/>
      <c r="AK1018" s="1634"/>
      <c r="AL1018" s="1634"/>
      <c r="AM1018" s="1634"/>
      <c r="AN1018" s="1634"/>
      <c r="AO1018" s="1634"/>
      <c r="AP1018" s="1634"/>
      <c r="AQ1018" s="1635"/>
      <c r="AR1018" s="68"/>
      <c r="AS1018" s="68"/>
      <c r="AT1018" s="68"/>
      <c r="AU1018" s="68"/>
      <c r="AV1018" s="68"/>
      <c r="AW1018" s="68"/>
      <c r="AX1018" s="68"/>
    </row>
    <row r="1019" spans="1:55" ht="12.95" customHeight="1">
      <c r="A1019" s="14"/>
      <c r="B1019" s="85"/>
      <c r="C1019" s="76"/>
      <c r="D1019" s="1826"/>
      <c r="E1019" s="1827"/>
      <c r="F1019" s="1827"/>
      <c r="G1019" s="1827"/>
      <c r="H1019" s="1827"/>
      <c r="I1019" s="1827"/>
      <c r="J1019" s="1827"/>
      <c r="K1019" s="1827"/>
      <c r="L1019" s="1827"/>
      <c r="M1019" s="1827"/>
      <c r="N1019" s="1827"/>
      <c r="O1019" s="1827"/>
      <c r="P1019" s="1827"/>
      <c r="Q1019" s="1827"/>
      <c r="R1019" s="1827"/>
      <c r="S1019" s="1827"/>
      <c r="T1019" s="1827"/>
      <c r="U1019" s="1827"/>
      <c r="V1019" s="1827"/>
      <c r="W1019" s="1827"/>
      <c r="X1019" s="1827"/>
      <c r="Y1019" s="1827"/>
      <c r="Z1019" s="1827"/>
      <c r="AA1019" s="1827"/>
      <c r="AB1019" s="1827"/>
      <c r="AC1019" s="1827"/>
      <c r="AD1019" s="1827"/>
      <c r="AE1019" s="1828"/>
      <c r="AF1019" s="77"/>
      <c r="AG1019" s="7"/>
      <c r="AH1019" s="7"/>
      <c r="AI1019" s="78"/>
      <c r="AJ1019" s="1636"/>
      <c r="AK1019" s="1637"/>
      <c r="AL1019" s="1637"/>
      <c r="AM1019" s="1637"/>
      <c r="AN1019" s="1637"/>
      <c r="AO1019" s="1637"/>
      <c r="AP1019" s="1637"/>
      <c r="AQ1019" s="1638"/>
      <c r="AR1019" s="68"/>
      <c r="AS1019" s="68"/>
      <c r="AT1019" s="68"/>
      <c r="AU1019" s="68"/>
      <c r="AV1019" s="68"/>
      <c r="AW1019" s="68"/>
      <c r="AX1019" s="68"/>
    </row>
    <row r="1020" spans="1:55" ht="12.95" customHeight="1">
      <c r="A1020" s="14"/>
      <c r="B1020" s="79"/>
      <c r="C1020" s="80" t="s">
        <v>211</v>
      </c>
      <c r="D1020" s="1802" t="s">
        <v>1284</v>
      </c>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79"/>
      <c r="AG1020" s="1814" t="s">
        <v>668</v>
      </c>
      <c r="AH1020" s="1815"/>
      <c r="AI1020" s="87"/>
      <c r="AJ1020" s="1630">
        <f>ROUND(IF(AG1020="yes",AJ1001*0.02,0),0)</f>
        <v>0</v>
      </c>
      <c r="AK1020" s="1631"/>
      <c r="AL1020" s="1631"/>
      <c r="AM1020" s="1631"/>
      <c r="AN1020" s="1631"/>
      <c r="AO1020" s="1631"/>
      <c r="AP1020" s="1631"/>
      <c r="AQ1020" s="1632"/>
      <c r="AR1020" s="68"/>
      <c r="AS1020" s="68"/>
      <c r="AT1020" s="68"/>
      <c r="AU1020" s="68"/>
      <c r="AV1020" s="68"/>
      <c r="AW1020" s="68"/>
      <c r="AX1020" s="68"/>
    </row>
    <row r="1021" spans="1:55" ht="14.25" customHeight="1">
      <c r="A1021" s="14"/>
      <c r="B1021" s="73"/>
      <c r="C1021" s="74"/>
      <c r="D1021" s="1826" t="s">
        <v>1285</v>
      </c>
      <c r="E1021" s="1827"/>
      <c r="F1021" s="1827"/>
      <c r="G1021" s="1827"/>
      <c r="H1021" s="1827"/>
      <c r="I1021" s="1827"/>
      <c r="J1021" s="1827"/>
      <c r="K1021" s="1827"/>
      <c r="L1021" s="1827"/>
      <c r="M1021" s="1827"/>
      <c r="N1021" s="1827"/>
      <c r="O1021" s="1827"/>
      <c r="P1021" s="1827"/>
      <c r="Q1021" s="1827"/>
      <c r="R1021" s="1827"/>
      <c r="S1021" s="1827"/>
      <c r="T1021" s="1827"/>
      <c r="U1021" s="1827"/>
      <c r="V1021" s="1827"/>
      <c r="W1021" s="1827"/>
      <c r="X1021" s="1827"/>
      <c r="Y1021" s="1827"/>
      <c r="Z1021" s="1827"/>
      <c r="AA1021" s="1827"/>
      <c r="AB1021" s="1827"/>
      <c r="AC1021" s="1827"/>
      <c r="AD1021" s="1827"/>
      <c r="AE1021" s="1828"/>
      <c r="AF1021" s="77"/>
      <c r="AG1021" s="7"/>
      <c r="AH1021" s="7"/>
      <c r="AI1021" s="78"/>
      <c r="AJ1021" s="1636"/>
      <c r="AK1021" s="1637"/>
      <c r="AL1021" s="1637"/>
      <c r="AM1021" s="1637"/>
      <c r="AN1021" s="1637"/>
      <c r="AO1021" s="1637"/>
      <c r="AP1021" s="1637"/>
      <c r="AQ1021" s="1638"/>
      <c r="AR1021" s="68"/>
      <c r="AS1021" s="68"/>
      <c r="AT1021" s="68"/>
      <c r="AU1021" s="68"/>
      <c r="AV1021" s="68"/>
      <c r="AW1021" s="68"/>
      <c r="AX1021" s="3" t="s">
        <v>1814</v>
      </c>
      <c r="AZ1021" s="3" t="s">
        <v>2523</v>
      </c>
    </row>
    <row r="1022" spans="1:55" ht="12.95" customHeight="1">
      <c r="A1022" s="14"/>
      <c r="B1022" s="79"/>
      <c r="C1022" s="80" t="s">
        <v>214</v>
      </c>
      <c r="D1022" s="1802" t="s">
        <v>1286</v>
      </c>
      <c r="E1022" s="1803"/>
      <c r="F1022" s="1803"/>
      <c r="G1022" s="1803"/>
      <c r="H1022" s="1803"/>
      <c r="I1022" s="1803"/>
      <c r="J1022" s="1803"/>
      <c r="K1022" s="1803"/>
      <c r="L1022" s="1803"/>
      <c r="M1022" s="1803"/>
      <c r="N1022" s="1803"/>
      <c r="O1022" s="1803"/>
      <c r="P1022" s="1803"/>
      <c r="Q1022" s="1803"/>
      <c r="R1022" s="1803"/>
      <c r="S1022" s="1803"/>
      <c r="T1022" s="1803"/>
      <c r="U1022" s="1803"/>
      <c r="V1022" s="1803"/>
      <c r="W1022" s="1803"/>
      <c r="X1022" s="1803"/>
      <c r="Y1022" s="1803"/>
      <c r="Z1022" s="1803"/>
      <c r="AA1022" s="1803"/>
      <c r="AB1022" s="1803"/>
      <c r="AC1022" s="1803"/>
      <c r="AD1022" s="1803"/>
      <c r="AE1022" s="1804"/>
      <c r="AF1022" s="79"/>
      <c r="AG1022" s="1814" t="s">
        <v>668</v>
      </c>
      <c r="AH1022" s="1815"/>
      <c r="AI1022" s="79"/>
      <c r="AJ1022" s="1630">
        <f>ROUND(IF(AG1022="yes",AJ1001*0.02,0),0)</f>
        <v>0</v>
      </c>
      <c r="AK1022" s="1631"/>
      <c r="AL1022" s="1631"/>
      <c r="AM1022" s="1631"/>
      <c r="AN1022" s="1631"/>
      <c r="AO1022" s="1631"/>
      <c r="AP1022" s="1631"/>
      <c r="AQ1022" s="1632"/>
      <c r="AR1022" s="68"/>
      <c r="AS1022" s="68"/>
      <c r="AT1022" s="68"/>
      <c r="AU1022" s="68"/>
      <c r="AV1022" s="68"/>
      <c r="AW1022" s="68"/>
      <c r="AX1022" s="3">
        <v>1</v>
      </c>
      <c r="AY1022" s="200">
        <f>IF((_xlfn.XLOOKUP(AX1022,$C$1074:$C$1112,$A$1074:$A$1112,"",0,1))="Yes",AZ1022,0)</f>
        <v>0.2</v>
      </c>
      <c r="AZ1022" s="1184">
        <v>0.2</v>
      </c>
    </row>
    <row r="1023" spans="1:55" ht="12.95" customHeight="1">
      <c r="A1023" s="14"/>
      <c r="B1023" s="73"/>
      <c r="C1023" s="74"/>
      <c r="D1023" s="1805" t="s">
        <v>1287</v>
      </c>
      <c r="E1023" s="1806"/>
      <c r="F1023" s="1806"/>
      <c r="G1023" s="1806"/>
      <c r="H1023" s="1806"/>
      <c r="I1023" s="1806"/>
      <c r="J1023" s="1806"/>
      <c r="K1023" s="1806"/>
      <c r="L1023" s="1806"/>
      <c r="M1023" s="1806"/>
      <c r="N1023" s="1806"/>
      <c r="O1023" s="1806"/>
      <c r="P1023" s="1806"/>
      <c r="Q1023" s="1806"/>
      <c r="R1023" s="1806"/>
      <c r="S1023" s="1806"/>
      <c r="T1023" s="1806"/>
      <c r="U1023" s="1806"/>
      <c r="V1023" s="1806"/>
      <c r="W1023" s="1806"/>
      <c r="X1023" s="1806"/>
      <c r="Y1023" s="1806"/>
      <c r="Z1023" s="1806"/>
      <c r="AA1023" s="1806"/>
      <c r="AB1023" s="1806"/>
      <c r="AC1023" s="1806"/>
      <c r="AD1023" s="1806"/>
      <c r="AE1023" s="1807"/>
      <c r="AF1023" s="1614" t="str">
        <f>IF(AND(AG1022="yes",T212&lt;&gt;1),"The project may not be eligible for this boost","")</f>
        <v/>
      </c>
      <c r="AG1023" s="1615"/>
      <c r="AH1023" s="1615"/>
      <c r="AI1023" s="1616"/>
      <c r="AJ1023" s="1633"/>
      <c r="AK1023" s="1634"/>
      <c r="AL1023" s="1634"/>
      <c r="AM1023" s="1634"/>
      <c r="AN1023" s="1634"/>
      <c r="AO1023" s="1634"/>
      <c r="AP1023" s="1634"/>
      <c r="AQ1023" s="1635"/>
      <c r="AR1023" s="68"/>
      <c r="AS1023" s="68"/>
      <c r="AT1023" s="68"/>
      <c r="AU1023" s="68"/>
      <c r="AV1023" s="68"/>
      <c r="AW1023" s="68"/>
      <c r="AX1023" s="3">
        <v>2</v>
      </c>
      <c r="AY1023" s="200">
        <f t="shared" ref="AY1023:AY1032" si="58">IF((_xlfn.XLOOKUP(AX1023,$C$1074:$C$1112,$A$1074:$A$1112,"",0,1))="Yes",AZ1023,0)</f>
        <v>0</v>
      </c>
      <c r="AZ1023" s="1184">
        <v>0.15</v>
      </c>
    </row>
    <row r="1024" spans="1:55" ht="12.95" customHeight="1">
      <c r="A1024" s="14"/>
      <c r="B1024" s="75"/>
      <c r="C1024" s="76"/>
      <c r="D1024" s="1826"/>
      <c r="E1024" s="1827"/>
      <c r="F1024" s="1827"/>
      <c r="G1024" s="1827"/>
      <c r="H1024" s="1827"/>
      <c r="I1024" s="1827"/>
      <c r="J1024" s="1827"/>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617"/>
      <c r="AG1024" s="1618"/>
      <c r="AH1024" s="1618"/>
      <c r="AI1024" s="1619"/>
      <c r="AJ1024" s="1636"/>
      <c r="AK1024" s="1637"/>
      <c r="AL1024" s="1637"/>
      <c r="AM1024" s="1637"/>
      <c r="AN1024" s="1637"/>
      <c r="AO1024" s="1637"/>
      <c r="AP1024" s="1637"/>
      <c r="AQ1024" s="1638"/>
      <c r="AR1024" s="68"/>
      <c r="AS1024" s="68"/>
      <c r="AT1024" s="68"/>
      <c r="AU1024" s="68"/>
      <c r="AV1024" s="68"/>
      <c r="AW1024" s="68"/>
      <c r="AX1024" s="3">
        <v>3</v>
      </c>
      <c r="AY1024" s="200">
        <f t="shared" si="58"/>
        <v>0</v>
      </c>
      <c r="AZ1024" s="1184">
        <v>0.05</v>
      </c>
    </row>
    <row r="1025" spans="1:52" ht="12.95" customHeight="1">
      <c r="A1025" s="14"/>
      <c r="B1025" s="79"/>
      <c r="C1025" s="80" t="s">
        <v>217</v>
      </c>
      <c r="D1025" s="1823" t="s">
        <v>2186</v>
      </c>
      <c r="E1025" s="1824"/>
      <c r="F1025" s="1824"/>
      <c r="G1025" s="1824"/>
      <c r="H1025" s="1824"/>
      <c r="I1025" s="1824"/>
      <c r="J1025" s="1824"/>
      <c r="K1025" s="1824"/>
      <c r="L1025" s="1824"/>
      <c r="M1025" s="1824"/>
      <c r="N1025" s="1824"/>
      <c r="O1025" s="1824"/>
      <c r="P1025" s="1824"/>
      <c r="Q1025" s="1824"/>
      <c r="R1025" s="1824"/>
      <c r="S1025" s="1824"/>
      <c r="T1025" s="1824"/>
      <c r="U1025" s="1824"/>
      <c r="V1025" s="1824"/>
      <c r="W1025" s="1824"/>
      <c r="X1025" s="1824"/>
      <c r="Y1025" s="1824"/>
      <c r="Z1025" s="1824"/>
      <c r="AA1025" s="1824"/>
      <c r="AB1025" s="1824"/>
      <c r="AC1025" s="1824"/>
      <c r="AD1025" s="1824"/>
      <c r="AE1025" s="1825"/>
      <c r="AF1025" s="79"/>
      <c r="AG1025" s="1814" t="s">
        <v>668</v>
      </c>
      <c r="AH1025" s="1815"/>
      <c r="AI1025" s="87"/>
      <c r="AJ1025" s="1630">
        <f>IF(AG1025="yes",AJ1001*AY1033,0)</f>
        <v>0</v>
      </c>
      <c r="AK1025" s="1631"/>
      <c r="AL1025" s="1631"/>
      <c r="AM1025" s="1631"/>
      <c r="AN1025" s="1631"/>
      <c r="AO1025" s="1631"/>
      <c r="AP1025" s="1631"/>
      <c r="AQ1025" s="1632"/>
      <c r="AR1025" s="68"/>
      <c r="AS1025" s="68"/>
      <c r="AT1025" s="68"/>
      <c r="AU1025" s="68"/>
      <c r="AV1025" s="68"/>
      <c r="AW1025" s="68"/>
      <c r="AX1025" s="3">
        <v>4</v>
      </c>
      <c r="AY1025" s="200">
        <f t="shared" si="58"/>
        <v>0</v>
      </c>
      <c r="AZ1025" s="1184">
        <v>0.02</v>
      </c>
    </row>
    <row r="1026" spans="1:52" ht="12.95" customHeight="1">
      <c r="A1026" s="14"/>
      <c r="B1026" s="73"/>
      <c r="C1026" s="74"/>
      <c r="D1026" s="1805" t="s">
        <v>2585</v>
      </c>
      <c r="E1026" s="1806"/>
      <c r="F1026" s="1806"/>
      <c r="G1026" s="1806"/>
      <c r="H1026" s="1806"/>
      <c r="I1026" s="1806"/>
      <c r="J1026" s="1806"/>
      <c r="K1026" s="1806"/>
      <c r="L1026" s="1806"/>
      <c r="M1026" s="1806"/>
      <c r="N1026" s="1806"/>
      <c r="O1026" s="1806"/>
      <c r="P1026" s="1806"/>
      <c r="Q1026" s="1806"/>
      <c r="R1026" s="1806"/>
      <c r="S1026" s="1806"/>
      <c r="T1026" s="1806"/>
      <c r="U1026" s="1806"/>
      <c r="V1026" s="1806"/>
      <c r="W1026" s="1806"/>
      <c r="X1026" s="1806"/>
      <c r="Y1026" s="1806"/>
      <c r="Z1026" s="1806"/>
      <c r="AA1026" s="1806"/>
      <c r="AB1026" s="1806"/>
      <c r="AC1026" s="1806"/>
      <c r="AD1026" s="1806"/>
      <c r="AE1026" s="1807"/>
      <c r="AF1026" s="1608" t="str">
        <f>IF(AND(AG1025="Yes",AY1033=0),AY1036,"")</f>
        <v/>
      </c>
      <c r="AG1026" s="1609"/>
      <c r="AH1026" s="1609"/>
      <c r="AI1026" s="1610"/>
      <c r="AJ1026" s="1633"/>
      <c r="AK1026" s="1634"/>
      <c r="AL1026" s="1634"/>
      <c r="AM1026" s="1634"/>
      <c r="AN1026" s="1634"/>
      <c r="AO1026" s="1634"/>
      <c r="AP1026" s="1634"/>
      <c r="AQ1026" s="1635"/>
      <c r="AR1026" s="68"/>
      <c r="AS1026" s="68"/>
      <c r="AT1026" s="68"/>
      <c r="AU1026" s="68"/>
      <c r="AV1026" s="68"/>
      <c r="AW1026" s="68"/>
      <c r="AX1026" s="3">
        <v>5</v>
      </c>
      <c r="AY1026" s="200">
        <f t="shared" si="58"/>
        <v>0</v>
      </c>
      <c r="AZ1026" s="1184">
        <v>0.04</v>
      </c>
    </row>
    <row r="1027" spans="1:52" ht="12.95" customHeight="1">
      <c r="A1027" s="14"/>
      <c r="B1027" s="73"/>
      <c r="C1027" s="74"/>
      <c r="D1027" s="1805"/>
      <c r="E1027" s="1806"/>
      <c r="F1027" s="1806"/>
      <c r="G1027" s="1806"/>
      <c r="H1027" s="1806"/>
      <c r="I1027" s="1806"/>
      <c r="J1027" s="1806"/>
      <c r="K1027" s="1806"/>
      <c r="L1027" s="1806"/>
      <c r="M1027" s="1806"/>
      <c r="N1027" s="1806"/>
      <c r="O1027" s="1806"/>
      <c r="P1027" s="1806"/>
      <c r="Q1027" s="1806"/>
      <c r="R1027" s="1806"/>
      <c r="S1027" s="1806"/>
      <c r="T1027" s="1806"/>
      <c r="U1027" s="1806"/>
      <c r="V1027" s="1806"/>
      <c r="W1027" s="1806"/>
      <c r="X1027" s="1806"/>
      <c r="Y1027" s="1806"/>
      <c r="Z1027" s="1806"/>
      <c r="AA1027" s="1806"/>
      <c r="AB1027" s="1806"/>
      <c r="AC1027" s="1806"/>
      <c r="AD1027" s="1806"/>
      <c r="AE1027" s="1807"/>
      <c r="AF1027" s="1608"/>
      <c r="AG1027" s="1609"/>
      <c r="AH1027" s="1609"/>
      <c r="AI1027" s="1610"/>
      <c r="AJ1027" s="1633"/>
      <c r="AK1027" s="1634"/>
      <c r="AL1027" s="1634"/>
      <c r="AM1027" s="1634"/>
      <c r="AN1027" s="1634"/>
      <c r="AO1027" s="1634"/>
      <c r="AP1027" s="1634"/>
      <c r="AQ1027" s="1635"/>
      <c r="AR1027" s="68"/>
      <c r="AS1027" s="68"/>
      <c r="AT1027" s="68"/>
      <c r="AU1027" s="68"/>
      <c r="AV1027" s="68"/>
      <c r="AW1027" s="68"/>
      <c r="AX1027" s="3">
        <v>6</v>
      </c>
      <c r="AY1027" s="200">
        <f t="shared" si="58"/>
        <v>0</v>
      </c>
      <c r="AZ1027" s="1184">
        <v>0.04</v>
      </c>
    </row>
    <row r="1028" spans="1:52" ht="12.95" customHeight="1">
      <c r="A1028" s="14"/>
      <c r="B1028" s="81"/>
      <c r="C1028" s="82"/>
      <c r="D1028" s="1826"/>
      <c r="E1028" s="1827"/>
      <c r="F1028" s="1827"/>
      <c r="G1028" s="1827"/>
      <c r="H1028" s="1827"/>
      <c r="I1028" s="1827"/>
      <c r="J1028" s="1827"/>
      <c r="K1028" s="1827"/>
      <c r="L1028" s="1827"/>
      <c r="M1028" s="1827"/>
      <c r="N1028" s="1827"/>
      <c r="O1028" s="1827"/>
      <c r="P1028" s="1827"/>
      <c r="Q1028" s="1827"/>
      <c r="R1028" s="1827"/>
      <c r="S1028" s="1827"/>
      <c r="T1028" s="1827"/>
      <c r="U1028" s="1827"/>
      <c r="V1028" s="1827"/>
      <c r="W1028" s="1827"/>
      <c r="X1028" s="1827"/>
      <c r="Y1028" s="1827"/>
      <c r="Z1028" s="1827"/>
      <c r="AA1028" s="1827"/>
      <c r="AB1028" s="1827"/>
      <c r="AC1028" s="1827"/>
      <c r="AD1028" s="1827"/>
      <c r="AE1028" s="1828"/>
      <c r="AF1028" s="1611"/>
      <c r="AG1028" s="1612"/>
      <c r="AH1028" s="1612"/>
      <c r="AI1028" s="1613"/>
      <c r="AJ1028" s="1636"/>
      <c r="AK1028" s="1637"/>
      <c r="AL1028" s="1637"/>
      <c r="AM1028" s="1637"/>
      <c r="AN1028" s="1637"/>
      <c r="AO1028" s="1637"/>
      <c r="AP1028" s="1637"/>
      <c r="AQ1028" s="1638"/>
      <c r="AR1028" s="68"/>
      <c r="AS1028" s="68"/>
      <c r="AT1028" s="68"/>
      <c r="AU1028" s="68"/>
      <c r="AV1028" s="68"/>
      <c r="AW1028" s="68"/>
      <c r="AX1028" s="3">
        <v>7</v>
      </c>
      <c r="AY1028" s="200">
        <f t="shared" si="58"/>
        <v>0</v>
      </c>
      <c r="AZ1028" s="1184">
        <v>0.01</v>
      </c>
    </row>
    <row r="1029" spans="1:52" ht="12.95" customHeight="1">
      <c r="A1029" s="14"/>
      <c r="B1029" s="79"/>
      <c r="C1029" s="80" t="s">
        <v>222</v>
      </c>
      <c r="D1029" s="1862" t="s">
        <v>1288</v>
      </c>
      <c r="E1029" s="1863"/>
      <c r="F1029" s="1863"/>
      <c r="G1029" s="1863"/>
      <c r="H1029" s="1863"/>
      <c r="I1029" s="1863"/>
      <c r="J1029" s="1863"/>
      <c r="K1029" s="1863"/>
      <c r="L1029" s="1863"/>
      <c r="M1029" s="1863"/>
      <c r="N1029" s="1863"/>
      <c r="O1029" s="1863"/>
      <c r="P1029" s="1863"/>
      <c r="Q1029" s="1863"/>
      <c r="R1029" s="1863"/>
      <c r="S1029" s="1863"/>
      <c r="T1029" s="1863"/>
      <c r="U1029" s="1863"/>
      <c r="V1029" s="1863"/>
      <c r="W1029" s="1863"/>
      <c r="X1029" s="1863"/>
      <c r="Y1029" s="1863"/>
      <c r="Z1029" s="1863"/>
      <c r="AA1029" s="1863"/>
      <c r="AB1029" s="1863"/>
      <c r="AC1029" s="1863"/>
      <c r="AD1029" s="1863"/>
      <c r="AE1029" s="1864"/>
      <c r="AF1029" s="79"/>
      <c r="AG1029" s="1814" t="s">
        <v>668</v>
      </c>
      <c r="AH1029" s="1815"/>
      <c r="AI1029" s="87"/>
      <c r="AJ1029" s="1630">
        <f>ROUND(IF(AND(AG1029="Yes",J1033&lt;&gt;"N/A",AF1032&lt;&gt;""),MIN(AF1032,(0.15*AJ1001)),0),0)</f>
        <v>0</v>
      </c>
      <c r="AK1029" s="1631"/>
      <c r="AL1029" s="1631"/>
      <c r="AM1029" s="1631"/>
      <c r="AN1029" s="1631"/>
      <c r="AO1029" s="1631"/>
      <c r="AP1029" s="1631"/>
      <c r="AQ1029" s="1632"/>
      <c r="AR1029" s="68"/>
      <c r="AS1029" s="68"/>
      <c r="AT1029" s="68"/>
      <c r="AU1029" s="68"/>
      <c r="AV1029" s="68"/>
      <c r="AW1029" s="68"/>
      <c r="AX1029" s="3">
        <v>8</v>
      </c>
      <c r="AY1029" s="200">
        <f t="shared" si="58"/>
        <v>0</v>
      </c>
      <c r="AZ1029" s="1184">
        <v>0.01</v>
      </c>
    </row>
    <row r="1030" spans="1:52" ht="12.95" customHeight="1">
      <c r="A1030" s="14"/>
      <c r="B1030" s="81"/>
      <c r="C1030" s="84"/>
      <c r="D1030" s="1865"/>
      <c r="E1030" s="1866"/>
      <c r="F1030" s="1866"/>
      <c r="G1030" s="1866"/>
      <c r="H1030" s="1866"/>
      <c r="I1030" s="1866"/>
      <c r="J1030" s="1866"/>
      <c r="K1030" s="1866"/>
      <c r="L1030" s="1866"/>
      <c r="M1030" s="1866"/>
      <c r="N1030" s="1866"/>
      <c r="O1030" s="1866"/>
      <c r="P1030" s="1866"/>
      <c r="Q1030" s="1866"/>
      <c r="R1030" s="1866"/>
      <c r="S1030" s="1866"/>
      <c r="T1030" s="1866"/>
      <c r="U1030" s="1866"/>
      <c r="V1030" s="1866"/>
      <c r="W1030" s="1866"/>
      <c r="X1030" s="1866"/>
      <c r="Y1030" s="1866"/>
      <c r="Z1030" s="1866"/>
      <c r="AA1030" s="1866"/>
      <c r="AB1030" s="1866"/>
      <c r="AC1030" s="1866"/>
      <c r="AD1030" s="1866"/>
      <c r="AE1030" s="1867"/>
      <c r="AF1030" s="1829" t="str">
        <f>IF(AG1029="yes","Please Select Type and Enter Amount:","")</f>
        <v/>
      </c>
      <c r="AG1030" s="1830"/>
      <c r="AH1030" s="1830"/>
      <c r="AI1030" s="1831"/>
      <c r="AJ1030" s="1633"/>
      <c r="AK1030" s="1634"/>
      <c r="AL1030" s="1634"/>
      <c r="AM1030" s="1634"/>
      <c r="AN1030" s="1634"/>
      <c r="AO1030" s="1634"/>
      <c r="AP1030" s="1634"/>
      <c r="AQ1030" s="1635"/>
      <c r="AR1030" s="68"/>
      <c r="AS1030" s="68"/>
      <c r="AT1030" s="68"/>
      <c r="AU1030" s="68"/>
      <c r="AV1030" s="68"/>
      <c r="AW1030" s="68"/>
      <c r="AX1030" s="3">
        <v>9</v>
      </c>
      <c r="AY1030" s="200">
        <f t="shared" si="58"/>
        <v>0</v>
      </c>
      <c r="AZ1030" s="1184">
        <v>0.01</v>
      </c>
    </row>
    <row r="1031" spans="1:52" ht="12.95" customHeight="1">
      <c r="A1031" s="14"/>
      <c r="B1031" s="81"/>
      <c r="C1031" s="84"/>
      <c r="D1031" s="1805" t="s">
        <v>1289</v>
      </c>
      <c r="E1031" s="1806"/>
      <c r="F1031" s="1806"/>
      <c r="G1031" s="1806"/>
      <c r="H1031" s="1806"/>
      <c r="I1031" s="1806"/>
      <c r="J1031" s="1806"/>
      <c r="K1031" s="1806"/>
      <c r="L1031" s="1806"/>
      <c r="M1031" s="1806"/>
      <c r="N1031" s="1806"/>
      <c r="O1031" s="1806"/>
      <c r="P1031" s="1806"/>
      <c r="Q1031" s="1806"/>
      <c r="R1031" s="1806"/>
      <c r="S1031" s="1806"/>
      <c r="T1031" s="1806"/>
      <c r="U1031" s="1806"/>
      <c r="V1031" s="1806"/>
      <c r="W1031" s="1806"/>
      <c r="X1031" s="1806"/>
      <c r="Y1031" s="1806"/>
      <c r="Z1031" s="1806"/>
      <c r="AA1031" s="1806"/>
      <c r="AB1031" s="1806"/>
      <c r="AC1031" s="1806"/>
      <c r="AD1031" s="1806"/>
      <c r="AE1031" s="1807"/>
      <c r="AF1031" s="1829"/>
      <c r="AG1031" s="1830"/>
      <c r="AH1031" s="1830"/>
      <c r="AI1031" s="1831"/>
      <c r="AJ1031" s="1633"/>
      <c r="AK1031" s="1634"/>
      <c r="AL1031" s="1634"/>
      <c r="AM1031" s="1634"/>
      <c r="AN1031" s="1634"/>
      <c r="AO1031" s="1634"/>
      <c r="AP1031" s="1634"/>
      <c r="AQ1031" s="1635"/>
      <c r="AR1031" s="68"/>
      <c r="AS1031" s="68"/>
      <c r="AT1031" s="68"/>
      <c r="AU1031" s="68"/>
      <c r="AV1031" s="68"/>
      <c r="AW1031" s="68"/>
      <c r="AX1031" s="3">
        <v>10</v>
      </c>
      <c r="AY1031" s="200">
        <f t="shared" si="58"/>
        <v>0</v>
      </c>
      <c r="AZ1031" s="1184">
        <v>0.02</v>
      </c>
    </row>
    <row r="1032" spans="1:52" ht="12.95" customHeight="1">
      <c r="A1032" s="14"/>
      <c r="B1032" s="81"/>
      <c r="C1032" s="84"/>
      <c r="D1032" s="1805"/>
      <c r="E1032" s="1806"/>
      <c r="F1032" s="1806"/>
      <c r="G1032" s="1806"/>
      <c r="H1032" s="1806"/>
      <c r="I1032" s="1806"/>
      <c r="J1032" s="1806"/>
      <c r="K1032" s="1806"/>
      <c r="L1032" s="1806"/>
      <c r="M1032" s="1806"/>
      <c r="N1032" s="1806"/>
      <c r="O1032" s="1806"/>
      <c r="P1032" s="1806"/>
      <c r="Q1032" s="1806"/>
      <c r="R1032" s="1806"/>
      <c r="S1032" s="1806"/>
      <c r="T1032" s="1806"/>
      <c r="U1032" s="1806"/>
      <c r="V1032" s="1806"/>
      <c r="W1032" s="1806"/>
      <c r="X1032" s="1806"/>
      <c r="Y1032" s="1806"/>
      <c r="Z1032" s="1806"/>
      <c r="AA1032" s="1806"/>
      <c r="AB1032" s="1806"/>
      <c r="AC1032" s="1806"/>
      <c r="AD1032" s="1806"/>
      <c r="AE1032" s="1807"/>
      <c r="AF1032" s="1648"/>
      <c r="AG1032" s="1648"/>
      <c r="AH1032" s="1648"/>
      <c r="AI1032" s="1648"/>
      <c r="AJ1032" s="1633"/>
      <c r="AK1032" s="1634"/>
      <c r="AL1032" s="1634"/>
      <c r="AM1032" s="1634"/>
      <c r="AN1032" s="1634"/>
      <c r="AO1032" s="1634"/>
      <c r="AP1032" s="1634"/>
      <c r="AQ1032" s="1635"/>
      <c r="AR1032" s="68"/>
      <c r="AS1032" s="68"/>
      <c r="AT1032" s="68"/>
      <c r="AU1032" s="68"/>
      <c r="AV1032" s="68"/>
      <c r="AW1032" s="68"/>
      <c r="AX1032" s="3">
        <v>11</v>
      </c>
      <c r="AY1032" s="200">
        <f t="shared" si="58"/>
        <v>0</v>
      </c>
      <c r="AZ1032" s="1184">
        <v>0.02</v>
      </c>
    </row>
    <row r="1033" spans="1:52" ht="12.95" customHeight="1">
      <c r="A1033" s="14"/>
      <c r="B1033" s="81"/>
      <c r="C1033" s="84"/>
      <c r="D1033" s="524" t="s">
        <v>358</v>
      </c>
      <c r="E1033" s="90"/>
      <c r="F1033" s="90"/>
      <c r="G1033" s="104"/>
      <c r="H1033" s="104"/>
      <c r="I1033" s="49"/>
      <c r="J1033" s="1885" t="s">
        <v>590</v>
      </c>
      <c r="K1033" s="1886"/>
      <c r="L1033" s="1886"/>
      <c r="M1033" s="1886"/>
      <c r="N1033" s="1886"/>
      <c r="O1033" s="1886"/>
      <c r="P1033" s="1886"/>
      <c r="Q1033" s="1886"/>
      <c r="R1033" s="1886"/>
      <c r="S1033" s="1886"/>
      <c r="T1033" s="1886"/>
      <c r="U1033" s="1886"/>
      <c r="V1033" s="1886"/>
      <c r="W1033" s="1886"/>
      <c r="X1033" s="1886"/>
      <c r="Y1033" s="1886"/>
      <c r="Z1033" s="1886"/>
      <c r="AA1033" s="1886"/>
      <c r="AB1033" s="1886"/>
      <c r="AC1033" s="1886"/>
      <c r="AD1033" s="1886"/>
      <c r="AE1033" s="1887"/>
      <c r="AF1033" s="1648"/>
      <c r="AG1033" s="1648"/>
      <c r="AH1033" s="1648"/>
      <c r="AI1033" s="1648"/>
      <c r="AJ1033" s="1636"/>
      <c r="AK1033" s="1637"/>
      <c r="AL1033" s="1637"/>
      <c r="AM1033" s="1637"/>
      <c r="AN1033" s="1637"/>
      <c r="AO1033" s="1637"/>
      <c r="AP1033" s="1637"/>
      <c r="AQ1033" s="1638"/>
      <c r="AR1033" s="68"/>
      <c r="AS1033" s="68"/>
      <c r="AT1033" s="68"/>
      <c r="AU1033" s="68"/>
      <c r="AV1033" s="68"/>
      <c r="AW1033" s="68"/>
      <c r="AX1033" s="1024" t="s">
        <v>2522</v>
      </c>
      <c r="AY1033" s="201">
        <f>IF(SUM(AY1022:AY1032)&lt;=0.2,SUM(AY1022:AY1032),0.2)</f>
        <v>0.2</v>
      </c>
    </row>
    <row r="1034" spans="1:52" ht="12.95" customHeight="1">
      <c r="A1034" s="14"/>
      <c r="B1034" s="79"/>
      <c r="C1034" s="80" t="s">
        <v>228</v>
      </c>
      <c r="D1034" s="1802" t="s">
        <v>1290</v>
      </c>
      <c r="E1034" s="1803"/>
      <c r="F1034" s="1803"/>
      <c r="G1034" s="1803"/>
      <c r="H1034" s="1803"/>
      <c r="I1034" s="1803"/>
      <c r="J1034" s="1803"/>
      <c r="K1034" s="1803"/>
      <c r="L1034" s="1803"/>
      <c r="M1034" s="1803"/>
      <c r="N1034" s="1803"/>
      <c r="O1034" s="1803"/>
      <c r="P1034" s="1803"/>
      <c r="Q1034" s="1803"/>
      <c r="R1034" s="1803"/>
      <c r="S1034" s="1803"/>
      <c r="T1034" s="1803"/>
      <c r="U1034" s="1803"/>
      <c r="V1034" s="1803"/>
      <c r="W1034" s="1803"/>
      <c r="X1034" s="1803"/>
      <c r="Y1034" s="1803"/>
      <c r="Z1034" s="1803"/>
      <c r="AA1034" s="1803"/>
      <c r="AB1034" s="1803"/>
      <c r="AC1034" s="1803"/>
      <c r="AD1034" s="1803"/>
      <c r="AE1034" s="1804"/>
      <c r="AF1034" s="79"/>
      <c r="AG1034" s="1814" t="s">
        <v>544</v>
      </c>
      <c r="AH1034" s="1815"/>
      <c r="AI1034" s="87"/>
      <c r="AJ1034" s="1630">
        <f>ROUND(IF(AG1034="Yes",AF1036,0),0)</f>
        <v>1210882</v>
      </c>
      <c r="AK1034" s="1631"/>
      <c r="AL1034" s="1631"/>
      <c r="AM1034" s="1631"/>
      <c r="AN1034" s="1631"/>
      <c r="AO1034" s="1631"/>
      <c r="AP1034" s="1631"/>
      <c r="AQ1034" s="1632"/>
      <c r="AR1034" s="68"/>
      <c r="AS1034" s="68"/>
      <c r="AT1034" s="68"/>
      <c r="AU1034" s="68"/>
      <c r="AV1034" s="68"/>
      <c r="AW1034" s="68"/>
      <c r="AX1034" s="68"/>
      <c r="AY1034" s="68"/>
    </row>
    <row r="1035" spans="1:52" ht="12.95" customHeight="1">
      <c r="A1035" s="14"/>
      <c r="B1035" s="73"/>
      <c r="C1035" s="74"/>
      <c r="D1035" s="1805" t="s">
        <v>1676</v>
      </c>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1868" t="str">
        <f>IF(AG1034="yes","Enter Amount:","")</f>
        <v>Enter Amount:</v>
      </c>
      <c r="AG1035" s="1869"/>
      <c r="AH1035" s="1869"/>
      <c r="AI1035" s="1870"/>
      <c r="AJ1035" s="1633"/>
      <c r="AK1035" s="1634"/>
      <c r="AL1035" s="1634"/>
      <c r="AM1035" s="1634"/>
      <c r="AN1035" s="1634"/>
      <c r="AO1035" s="1634"/>
      <c r="AP1035" s="1634"/>
      <c r="AQ1035" s="1635"/>
      <c r="AR1035" s="68"/>
      <c r="AS1035" s="68"/>
      <c r="AT1035" s="68"/>
      <c r="AU1035" s="68"/>
      <c r="AV1035" s="68"/>
      <c r="AW1035" s="68"/>
      <c r="AX1035" s="68"/>
      <c r="AY1035" s="68"/>
    </row>
    <row r="1036" spans="1:52" ht="12.95" customHeight="1">
      <c r="A1036" s="14"/>
      <c r="B1036" s="73"/>
      <c r="C1036" s="74"/>
      <c r="D1036" s="1805"/>
      <c r="E1036" s="1806"/>
      <c r="F1036" s="1806"/>
      <c r="G1036" s="1806"/>
      <c r="H1036" s="1806"/>
      <c r="I1036" s="1806"/>
      <c r="J1036" s="1806"/>
      <c r="K1036" s="1806"/>
      <c r="L1036" s="1806"/>
      <c r="M1036" s="1806"/>
      <c r="N1036" s="1806"/>
      <c r="O1036" s="1806"/>
      <c r="P1036" s="1806"/>
      <c r="Q1036" s="1806"/>
      <c r="R1036" s="1806"/>
      <c r="S1036" s="1806"/>
      <c r="T1036" s="1806"/>
      <c r="U1036" s="1806"/>
      <c r="V1036" s="1806"/>
      <c r="W1036" s="1806"/>
      <c r="X1036" s="1806"/>
      <c r="Y1036" s="1806"/>
      <c r="Z1036" s="1806"/>
      <c r="AA1036" s="1806"/>
      <c r="AB1036" s="1806"/>
      <c r="AC1036" s="1806"/>
      <c r="AD1036" s="1806"/>
      <c r="AE1036" s="1807"/>
      <c r="AF1036" s="1648">
        <f>778435.31+5447+427000</f>
        <v>1210882.31</v>
      </c>
      <c r="AG1036" s="1648"/>
      <c r="AH1036" s="1648"/>
      <c r="AI1036" s="1648"/>
      <c r="AJ1036" s="1633"/>
      <c r="AK1036" s="1634"/>
      <c r="AL1036" s="1634"/>
      <c r="AM1036" s="1634"/>
      <c r="AN1036" s="1634"/>
      <c r="AO1036" s="1634"/>
      <c r="AP1036" s="1634"/>
      <c r="AQ1036" s="163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826"/>
      <c r="E1037" s="1827"/>
      <c r="F1037" s="1827"/>
      <c r="G1037" s="1827"/>
      <c r="H1037" s="1827"/>
      <c r="I1037" s="1827"/>
      <c r="J1037" s="1827"/>
      <c r="K1037" s="1827"/>
      <c r="L1037" s="1827"/>
      <c r="M1037" s="1827"/>
      <c r="N1037" s="1827"/>
      <c r="O1037" s="1827"/>
      <c r="P1037" s="1827"/>
      <c r="Q1037" s="1827"/>
      <c r="R1037" s="1827"/>
      <c r="S1037" s="1827"/>
      <c r="T1037" s="1827"/>
      <c r="U1037" s="1827"/>
      <c r="V1037" s="1827"/>
      <c r="W1037" s="1827"/>
      <c r="X1037" s="1827"/>
      <c r="Y1037" s="1827"/>
      <c r="Z1037" s="1827"/>
      <c r="AA1037" s="1827"/>
      <c r="AB1037" s="1827"/>
      <c r="AC1037" s="1827"/>
      <c r="AD1037" s="1827"/>
      <c r="AE1037" s="1828"/>
      <c r="AF1037" s="1648"/>
      <c r="AG1037" s="1648"/>
      <c r="AH1037" s="1648"/>
      <c r="AI1037" s="1648"/>
      <c r="AJ1037" s="1636"/>
      <c r="AK1037" s="1637"/>
      <c r="AL1037" s="1637"/>
      <c r="AM1037" s="1637"/>
      <c r="AN1037" s="1637"/>
      <c r="AO1037" s="1637"/>
      <c r="AP1037" s="1637"/>
      <c r="AQ1037" s="1638"/>
      <c r="AR1037" s="68"/>
      <c r="AS1037" s="68"/>
      <c r="AT1037" s="68"/>
      <c r="AU1037" s="68"/>
      <c r="AV1037" s="68"/>
      <c r="AW1037" s="68"/>
      <c r="AX1037" s="68"/>
      <c r="AY1037" s="68"/>
    </row>
    <row r="1038" spans="1:52" ht="12.95" customHeight="1">
      <c r="A1038" s="14"/>
      <c r="B1038" s="79"/>
      <c r="C1038" s="80" t="s">
        <v>233</v>
      </c>
      <c r="D1038" s="1823" t="s">
        <v>1291</v>
      </c>
      <c r="E1038" s="1824"/>
      <c r="F1038" s="1824"/>
      <c r="G1038" s="1824"/>
      <c r="H1038" s="1824"/>
      <c r="I1038" s="1824"/>
      <c r="J1038" s="1824"/>
      <c r="K1038" s="1824"/>
      <c r="L1038" s="1824"/>
      <c r="M1038" s="1824"/>
      <c r="N1038" s="1824"/>
      <c r="O1038" s="1824"/>
      <c r="P1038" s="1824"/>
      <c r="Q1038" s="1824"/>
      <c r="R1038" s="1824"/>
      <c r="S1038" s="1824"/>
      <c r="T1038" s="1824"/>
      <c r="U1038" s="1824"/>
      <c r="V1038" s="1824"/>
      <c r="W1038" s="1824"/>
      <c r="X1038" s="1824"/>
      <c r="Y1038" s="1824"/>
      <c r="Z1038" s="1824"/>
      <c r="AA1038" s="1824"/>
      <c r="AB1038" s="1824"/>
      <c r="AC1038" s="1824"/>
      <c r="AD1038" s="1824"/>
      <c r="AE1038" s="1825"/>
      <c r="AF1038" s="79"/>
      <c r="AG1038" s="1814" t="s">
        <v>544</v>
      </c>
      <c r="AH1038" s="1815"/>
      <c r="AI1038" s="87"/>
      <c r="AJ1038" s="1630">
        <f>ROUND(IF(AG1038="yes",(AJ1001*0.1),0),0)</f>
        <v>5942692</v>
      </c>
      <c r="AK1038" s="1631"/>
      <c r="AL1038" s="1631"/>
      <c r="AM1038" s="1631"/>
      <c r="AN1038" s="1631"/>
      <c r="AO1038" s="1631"/>
      <c r="AP1038" s="1631"/>
      <c r="AQ1038" s="1632"/>
      <c r="AR1038" s="68"/>
      <c r="AS1038" s="68"/>
      <c r="AT1038" s="68"/>
      <c r="AU1038" s="68"/>
      <c r="AV1038" s="68"/>
      <c r="AW1038" s="68"/>
      <c r="AX1038" s="68"/>
      <c r="AY1038" s="68"/>
    </row>
    <row r="1039" spans="1:52" ht="12.95" customHeight="1">
      <c r="A1039" s="14"/>
      <c r="B1039" s="73"/>
      <c r="C1039" s="74"/>
      <c r="D1039" s="1805" t="s">
        <v>1292</v>
      </c>
      <c r="E1039" s="1806"/>
      <c r="F1039" s="1806"/>
      <c r="G1039" s="1806"/>
      <c r="H1039" s="1806"/>
      <c r="I1039" s="1806"/>
      <c r="J1039" s="1806"/>
      <c r="K1039" s="1806"/>
      <c r="L1039" s="1806"/>
      <c r="M1039" s="1806"/>
      <c r="N1039" s="1806"/>
      <c r="O1039" s="1806"/>
      <c r="P1039" s="1806"/>
      <c r="Q1039" s="1806"/>
      <c r="R1039" s="1806"/>
      <c r="S1039" s="1806"/>
      <c r="T1039" s="1806"/>
      <c r="U1039" s="1806"/>
      <c r="V1039" s="1806"/>
      <c r="W1039" s="1806"/>
      <c r="X1039" s="1806"/>
      <c r="Y1039" s="1806"/>
      <c r="Z1039" s="1806"/>
      <c r="AA1039" s="1806"/>
      <c r="AB1039" s="1806"/>
      <c r="AC1039" s="1806"/>
      <c r="AD1039" s="1806"/>
      <c r="AE1039" s="1807"/>
      <c r="AF1039" s="73"/>
      <c r="AG1039" s="14"/>
      <c r="AH1039" s="14"/>
      <c r="AI1039" s="83"/>
      <c r="AJ1039" s="1633"/>
      <c r="AK1039" s="1634"/>
      <c r="AL1039" s="1634"/>
      <c r="AM1039" s="1634"/>
      <c r="AN1039" s="1634"/>
      <c r="AO1039" s="1634"/>
      <c r="AP1039" s="1634"/>
      <c r="AQ1039" s="1635"/>
      <c r="AR1039" s="68"/>
      <c r="AS1039" s="68"/>
      <c r="AT1039" s="68"/>
      <c r="AU1039" s="68"/>
      <c r="AV1039" s="68"/>
      <c r="AW1039" s="68"/>
      <c r="AX1039" s="68"/>
      <c r="AY1039" s="68"/>
    </row>
    <row r="1040" spans="1:52" ht="12.95" customHeight="1">
      <c r="A1040" s="14"/>
      <c r="B1040" s="77"/>
      <c r="C1040" s="74"/>
      <c r="D1040" s="1826"/>
      <c r="E1040" s="1827"/>
      <c r="F1040" s="1827"/>
      <c r="G1040" s="1827"/>
      <c r="H1040" s="1827"/>
      <c r="I1040" s="1827"/>
      <c r="J1040" s="1827"/>
      <c r="K1040" s="1827"/>
      <c r="L1040" s="1827"/>
      <c r="M1040" s="1827"/>
      <c r="N1040" s="1827"/>
      <c r="O1040" s="1827"/>
      <c r="P1040" s="1827"/>
      <c r="Q1040" s="1827"/>
      <c r="R1040" s="1827"/>
      <c r="S1040" s="1827"/>
      <c r="T1040" s="1827"/>
      <c r="U1040" s="1827"/>
      <c r="V1040" s="1827"/>
      <c r="W1040" s="1827"/>
      <c r="X1040" s="1827"/>
      <c r="Y1040" s="1827"/>
      <c r="Z1040" s="1827"/>
      <c r="AA1040" s="1827"/>
      <c r="AB1040" s="1827"/>
      <c r="AC1040" s="1827"/>
      <c r="AD1040" s="1827"/>
      <c r="AE1040" s="1828"/>
      <c r="AF1040" s="73"/>
      <c r="AG1040" s="14"/>
      <c r="AH1040" s="14"/>
      <c r="AI1040" s="83"/>
      <c r="AJ1040" s="1636"/>
      <c r="AK1040" s="1637"/>
      <c r="AL1040" s="1637"/>
      <c r="AM1040" s="1637"/>
      <c r="AN1040" s="1637"/>
      <c r="AO1040" s="1637"/>
      <c r="AP1040" s="1637"/>
      <c r="AQ1040" s="1638"/>
      <c r="AR1040" s="68"/>
      <c r="AS1040" s="68"/>
      <c r="AT1040" s="68"/>
      <c r="AU1040" s="68"/>
      <c r="AV1040" s="68"/>
      <c r="AW1040" s="68"/>
      <c r="AX1040" s="68"/>
      <c r="AY1040" s="68"/>
    </row>
    <row r="1041" spans="1:57" ht="12.95" customHeight="1">
      <c r="A1041" s="14"/>
      <c r="B1041" s="73"/>
      <c r="C1041" s="337" t="s">
        <v>686</v>
      </c>
      <c r="D1041" s="1802" t="s">
        <v>1672</v>
      </c>
      <c r="E1041" s="1803"/>
      <c r="F1041" s="1803"/>
      <c r="G1041" s="1803"/>
      <c r="H1041" s="1803"/>
      <c r="I1041" s="1803"/>
      <c r="J1041" s="1803"/>
      <c r="K1041" s="1803"/>
      <c r="L1041" s="1803"/>
      <c r="M1041" s="1803"/>
      <c r="N1041" s="1803"/>
      <c r="O1041" s="1803"/>
      <c r="P1041" s="1803"/>
      <c r="Q1041" s="1803"/>
      <c r="R1041" s="1803"/>
      <c r="S1041" s="1803"/>
      <c r="T1041" s="1803"/>
      <c r="U1041" s="1803"/>
      <c r="V1041" s="1803"/>
      <c r="W1041" s="1803"/>
      <c r="X1041" s="1803"/>
      <c r="Y1041" s="1803"/>
      <c r="Z1041" s="1803"/>
      <c r="AA1041" s="1803"/>
      <c r="AB1041" s="1803"/>
      <c r="AC1041" s="1803"/>
      <c r="AD1041" s="1803"/>
      <c r="AE1041" s="1804"/>
      <c r="AF1041" s="79"/>
      <c r="AG1041" s="1814" t="s">
        <v>668</v>
      </c>
      <c r="AH1041" s="1815"/>
      <c r="AI1041" s="87"/>
      <c r="AJ1041" s="1630">
        <f>ROUND(IF(AG1041="yes",(AJ1001*0.15),0),0)</f>
        <v>0</v>
      </c>
      <c r="AK1041" s="1631"/>
      <c r="AL1041" s="1631"/>
      <c r="AM1041" s="1631"/>
      <c r="AN1041" s="1631"/>
      <c r="AO1041" s="1631"/>
      <c r="AP1041" s="1631"/>
      <c r="AQ1041" s="1632"/>
      <c r="AR1041" s="68"/>
      <c r="AS1041" s="68"/>
      <c r="AT1041" s="68"/>
      <c r="AU1041" s="68"/>
      <c r="AV1041" s="68"/>
      <c r="AW1041" s="68"/>
      <c r="AX1041" s="68"/>
      <c r="AY1041" s="68"/>
    </row>
    <row r="1042" spans="1:57" ht="12.95" customHeight="1">
      <c r="A1042" s="14"/>
      <c r="B1042" s="73"/>
      <c r="C1042" s="74"/>
      <c r="D1042" s="1857" t="s">
        <v>1673</v>
      </c>
      <c r="E1042" s="1533"/>
      <c r="F1042" s="1533"/>
      <c r="G1042" s="1533"/>
      <c r="H1042" s="1533"/>
      <c r="I1042" s="1533"/>
      <c r="J1042" s="1533"/>
      <c r="K1042" s="1533"/>
      <c r="L1042" s="1533"/>
      <c r="M1042" s="1533"/>
      <c r="N1042" s="1533"/>
      <c r="O1042" s="1533"/>
      <c r="P1042" s="1533"/>
      <c r="Q1042" s="1533"/>
      <c r="R1042" s="1533"/>
      <c r="S1042" s="1533"/>
      <c r="T1042" s="1533"/>
      <c r="U1042" s="1533"/>
      <c r="V1042" s="1533"/>
      <c r="W1042" s="1533"/>
      <c r="X1042" s="1533"/>
      <c r="Y1042" s="1533"/>
      <c r="Z1042" s="1533"/>
      <c r="AA1042" s="1533"/>
      <c r="AB1042" s="1533"/>
      <c r="AC1042" s="1533"/>
      <c r="AD1042" s="1533"/>
      <c r="AE1042" s="1858"/>
      <c r="AF1042" s="909"/>
      <c r="AG1042" s="910"/>
      <c r="AH1042" s="910"/>
      <c r="AI1042" s="911"/>
      <c r="AJ1042" s="1633"/>
      <c r="AK1042" s="1634"/>
      <c r="AL1042" s="1634"/>
      <c r="AM1042" s="1634"/>
      <c r="AN1042" s="1634"/>
      <c r="AO1042" s="1634"/>
      <c r="AP1042" s="1634"/>
      <c r="AQ1042" s="1635"/>
      <c r="AR1042" s="68"/>
      <c r="AS1042" s="68"/>
      <c r="AT1042" s="68"/>
      <c r="AU1042" s="68"/>
      <c r="AV1042" s="68"/>
      <c r="AW1042" s="68"/>
      <c r="AX1042" s="68"/>
      <c r="AY1042" s="68"/>
    </row>
    <row r="1043" spans="1:57" ht="12.95" customHeight="1">
      <c r="A1043" s="14"/>
      <c r="B1043" s="73"/>
      <c r="C1043" s="74"/>
      <c r="D1043" s="1857"/>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858"/>
      <c r="AF1043" s="909"/>
      <c r="AG1043" s="910"/>
      <c r="AH1043" s="910"/>
      <c r="AI1043" s="911"/>
      <c r="AJ1043" s="1633"/>
      <c r="AK1043" s="1634"/>
      <c r="AL1043" s="1634"/>
      <c r="AM1043" s="1634"/>
      <c r="AN1043" s="1634"/>
      <c r="AO1043" s="1634"/>
      <c r="AP1043" s="1634"/>
      <c r="AQ1043" s="1635"/>
      <c r="AR1043" s="68"/>
      <c r="AS1043" s="68"/>
      <c r="AT1043" s="68"/>
      <c r="AU1043" s="68"/>
      <c r="AV1043" s="68"/>
      <c r="AW1043" s="68"/>
      <c r="AX1043" s="68"/>
      <c r="AY1043" s="68"/>
    </row>
    <row r="1044" spans="1:57" ht="12.95" customHeight="1">
      <c r="A1044" s="14"/>
      <c r="B1044" s="73"/>
      <c r="C1044" s="74"/>
      <c r="D1044" s="1859"/>
      <c r="E1044" s="1860"/>
      <c r="F1044" s="1860"/>
      <c r="G1044" s="1860"/>
      <c r="H1044" s="1860"/>
      <c r="I1044" s="1860"/>
      <c r="J1044" s="1860"/>
      <c r="K1044" s="1860"/>
      <c r="L1044" s="1860"/>
      <c r="M1044" s="1860"/>
      <c r="N1044" s="1860"/>
      <c r="O1044" s="1860"/>
      <c r="P1044" s="1860"/>
      <c r="Q1044" s="1860"/>
      <c r="R1044" s="1860"/>
      <c r="S1044" s="1860"/>
      <c r="T1044" s="1860"/>
      <c r="U1044" s="1860"/>
      <c r="V1044" s="1860"/>
      <c r="W1044" s="1860"/>
      <c r="X1044" s="1860"/>
      <c r="Y1044" s="1860"/>
      <c r="Z1044" s="1860"/>
      <c r="AA1044" s="1860"/>
      <c r="AB1044" s="1860"/>
      <c r="AC1044" s="1860"/>
      <c r="AD1044" s="1860"/>
      <c r="AE1044" s="1861"/>
      <c r="AF1044" s="912"/>
      <c r="AG1044" s="913"/>
      <c r="AH1044" s="913"/>
      <c r="AI1044" s="914"/>
      <c r="AJ1044" s="1636"/>
      <c r="AK1044" s="1637"/>
      <c r="AL1044" s="1637"/>
      <c r="AM1044" s="1637"/>
      <c r="AN1044" s="1637"/>
      <c r="AO1044" s="1637"/>
      <c r="AP1044" s="1637"/>
      <c r="AQ1044" s="1638"/>
      <c r="AR1044" s="68"/>
      <c r="AS1044" s="68"/>
      <c r="AT1044" s="68"/>
      <c r="AU1044" s="68"/>
      <c r="AV1044" s="68"/>
      <c r="AW1044" s="68"/>
      <c r="AX1044" s="68"/>
      <c r="AY1044" s="68"/>
    </row>
    <row r="1045" spans="1:57" ht="12.95" customHeight="1">
      <c r="A1045" s="14"/>
      <c r="B1045" s="73"/>
      <c r="C1045" s="337" t="s">
        <v>686</v>
      </c>
      <c r="D1045" s="1823" t="s">
        <v>1674</v>
      </c>
      <c r="E1045" s="1824"/>
      <c r="F1045" s="1824"/>
      <c r="G1045" s="1824"/>
      <c r="H1045" s="1824"/>
      <c r="I1045" s="1824"/>
      <c r="J1045" s="1824"/>
      <c r="K1045" s="1824"/>
      <c r="L1045" s="1824"/>
      <c r="M1045" s="1824"/>
      <c r="N1045" s="1824"/>
      <c r="O1045" s="1824"/>
      <c r="P1045" s="1824"/>
      <c r="Q1045" s="1824"/>
      <c r="R1045" s="1824"/>
      <c r="S1045" s="1824"/>
      <c r="T1045" s="1824"/>
      <c r="U1045" s="1824"/>
      <c r="V1045" s="1824"/>
      <c r="W1045" s="1824"/>
      <c r="X1045" s="1824"/>
      <c r="Y1045" s="1824"/>
      <c r="Z1045" s="1824"/>
      <c r="AA1045" s="1824"/>
      <c r="AB1045" s="1824"/>
      <c r="AC1045" s="1824"/>
      <c r="AD1045" s="1824"/>
      <c r="AE1045" s="1825"/>
      <c r="AF1045" s="73"/>
      <c r="AG1045" s="1841" t="s">
        <v>668</v>
      </c>
      <c r="AH1045" s="1842"/>
      <c r="AI1045" s="83"/>
      <c r="AJ1045" s="1630">
        <f>ROUND(IF(AND(AG1045="yes",AJ1041=0),(AJ1001*0.1),0),0)</f>
        <v>0</v>
      </c>
      <c r="AK1045" s="1631"/>
      <c r="AL1045" s="1631"/>
      <c r="AM1045" s="1631"/>
      <c r="AN1045" s="1631"/>
      <c r="AO1045" s="1631"/>
      <c r="AP1045" s="1631"/>
      <c r="AQ1045" s="1632"/>
      <c r="AR1045" s="68"/>
      <c r="AS1045" s="68"/>
      <c r="AT1045" s="68"/>
      <c r="AU1045" s="68"/>
      <c r="AV1045" s="68"/>
      <c r="AW1045" s="68"/>
      <c r="AX1045" s="68"/>
      <c r="AY1045" s="68"/>
    </row>
    <row r="1046" spans="1:57" ht="12.95" customHeight="1">
      <c r="A1046" s="14"/>
      <c r="B1046" s="73"/>
      <c r="C1046" s="74"/>
      <c r="D1046" s="1857" t="s">
        <v>1675</v>
      </c>
      <c r="E1046" s="1533"/>
      <c r="F1046" s="1533"/>
      <c r="G1046" s="1533"/>
      <c r="H1046" s="1533"/>
      <c r="I1046" s="1533"/>
      <c r="J1046" s="1533"/>
      <c r="K1046" s="1533"/>
      <c r="L1046" s="1533"/>
      <c r="M1046" s="1533"/>
      <c r="N1046" s="1533"/>
      <c r="O1046" s="1533"/>
      <c r="P1046" s="1533"/>
      <c r="Q1046" s="1533"/>
      <c r="R1046" s="1533"/>
      <c r="S1046" s="1533"/>
      <c r="T1046" s="1533"/>
      <c r="U1046" s="1533"/>
      <c r="V1046" s="1533"/>
      <c r="W1046" s="1533"/>
      <c r="X1046" s="1533"/>
      <c r="Y1046" s="1533"/>
      <c r="Z1046" s="1533"/>
      <c r="AA1046" s="1533"/>
      <c r="AB1046" s="1533"/>
      <c r="AC1046" s="1533"/>
      <c r="AD1046" s="1533"/>
      <c r="AE1046" s="1858"/>
      <c r="AF1046" s="73"/>
      <c r="AG1046" s="14"/>
      <c r="AH1046" s="14"/>
      <c r="AI1046" s="83"/>
      <c r="AJ1046" s="1633"/>
      <c r="AK1046" s="1634"/>
      <c r="AL1046" s="1634"/>
      <c r="AM1046" s="1634"/>
      <c r="AN1046" s="1634"/>
      <c r="AO1046" s="1634"/>
      <c r="AP1046" s="1634"/>
      <c r="AQ1046" s="1635"/>
      <c r="AR1046" s="68"/>
      <c r="AS1046" s="68"/>
      <c r="AT1046" s="68"/>
      <c r="AU1046" s="68"/>
      <c r="AV1046" s="68"/>
      <c r="AW1046" s="68"/>
      <c r="AX1046" s="68"/>
      <c r="AY1046" s="68"/>
    </row>
    <row r="1047" spans="1:57" ht="12.95" customHeight="1">
      <c r="A1047" s="14"/>
      <c r="B1047" s="73"/>
      <c r="C1047" s="74"/>
      <c r="D1047" s="1857"/>
      <c r="E1047" s="1533"/>
      <c r="F1047" s="1533"/>
      <c r="G1047" s="1533"/>
      <c r="H1047" s="1533"/>
      <c r="I1047" s="1533"/>
      <c r="J1047" s="1533"/>
      <c r="K1047" s="1533"/>
      <c r="L1047" s="1533"/>
      <c r="M1047" s="1533"/>
      <c r="N1047" s="1533"/>
      <c r="O1047" s="1533"/>
      <c r="P1047" s="1533"/>
      <c r="Q1047" s="1533"/>
      <c r="R1047" s="1533"/>
      <c r="S1047" s="1533"/>
      <c r="T1047" s="1533"/>
      <c r="U1047" s="1533"/>
      <c r="V1047" s="1533"/>
      <c r="W1047" s="1533"/>
      <c r="X1047" s="1533"/>
      <c r="Y1047" s="1533"/>
      <c r="Z1047" s="1533"/>
      <c r="AA1047" s="1533"/>
      <c r="AB1047" s="1533"/>
      <c r="AC1047" s="1533"/>
      <c r="AD1047" s="1533"/>
      <c r="AE1047" s="1858"/>
      <c r="AF1047" s="73"/>
      <c r="AG1047" s="14"/>
      <c r="AH1047" s="14"/>
      <c r="AI1047" s="83"/>
      <c r="AJ1047" s="1633"/>
      <c r="AK1047" s="1634"/>
      <c r="AL1047" s="1634"/>
      <c r="AM1047" s="1634"/>
      <c r="AN1047" s="1634"/>
      <c r="AO1047" s="1634"/>
      <c r="AP1047" s="1634"/>
      <c r="AQ1047" s="1635"/>
      <c r="AR1047" s="68"/>
      <c r="AS1047" s="68"/>
      <c r="AT1047" s="68"/>
      <c r="AU1047" s="68"/>
      <c r="AV1047" s="68"/>
      <c r="AW1047" s="68"/>
      <c r="AX1047" s="68"/>
      <c r="AY1047" s="68"/>
      <c r="BA1047" s="1171">
        <f>IFERROR(('Sources and Uses Budget'!$C$17+'Sources and Uses Budget'!$C$18+'Sources and Uses Budget'!$C$22)/$AG$446,0)</f>
        <v>0</v>
      </c>
      <c r="BB1047" s="1171" t="s">
        <v>2410</v>
      </c>
      <c r="BC1047" s="1171"/>
      <c r="BD1047" s="1171"/>
      <c r="BE1047" s="1171"/>
    </row>
    <row r="1048" spans="1:57" ht="12.95" customHeight="1">
      <c r="A1048" s="14"/>
      <c r="B1048" s="73"/>
      <c r="C1048" s="74"/>
      <c r="D1048" s="1857"/>
      <c r="E1048" s="1533"/>
      <c r="F1048" s="1533"/>
      <c r="G1048" s="1533"/>
      <c r="H1048" s="1533"/>
      <c r="I1048" s="1533"/>
      <c r="J1048" s="1533"/>
      <c r="K1048" s="1533"/>
      <c r="L1048" s="1533"/>
      <c r="M1048" s="1533"/>
      <c r="N1048" s="1533"/>
      <c r="O1048" s="1533"/>
      <c r="P1048" s="1533"/>
      <c r="Q1048" s="1533"/>
      <c r="R1048" s="1533"/>
      <c r="S1048" s="1533"/>
      <c r="T1048" s="1533"/>
      <c r="U1048" s="1533"/>
      <c r="V1048" s="1533"/>
      <c r="W1048" s="1533"/>
      <c r="X1048" s="1533"/>
      <c r="Y1048" s="1533"/>
      <c r="Z1048" s="1533"/>
      <c r="AA1048" s="1533"/>
      <c r="AB1048" s="1533"/>
      <c r="AC1048" s="1533"/>
      <c r="AD1048" s="1533"/>
      <c r="AE1048" s="1858"/>
      <c r="AF1048" s="73"/>
      <c r="AG1048" s="14"/>
      <c r="AH1048" s="14"/>
      <c r="AI1048" s="83"/>
      <c r="AJ1048" s="1633"/>
      <c r="AK1048" s="1634"/>
      <c r="AL1048" s="1634"/>
      <c r="AM1048" s="1634"/>
      <c r="AN1048" s="1634"/>
      <c r="AO1048" s="1634"/>
      <c r="AP1048" s="1634"/>
      <c r="AQ1048" s="1635"/>
      <c r="AR1048" s="68"/>
      <c r="AS1048" s="68"/>
      <c r="AT1048" s="68"/>
      <c r="AU1048" s="68"/>
      <c r="AV1048" s="68"/>
      <c r="AW1048" s="68"/>
      <c r="AX1048" s="68"/>
      <c r="AY1048" s="68"/>
      <c r="BA1048">
        <f>IFERROR((($CI$761+$CM$761)/$AG$449),0)</f>
        <v>0.30508474576271188</v>
      </c>
      <c r="BB1048" s="3" t="s">
        <v>2414</v>
      </c>
    </row>
    <row r="1049" spans="1:57" ht="12.95" customHeight="1">
      <c r="A1049" s="14"/>
      <c r="B1049" s="73"/>
      <c r="C1049" s="74"/>
      <c r="D1049" s="1859"/>
      <c r="E1049" s="1860"/>
      <c r="F1049" s="1860"/>
      <c r="G1049" s="1860"/>
      <c r="H1049" s="1860"/>
      <c r="I1049" s="1860"/>
      <c r="J1049" s="1860"/>
      <c r="K1049" s="1860"/>
      <c r="L1049" s="1860"/>
      <c r="M1049" s="1860"/>
      <c r="N1049" s="1860"/>
      <c r="O1049" s="1860"/>
      <c r="P1049" s="1860"/>
      <c r="Q1049" s="1860"/>
      <c r="R1049" s="1860"/>
      <c r="S1049" s="1860"/>
      <c r="T1049" s="1860"/>
      <c r="U1049" s="1860"/>
      <c r="V1049" s="1860"/>
      <c r="W1049" s="1860"/>
      <c r="X1049" s="1860"/>
      <c r="Y1049" s="1860"/>
      <c r="Z1049" s="1860"/>
      <c r="AA1049" s="1860"/>
      <c r="AB1049" s="1860"/>
      <c r="AC1049" s="1860"/>
      <c r="AD1049" s="1860"/>
      <c r="AE1049" s="1861"/>
      <c r="AF1049" s="73"/>
      <c r="AG1049" s="14"/>
      <c r="AH1049" s="14"/>
      <c r="AI1049" s="83"/>
      <c r="AJ1049" s="1633"/>
      <c r="AK1049" s="1634"/>
      <c r="AL1049" s="1634"/>
      <c r="AM1049" s="1634"/>
      <c r="AN1049" s="1634"/>
      <c r="AO1049" s="1634"/>
      <c r="AP1049" s="1634"/>
      <c r="AQ1049" s="1635"/>
      <c r="AR1049" s="68"/>
      <c r="AS1049" s="68"/>
      <c r="AT1049" s="68"/>
      <c r="AU1049" s="68"/>
      <c r="AV1049" s="68"/>
      <c r="AW1049" s="68"/>
      <c r="AX1049" s="68"/>
      <c r="AY1049" s="68"/>
      <c r="BA1049" t="b">
        <f>'Points System'!AJ163="Yes"</f>
        <v>0</v>
      </c>
      <c r="BB1049" s="3" t="s">
        <v>2411</v>
      </c>
    </row>
    <row r="1050" spans="1:57" ht="12.95" customHeight="1">
      <c r="A1050" s="14"/>
      <c r="B1050" s="79"/>
      <c r="C1050" s="131" t="s">
        <v>1007</v>
      </c>
      <c r="D1050" s="1802" t="s">
        <v>1293</v>
      </c>
      <c r="E1050" s="1803"/>
      <c r="F1050" s="1803"/>
      <c r="G1050" s="1803"/>
      <c r="H1050" s="1803"/>
      <c r="I1050" s="1803"/>
      <c r="J1050" s="1803"/>
      <c r="K1050" s="1803"/>
      <c r="L1050" s="1803"/>
      <c r="M1050" s="1803"/>
      <c r="N1050" s="1803"/>
      <c r="O1050" s="1803"/>
      <c r="P1050" s="1803"/>
      <c r="Q1050" s="1803"/>
      <c r="R1050" s="1803"/>
      <c r="S1050" s="1803"/>
      <c r="T1050" s="1803"/>
      <c r="U1050" s="1803"/>
      <c r="V1050" s="1803"/>
      <c r="W1050" s="1803"/>
      <c r="X1050" s="1803"/>
      <c r="Y1050" s="1803"/>
      <c r="Z1050" s="1803"/>
      <c r="AA1050" s="1803"/>
      <c r="AB1050" s="1803"/>
      <c r="AC1050" s="1803"/>
      <c r="AD1050" s="1803"/>
      <c r="AE1050" s="1804"/>
      <c r="AF1050" s="79"/>
      <c r="AG1050" s="1814" t="s">
        <v>668</v>
      </c>
      <c r="AH1050" s="1815"/>
      <c r="AI1050" s="87"/>
      <c r="AJ1050" s="1630">
        <f>ROUND(IF(AG1050="yes",(AJ1001*0.1),0),0)</f>
        <v>0</v>
      </c>
      <c r="AK1050" s="1631"/>
      <c r="AL1050" s="1631"/>
      <c r="AM1050" s="1631"/>
      <c r="AN1050" s="1631"/>
      <c r="AO1050" s="1631"/>
      <c r="AP1050" s="1631"/>
      <c r="AQ1050" s="1632"/>
      <c r="AR1050" s="68"/>
      <c r="AS1050" s="68"/>
      <c r="AT1050" s="68"/>
      <c r="AU1050" s="68"/>
      <c r="AV1050" s="68"/>
      <c r="AW1050" s="68"/>
      <c r="AX1050" s="68"/>
      <c r="AY1050" s="68"/>
      <c r="BA1050">
        <f>Q212</f>
        <v>0</v>
      </c>
      <c r="BB1050" s="3" t="s">
        <v>2412</v>
      </c>
    </row>
    <row r="1051" spans="1:57" ht="12.95" customHeight="1">
      <c r="A1051" s="14"/>
      <c r="B1051" s="73"/>
      <c r="C1051" s="74"/>
      <c r="D1051" s="1805" t="s">
        <v>2095</v>
      </c>
      <c r="E1051" s="1806"/>
      <c r="F1051" s="1806"/>
      <c r="G1051" s="1806"/>
      <c r="H1051" s="1806"/>
      <c r="I1051" s="1806"/>
      <c r="J1051" s="1806"/>
      <c r="K1051" s="1806"/>
      <c r="L1051" s="1806"/>
      <c r="M1051" s="1806"/>
      <c r="N1051" s="1806"/>
      <c r="O1051" s="1806"/>
      <c r="P1051" s="1806"/>
      <c r="Q1051" s="1806"/>
      <c r="R1051" s="1806"/>
      <c r="S1051" s="1806"/>
      <c r="T1051" s="1806"/>
      <c r="U1051" s="1806"/>
      <c r="V1051" s="1806"/>
      <c r="W1051" s="1806"/>
      <c r="X1051" s="1806"/>
      <c r="Y1051" s="1806"/>
      <c r="Z1051" s="1806"/>
      <c r="AA1051" s="1806"/>
      <c r="AB1051" s="1806"/>
      <c r="AC1051" s="1806"/>
      <c r="AD1051" s="1806"/>
      <c r="AE1051" s="1807"/>
      <c r="AF1051" s="73"/>
      <c r="AG1051" s="14"/>
      <c r="AH1051" s="14"/>
      <c r="AI1051" s="83"/>
      <c r="AJ1051" s="1633"/>
      <c r="AK1051" s="1634"/>
      <c r="AL1051" s="1634"/>
      <c r="AM1051" s="1634"/>
      <c r="AN1051" s="1634"/>
      <c r="AO1051" s="1634"/>
      <c r="AP1051" s="1634"/>
      <c r="AQ1051" s="1635"/>
      <c r="AR1051" s="68"/>
      <c r="AS1051" s="68"/>
      <c r="AT1051" s="68"/>
      <c r="AU1051" s="68"/>
      <c r="AV1051" s="68"/>
      <c r="AW1051" s="68"/>
      <c r="AX1051" s="68"/>
      <c r="AY1051" s="68"/>
      <c r="BA1051" s="1172">
        <f>T212</f>
        <v>0</v>
      </c>
      <c r="BB1051" s="3" t="s">
        <v>2413</v>
      </c>
    </row>
    <row r="1052" spans="1:57" ht="12.95" customHeight="1">
      <c r="A1052" s="14"/>
      <c r="B1052" s="73"/>
      <c r="C1052" s="74"/>
      <c r="D1052" s="1805"/>
      <c r="E1052" s="1806"/>
      <c r="F1052" s="1806"/>
      <c r="G1052" s="1806"/>
      <c r="H1052" s="1806"/>
      <c r="I1052" s="1806"/>
      <c r="J1052" s="1806"/>
      <c r="K1052" s="1806"/>
      <c r="L1052" s="1806"/>
      <c r="M1052" s="1806"/>
      <c r="N1052" s="1806"/>
      <c r="O1052" s="1806"/>
      <c r="P1052" s="1806"/>
      <c r="Q1052" s="1806"/>
      <c r="R1052" s="1806"/>
      <c r="S1052" s="1806"/>
      <c r="T1052" s="1806"/>
      <c r="U1052" s="1806"/>
      <c r="V1052" s="1806"/>
      <c r="W1052" s="1806"/>
      <c r="X1052" s="1806"/>
      <c r="Y1052" s="1806"/>
      <c r="Z1052" s="1806"/>
      <c r="AA1052" s="1806"/>
      <c r="AB1052" s="1806"/>
      <c r="AC1052" s="1806"/>
      <c r="AD1052" s="1806"/>
      <c r="AE1052" s="1807"/>
      <c r="AF1052" s="73"/>
      <c r="AG1052" s="14"/>
      <c r="AH1052" s="14"/>
      <c r="AI1052" s="83"/>
      <c r="AJ1052" s="1633"/>
      <c r="AK1052" s="1634"/>
      <c r="AL1052" s="1634"/>
      <c r="AM1052" s="1634"/>
      <c r="AN1052" s="1634"/>
      <c r="AO1052" s="1634"/>
      <c r="AP1052" s="1634"/>
      <c r="AQ1052" s="1635"/>
      <c r="AR1052" s="68"/>
      <c r="AS1052" s="68"/>
      <c r="AT1052" s="68"/>
      <c r="AU1052" s="68"/>
      <c r="AV1052" s="68"/>
      <c r="AW1052" s="68"/>
      <c r="AX1052" s="68"/>
      <c r="AY1052" s="68"/>
    </row>
    <row r="1053" spans="1:57" ht="12.95" customHeight="1">
      <c r="A1053" s="14"/>
      <c r="B1053" s="73"/>
      <c r="C1053" s="74"/>
      <c r="D1053" s="1826"/>
      <c r="E1053" s="1827"/>
      <c r="F1053" s="1827"/>
      <c r="G1053" s="1827"/>
      <c r="H1053" s="1827"/>
      <c r="I1053" s="1827"/>
      <c r="J1053" s="1827"/>
      <c r="K1053" s="1827"/>
      <c r="L1053" s="1827"/>
      <c r="M1053" s="1827"/>
      <c r="N1053" s="1827"/>
      <c r="O1053" s="1827"/>
      <c r="P1053" s="1827"/>
      <c r="Q1053" s="1827"/>
      <c r="R1053" s="1827"/>
      <c r="S1053" s="1827"/>
      <c r="T1053" s="1827"/>
      <c r="U1053" s="1827"/>
      <c r="V1053" s="1827"/>
      <c r="W1053" s="1827"/>
      <c r="X1053" s="1827"/>
      <c r="Y1053" s="1827"/>
      <c r="Z1053" s="1827"/>
      <c r="AA1053" s="1827"/>
      <c r="AB1053" s="1827"/>
      <c r="AC1053" s="1827"/>
      <c r="AD1053" s="1827"/>
      <c r="AE1053" s="1828"/>
      <c r="AF1053" s="73"/>
      <c r="AG1053" s="14"/>
      <c r="AH1053" s="14"/>
      <c r="AI1053" s="83"/>
      <c r="AJ1053" s="1636"/>
      <c r="AK1053" s="1637"/>
      <c r="AL1053" s="1637"/>
      <c r="AM1053" s="1637"/>
      <c r="AN1053" s="1637"/>
      <c r="AO1053" s="1637"/>
      <c r="AP1053" s="1637"/>
      <c r="AQ1053" s="1638"/>
      <c r="AR1053" s="68"/>
      <c r="AS1053" s="68"/>
      <c r="AT1053" s="68"/>
      <c r="AU1053" s="68"/>
      <c r="AV1053" s="68"/>
      <c r="AW1053" s="68"/>
      <c r="AX1053" s="68"/>
      <c r="AY1053" s="68"/>
    </row>
    <row r="1054" spans="1:57" ht="12.95" customHeight="1">
      <c r="A1054" s="14"/>
      <c r="B1054" s="79"/>
      <c r="C1054" s="131" t="s">
        <v>1670</v>
      </c>
      <c r="D1054" s="1823" t="s">
        <v>1835</v>
      </c>
      <c r="E1054" s="1824"/>
      <c r="F1054" s="1824"/>
      <c r="G1054" s="1824"/>
      <c r="H1054" s="1824"/>
      <c r="I1054" s="1824"/>
      <c r="J1054" s="1824"/>
      <c r="K1054" s="1824"/>
      <c r="L1054" s="1824"/>
      <c r="M1054" s="1824"/>
      <c r="N1054" s="1824"/>
      <c r="O1054" s="1824"/>
      <c r="P1054" s="1824"/>
      <c r="Q1054" s="1824"/>
      <c r="R1054" s="1824"/>
      <c r="S1054" s="1824"/>
      <c r="T1054" s="1824"/>
      <c r="U1054" s="1824"/>
      <c r="V1054" s="1824"/>
      <c r="W1054" s="1824"/>
      <c r="X1054" s="1824"/>
      <c r="Y1054" s="1824"/>
      <c r="Z1054" s="1824"/>
      <c r="AA1054" s="1824"/>
      <c r="AB1054" s="1824"/>
      <c r="AC1054" s="1824"/>
      <c r="AD1054" s="1824"/>
      <c r="AE1054" s="1825"/>
      <c r="AF1054" s="79"/>
      <c r="AG1054" s="1812" t="str">
        <f>IF(X1057&gt;0,"Yes","No")</f>
        <v>Yes</v>
      </c>
      <c r="AH1054" s="1813"/>
      <c r="AI1054" s="87"/>
      <c r="AJ1054" s="1630">
        <f>IF((X1057=0),0,AY1014*AJ1001)</f>
        <v>11885384</v>
      </c>
      <c r="AK1054" s="1631"/>
      <c r="AL1054" s="1631"/>
      <c r="AM1054" s="1631"/>
      <c r="AN1054" s="1631"/>
      <c r="AO1054" s="1631"/>
      <c r="AP1054" s="1631"/>
      <c r="AQ1054" s="1632"/>
      <c r="AR1054" s="68"/>
      <c r="AS1054" s="68"/>
      <c r="AT1054" s="68"/>
      <c r="AU1054" s="68"/>
      <c r="AV1054" s="68"/>
      <c r="AW1054" s="68"/>
      <c r="AX1054" s="68"/>
      <c r="AY1054" s="68"/>
      <c r="AZ1054" s="1169">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2399</v>
      </c>
      <c r="BB1054" s="3"/>
      <c r="BC1054" s="3"/>
      <c r="BD1054" s="3"/>
    </row>
    <row r="1055" spans="1:57" ht="12.95" customHeight="1">
      <c r="A1055" s="14"/>
      <c r="B1055" s="73"/>
      <c r="C1055" s="440"/>
      <c r="D1055" s="1805" t="s">
        <v>1295</v>
      </c>
      <c r="E1055" s="1806"/>
      <c r="F1055" s="1806"/>
      <c r="G1055" s="1806"/>
      <c r="H1055" s="1806"/>
      <c r="I1055" s="1806"/>
      <c r="J1055" s="1806"/>
      <c r="K1055" s="1806"/>
      <c r="L1055" s="1806"/>
      <c r="M1055" s="1806"/>
      <c r="N1055" s="1806"/>
      <c r="O1055" s="1806"/>
      <c r="P1055" s="1806"/>
      <c r="Q1055" s="1806"/>
      <c r="R1055" s="1806"/>
      <c r="S1055" s="1806"/>
      <c r="T1055" s="1806"/>
      <c r="U1055" s="1806"/>
      <c r="V1055" s="1806"/>
      <c r="W1055" s="1806"/>
      <c r="X1055" s="1806"/>
      <c r="Y1055" s="1806"/>
      <c r="Z1055" s="1806"/>
      <c r="AA1055" s="1806"/>
      <c r="AB1055" s="1806"/>
      <c r="AC1055" s="1806"/>
      <c r="AD1055" s="1806"/>
      <c r="AE1055" s="1807"/>
      <c r="AF1055" s="73"/>
      <c r="AG1055" s="441"/>
      <c r="AH1055" s="441"/>
      <c r="AI1055" s="83"/>
      <c r="AJ1055" s="1633"/>
      <c r="AK1055" s="1634"/>
      <c r="AL1055" s="1634"/>
      <c r="AM1055" s="1634"/>
      <c r="AN1055" s="1634"/>
      <c r="AO1055" s="1634"/>
      <c r="AP1055" s="1634"/>
      <c r="AQ1055" s="1635"/>
      <c r="AR1055" s="68"/>
      <c r="AS1055" s="68"/>
      <c r="AT1055" s="68"/>
      <c r="AU1055" s="13"/>
      <c r="AV1055" s="68"/>
      <c r="AW1055" s="68"/>
      <c r="AX1055" s="68"/>
      <c r="AY1055" s="68"/>
      <c r="AZ1055" s="956">
        <f>'Sources and Uses Budget'!S97*BA1055</f>
        <v>7272306.1499999994</v>
      </c>
      <c r="BA1055" s="1170">
        <f>IF(BA1049,20%,15%)</f>
        <v>0.15</v>
      </c>
      <c r="BB1055" s="3" t="s">
        <v>2400</v>
      </c>
      <c r="BC1055" s="3" t="s">
        <v>2401</v>
      </c>
      <c r="BD1055" s="3"/>
    </row>
    <row r="1056" spans="1:57" ht="12.95" customHeight="1">
      <c r="A1056" s="14"/>
      <c r="B1056" s="73"/>
      <c r="C1056" s="440"/>
      <c r="D1056" s="1805"/>
      <c r="E1056" s="1806"/>
      <c r="F1056" s="1806"/>
      <c r="G1056" s="1806"/>
      <c r="H1056" s="1806"/>
      <c r="I1056" s="1806"/>
      <c r="J1056" s="1806"/>
      <c r="K1056" s="1806"/>
      <c r="L1056" s="1806"/>
      <c r="M1056" s="1806"/>
      <c r="N1056" s="1806"/>
      <c r="O1056" s="1806"/>
      <c r="P1056" s="1806"/>
      <c r="Q1056" s="1806"/>
      <c r="R1056" s="1806"/>
      <c r="S1056" s="1806"/>
      <c r="T1056" s="1806"/>
      <c r="U1056" s="1806"/>
      <c r="V1056" s="1806"/>
      <c r="W1056" s="1806"/>
      <c r="X1056" s="1806"/>
      <c r="Y1056" s="1806"/>
      <c r="Z1056" s="1806"/>
      <c r="AA1056" s="1806"/>
      <c r="AB1056" s="1806"/>
      <c r="AC1056" s="1806"/>
      <c r="AD1056" s="1806"/>
      <c r="AE1056" s="1807"/>
      <c r="AF1056" s="73"/>
      <c r="AG1056" s="441"/>
      <c r="AH1056" s="441"/>
      <c r="AI1056" s="83"/>
      <c r="AJ1056" s="1633"/>
      <c r="AK1056" s="1634"/>
      <c r="AL1056" s="1634"/>
      <c r="AM1056" s="1634"/>
      <c r="AN1056" s="1634"/>
      <c r="AO1056" s="1634"/>
      <c r="AP1056" s="1634"/>
      <c r="AQ1056" s="1635"/>
      <c r="AR1056" s="68"/>
      <c r="AS1056" s="68"/>
      <c r="AT1056" s="68"/>
      <c r="AU1056" s="13"/>
      <c r="AV1056" s="68"/>
      <c r="AW1056" s="68"/>
      <c r="AX1056" s="68"/>
      <c r="AY1056" s="68"/>
      <c r="AZ1056" s="956">
        <f>IF(M365="N/A",0,'Sources and Uses Budget'!T97*BA1056)</f>
        <v>0</v>
      </c>
      <c r="BA1056" s="1170">
        <v>0.15</v>
      </c>
      <c r="BB1056" s="3" t="s">
        <v>2400</v>
      </c>
      <c r="BC1056" s="3" t="s">
        <v>2402</v>
      </c>
      <c r="BD1056" s="3"/>
    </row>
    <row r="1057" spans="1:56" ht="12.95" customHeight="1">
      <c r="A1057" s="14"/>
      <c r="B1057" s="77"/>
      <c r="C1057" s="78"/>
      <c r="D1057" s="132" t="s">
        <v>969</v>
      </c>
      <c r="E1057" s="133"/>
      <c r="F1057" s="133"/>
      <c r="G1057" s="133"/>
      <c r="H1057" s="133"/>
      <c r="I1057" s="1810">
        <f>AY1012</f>
        <v>118</v>
      </c>
      <c r="J1057" s="1811"/>
      <c r="K1057" s="7"/>
      <c r="L1057" s="133"/>
      <c r="M1057" s="133"/>
      <c r="N1057" s="133"/>
      <c r="O1057" s="133"/>
      <c r="P1057" s="133"/>
      <c r="Q1057" s="133"/>
      <c r="R1057" s="133"/>
      <c r="S1057" s="133"/>
      <c r="T1057" s="133"/>
      <c r="U1057" s="133"/>
      <c r="V1057" s="134" t="s">
        <v>970</v>
      </c>
      <c r="W1057" s="48"/>
      <c r="X1057" s="1808">
        <f>CI761</f>
        <v>24</v>
      </c>
      <c r="Y1057" s="1809"/>
      <c r="Z1057" s="48"/>
      <c r="AA1057" s="48"/>
      <c r="AB1057" s="48"/>
      <c r="AC1057" s="48"/>
      <c r="AD1057" s="48"/>
      <c r="AE1057" s="49"/>
      <c r="AF1057" s="918"/>
      <c r="AG1057" s="919"/>
      <c r="AH1057" s="919"/>
      <c r="AI1057" s="920"/>
      <c r="AJ1057" s="1636"/>
      <c r="AK1057" s="1637"/>
      <c r="AL1057" s="1637"/>
      <c r="AM1057" s="1637"/>
      <c r="AN1057" s="1637"/>
      <c r="AO1057" s="1637"/>
      <c r="AP1057" s="1637"/>
      <c r="AQ1057" s="1638"/>
      <c r="AR1057" s="68"/>
      <c r="AS1057" s="68"/>
      <c r="AT1057" s="68"/>
      <c r="AU1057" s="14"/>
      <c r="AV1057" s="68"/>
      <c r="AW1057" s="68"/>
      <c r="AX1057" s="68"/>
      <c r="AY1057" s="68"/>
      <c r="AZ1057" s="956">
        <f>IF(M367="N/A",0,'Sources and Uses Budget'!T97*BA1057)</f>
        <v>0</v>
      </c>
      <c r="BA1057" s="1170" cm="1">
        <f t="array" ref="BA1057">_xlfn.IFS(X180="Yes",5%,$BA$1047&gt;50000,15%,BA1048&gt;=30%,15%,TRUE,5%)</f>
        <v>0.15</v>
      </c>
      <c r="BB1057" s="3" t="s">
        <v>2400</v>
      </c>
      <c r="BC1057" s="3" t="s">
        <v>2403</v>
      </c>
      <c r="BD1057" s="3"/>
    </row>
    <row r="1058" spans="1:56" ht="12.95" customHeight="1">
      <c r="A1058" s="14"/>
      <c r="B1058" s="79"/>
      <c r="C1058" s="131" t="s">
        <v>1671</v>
      </c>
      <c r="D1058" s="1802" t="s">
        <v>2121</v>
      </c>
      <c r="E1058" s="1803"/>
      <c r="F1058" s="1803"/>
      <c r="G1058" s="1803"/>
      <c r="H1058" s="1803"/>
      <c r="I1058" s="1803"/>
      <c r="J1058" s="1803"/>
      <c r="K1058" s="1803"/>
      <c r="L1058" s="1803"/>
      <c r="M1058" s="1803"/>
      <c r="N1058" s="1803"/>
      <c r="O1058" s="1803"/>
      <c r="P1058" s="1803"/>
      <c r="Q1058" s="1803"/>
      <c r="R1058" s="1803"/>
      <c r="S1058" s="1803"/>
      <c r="T1058" s="1803"/>
      <c r="U1058" s="1803"/>
      <c r="V1058" s="1803"/>
      <c r="W1058" s="1803"/>
      <c r="X1058" s="1803"/>
      <c r="Y1058" s="1803"/>
      <c r="Z1058" s="1803"/>
      <c r="AA1058" s="1803"/>
      <c r="AB1058" s="1803"/>
      <c r="AC1058" s="1803"/>
      <c r="AD1058" s="1803"/>
      <c r="AE1058" s="1804"/>
      <c r="AF1058" s="73"/>
      <c r="AG1058" s="1812" t="str">
        <f>IF(X1061&gt;0,"Yes","No")</f>
        <v>Yes</v>
      </c>
      <c r="AH1058" s="1813"/>
      <c r="AI1058" s="83"/>
      <c r="AJ1058" s="1630">
        <f>IF((X1061=0),0,(2*AY1015)*AJ1001)</f>
        <v>11885384</v>
      </c>
      <c r="AK1058" s="1631"/>
      <c r="AL1058" s="1631"/>
      <c r="AM1058" s="1631"/>
      <c r="AN1058" s="1631"/>
      <c r="AO1058" s="1631"/>
      <c r="AP1058" s="1631"/>
      <c r="AQ1058" s="1632"/>
      <c r="AR1058" s="68"/>
      <c r="AS1058" s="68"/>
      <c r="AT1058" s="68"/>
      <c r="AU1058" s="14"/>
      <c r="AV1058" s="68"/>
      <c r="AW1058" s="68"/>
      <c r="AX1058" s="68"/>
      <c r="AY1058" s="68"/>
      <c r="AZ1058" s="956">
        <f>AZ1054*BA1058</f>
        <v>0</v>
      </c>
      <c r="BA1058" s="1170">
        <v>0.15</v>
      </c>
      <c r="BB1058" s="3" t="s">
        <v>2400</v>
      </c>
      <c r="BC1058" s="3" t="s">
        <v>2404</v>
      </c>
      <c r="BD1058" s="3"/>
    </row>
    <row r="1059" spans="1:56" ht="12.95" customHeight="1">
      <c r="A1059" s="14"/>
      <c r="B1059" s="73"/>
      <c r="C1059" s="440"/>
      <c r="D1059" s="1805" t="s">
        <v>1294</v>
      </c>
      <c r="E1059" s="1806"/>
      <c r="F1059" s="1806"/>
      <c r="G1059" s="1806"/>
      <c r="H1059" s="1806"/>
      <c r="I1059" s="1806"/>
      <c r="J1059" s="1806"/>
      <c r="K1059" s="1806"/>
      <c r="L1059" s="1806"/>
      <c r="M1059" s="1806"/>
      <c r="N1059" s="1806"/>
      <c r="O1059" s="1806"/>
      <c r="P1059" s="1806"/>
      <c r="Q1059" s="1806"/>
      <c r="R1059" s="1806"/>
      <c r="S1059" s="1806"/>
      <c r="T1059" s="1806"/>
      <c r="U1059" s="1806"/>
      <c r="V1059" s="1806"/>
      <c r="W1059" s="1806"/>
      <c r="X1059" s="1806"/>
      <c r="Y1059" s="1806"/>
      <c r="Z1059" s="1806"/>
      <c r="AA1059" s="1806"/>
      <c r="AB1059" s="1806"/>
      <c r="AC1059" s="1806"/>
      <c r="AD1059" s="1806"/>
      <c r="AE1059" s="1807"/>
      <c r="AF1059" s="73"/>
      <c r="AG1059" s="441"/>
      <c r="AH1059" s="441"/>
      <c r="AI1059" s="83"/>
      <c r="AJ1059" s="1633"/>
      <c r="AK1059" s="1634"/>
      <c r="AL1059" s="1634"/>
      <c r="AM1059" s="1634"/>
      <c r="AN1059" s="1634"/>
      <c r="AO1059" s="1634"/>
      <c r="AP1059" s="1634"/>
      <c r="AQ1059" s="1635"/>
      <c r="AR1059" s="68"/>
      <c r="AS1059" s="68"/>
      <c r="AT1059" s="68"/>
      <c r="AU1059" s="68"/>
      <c r="AV1059" s="68"/>
      <c r="AW1059" s="68"/>
      <c r="AX1059" s="68"/>
      <c r="AY1059" s="68"/>
      <c r="AZ1059" s="956"/>
      <c r="BA1059" s="3"/>
      <c r="BB1059" s="3"/>
      <c r="BC1059" s="3"/>
      <c r="BD1059" s="3"/>
    </row>
    <row r="1060" spans="1:56" ht="12.95" customHeight="1">
      <c r="A1060" s="14"/>
      <c r="B1060" s="73"/>
      <c r="C1060" s="83"/>
      <c r="D1060" s="1805"/>
      <c r="E1060" s="1806"/>
      <c r="F1060" s="1806"/>
      <c r="G1060" s="1806"/>
      <c r="H1060" s="1806"/>
      <c r="I1060" s="1806"/>
      <c r="J1060" s="1806"/>
      <c r="K1060" s="1806"/>
      <c r="L1060" s="1806"/>
      <c r="M1060" s="1806"/>
      <c r="N1060" s="1806"/>
      <c r="O1060" s="1806"/>
      <c r="P1060" s="1806"/>
      <c r="Q1060" s="1806"/>
      <c r="R1060" s="1806"/>
      <c r="S1060" s="1806"/>
      <c r="T1060" s="1806"/>
      <c r="U1060" s="1806"/>
      <c r="V1060" s="1806"/>
      <c r="W1060" s="1806"/>
      <c r="X1060" s="1806"/>
      <c r="Y1060" s="1806"/>
      <c r="Z1060" s="1806"/>
      <c r="AA1060" s="1806"/>
      <c r="AB1060" s="1806"/>
      <c r="AC1060" s="1806"/>
      <c r="AD1060" s="1806"/>
      <c r="AE1060" s="1807"/>
      <c r="AF1060" s="915"/>
      <c r="AG1060" s="916"/>
      <c r="AH1060" s="916"/>
      <c r="AI1060" s="917"/>
      <c r="AJ1060" s="1633"/>
      <c r="AK1060" s="1634"/>
      <c r="AL1060" s="1634"/>
      <c r="AM1060" s="1634"/>
      <c r="AN1060" s="1634"/>
      <c r="AO1060" s="1634"/>
      <c r="AP1060" s="1634"/>
      <c r="AQ1060" s="1635"/>
      <c r="AR1060" s="68"/>
      <c r="AS1060" s="68"/>
      <c r="AT1060" s="68"/>
      <c r="AU1060" s="68"/>
      <c r="AV1060" s="68"/>
      <c r="AW1060" s="68"/>
      <c r="AX1060" s="68"/>
      <c r="AY1060" s="68"/>
      <c r="AZ1060" s="956">
        <f>ROUNDDOWN(MIN(SUM(AZ1055,AZ1056,AZ1057,AZ1058),BD1060),0)</f>
        <v>2500000</v>
      </c>
      <c r="BA1060" s="3" t="s">
        <v>2405</v>
      </c>
      <c r="BB1060" s="3"/>
      <c r="BC1060" s="3"/>
      <c r="BD1060" s="3" cm="1">
        <f t="array" ref="BD1060">_xlfn.IFS(BA1049,3000000,AND(BA1050&gt;=25%,BA1051&gt;=15),2800000,TRUE,2500000)</f>
        <v>2500000</v>
      </c>
    </row>
    <row r="1061" spans="1:56" ht="12.95" customHeight="1">
      <c r="A1061" s="14"/>
      <c r="B1061" s="77"/>
      <c r="C1061" s="78"/>
      <c r="D1061" s="132" t="s">
        <v>969</v>
      </c>
      <c r="E1061" s="133"/>
      <c r="F1061" s="133"/>
      <c r="G1061" s="133"/>
      <c r="H1061" s="133"/>
      <c r="I1061" s="1810">
        <f>AY1012</f>
        <v>118</v>
      </c>
      <c r="J1061" s="1811"/>
      <c r="K1061" s="14"/>
      <c r="L1061" s="133"/>
      <c r="M1061" s="133"/>
      <c r="N1061" s="133"/>
      <c r="O1061" s="133"/>
      <c r="P1061" s="133"/>
      <c r="Q1061" s="133"/>
      <c r="R1061" s="133"/>
      <c r="S1061" s="133"/>
      <c r="T1061" s="133"/>
      <c r="U1061" s="133"/>
      <c r="V1061" s="134" t="s">
        <v>971</v>
      </c>
      <c r="X1061" s="1808">
        <f>CM761</f>
        <v>12</v>
      </c>
      <c r="Y1061" s="1809"/>
      <c r="AF1061" s="918"/>
      <c r="AG1061" s="919"/>
      <c r="AH1061" s="919"/>
      <c r="AI1061" s="920"/>
      <c r="AJ1061" s="1636"/>
      <c r="AK1061" s="1637"/>
      <c r="AL1061" s="1637"/>
      <c r="AM1061" s="1637"/>
      <c r="AN1061" s="1637"/>
      <c r="AO1061" s="1637"/>
      <c r="AP1061" s="1637"/>
      <c r="AQ1061" s="1638"/>
      <c r="AR1061" s="68"/>
      <c r="AS1061" s="68"/>
      <c r="AT1061" s="68"/>
      <c r="AU1061" s="68"/>
      <c r="AV1061" s="68"/>
      <c r="AW1061" s="68"/>
      <c r="AX1061" s="68"/>
      <c r="AY1061" s="68"/>
      <c r="AZ1061" s="956">
        <f>ROUNDDOWN(MAX(0,BA1061*(SUM(AG1102,AL1102,AZ1054)-BD1061))+BF1061,0)</f>
        <v>0</v>
      </c>
      <c r="BA1061" s="1170">
        <f>IF(L1051,7%,5%)</f>
        <v>0.05</v>
      </c>
      <c r="BB1061" s="3" t="s">
        <v>2406</v>
      </c>
      <c r="BC1061" s="3"/>
      <c r="BD1061" s="3">
        <v>6666667</v>
      </c>
    </row>
    <row r="1062" spans="1:56" ht="12.95" customHeight="1">
      <c r="A1062" s="14"/>
      <c r="B1062" s="102"/>
      <c r="C1062" s="103"/>
      <c r="D1062" s="1800" t="s">
        <v>512</v>
      </c>
      <c r="E1062" s="1800"/>
      <c r="F1062" s="1800"/>
      <c r="G1062" s="1800"/>
      <c r="H1062" s="1800"/>
      <c r="I1062" s="1800"/>
      <c r="J1062" s="1800"/>
      <c r="K1062" s="1800"/>
      <c r="L1062" s="1800"/>
      <c r="M1062" s="1800"/>
      <c r="N1062" s="1800"/>
      <c r="O1062" s="1800"/>
      <c r="P1062" s="1800"/>
      <c r="Q1062" s="1800"/>
      <c r="R1062" s="1800"/>
      <c r="S1062" s="1800"/>
      <c r="T1062" s="1800"/>
      <c r="U1062" s="1800"/>
      <c r="V1062" s="1800"/>
      <c r="W1062" s="1800"/>
      <c r="X1062" s="1800"/>
      <c r="Y1062" s="1800"/>
      <c r="Z1062" s="1800"/>
      <c r="AA1062" s="1800"/>
      <c r="AB1062" s="1800"/>
      <c r="AC1062" s="1800"/>
      <c r="AD1062" s="1800"/>
      <c r="AE1062" s="1800"/>
      <c r="AF1062" s="1800"/>
      <c r="AG1062" s="1800"/>
      <c r="AH1062" s="1800"/>
      <c r="AI1062" s="1801"/>
      <c r="AJ1062" s="1832">
        <f>SUM(AJ1001:AQ1061)</f>
        <v>90351262</v>
      </c>
      <c r="AK1062" s="1833"/>
      <c r="AL1062" s="1833"/>
      <c r="AM1062" s="1833"/>
      <c r="AN1062" s="1833"/>
      <c r="AO1062" s="1833"/>
      <c r="AP1062" s="1833"/>
      <c r="AQ1062" s="1834"/>
      <c r="AR1062" s="68"/>
      <c r="AS1062" s="68"/>
      <c r="AT1062" s="68"/>
      <c r="AU1062" s="68"/>
      <c r="AV1062" s="68"/>
      <c r="AW1062" s="68"/>
      <c r="AX1062" s="68"/>
      <c r="AY1062" s="68"/>
      <c r="AZ1062" s="1169">
        <v>6000000</v>
      </c>
      <c r="BA1062" s="3" t="s">
        <v>2407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1" t="s">
        <v>2392</v>
      </c>
      <c r="H1064" s="1162"/>
      <c r="I1064" s="1162"/>
      <c r="J1064" s="1162"/>
      <c r="K1064" s="1162"/>
      <c r="L1064" s="1162"/>
      <c r="M1064" s="1162"/>
      <c r="N1064" s="1162"/>
      <c r="O1064" s="1162"/>
      <c r="P1064" s="1162"/>
      <c r="Q1064" s="1162"/>
      <c r="R1064" s="1162"/>
      <c r="S1064" s="1162"/>
      <c r="T1064" s="1162"/>
      <c r="U1064" s="1162"/>
      <c r="V1064" s="1162"/>
      <c r="W1064" s="1162"/>
      <c r="X1064" s="1162"/>
      <c r="Y1064" s="1162"/>
      <c r="Z1064" s="1162"/>
      <c r="AA1064" s="1162"/>
      <c r="AB1064" s="1162"/>
      <c r="AC1064" s="1162"/>
      <c r="AD1064" s="1162"/>
      <c r="AE1064" s="1162"/>
      <c r="AF1064" s="1162"/>
      <c r="AG1064" s="1163"/>
      <c r="AH1064" s="1163"/>
      <c r="AI1064" s="1163"/>
      <c r="AJ1064" s="1163"/>
      <c r="AK1064" s="1163"/>
      <c r="AL1064" s="1163"/>
      <c r="AM1064" s="1163"/>
      <c r="AN1064" s="1163"/>
      <c r="AO1064" s="68"/>
      <c r="AP1064" s="68"/>
      <c r="AQ1064" s="68"/>
      <c r="AR1064" s="68"/>
      <c r="AS1064" s="68"/>
      <c r="AT1064" s="68"/>
      <c r="AU1064" s="68"/>
      <c r="AV1064" s="68"/>
      <c r="AW1064" s="68"/>
      <c r="AX1064" s="68"/>
      <c r="AY1064" s="68"/>
      <c r="AZ1064" s="3"/>
      <c r="BA1064" s="956">
        <f>MIN(MIN(MAX(AZ1060,AZ1061),AZ1062),BA1065)</f>
        <v>2500000</v>
      </c>
      <c r="BB1064" s="3" t="s">
        <v>2408</v>
      </c>
      <c r="BC1064" s="3"/>
      <c r="BD1064" s="3"/>
    </row>
    <row r="1065" spans="1:56" ht="12.95" customHeight="1">
      <c r="A1065" s="14"/>
      <c r="B1065" s="68"/>
      <c r="C1065" s="68"/>
      <c r="D1065" s="68"/>
      <c r="E1065" s="68"/>
      <c r="F1065" s="68"/>
      <c r="G1065" s="1164" t="s">
        <v>2393</v>
      </c>
      <c r="H1065" s="1165"/>
      <c r="I1065" s="1165"/>
      <c r="J1065" s="1165"/>
      <c r="K1065" s="1165"/>
      <c r="L1065" s="1165"/>
      <c r="M1065" s="1165"/>
      <c r="N1065" s="1165"/>
      <c r="O1065" s="1165"/>
      <c r="P1065" s="1165"/>
      <c r="Q1065" s="1165"/>
      <c r="R1065" s="1165"/>
      <c r="S1065" s="1165"/>
      <c r="T1065" s="1165"/>
      <c r="U1065" s="1165"/>
      <c r="V1065" s="1165"/>
      <c r="W1065" s="1165"/>
      <c r="X1065" s="1165"/>
      <c r="Y1065" s="1165"/>
      <c r="Z1065" s="1165"/>
      <c r="AA1065" s="2126">
        <f>'Sources and Uses Budget'!S107+'Sources and Uses Budget'!T107</f>
        <v>54982041</v>
      </c>
      <c r="AB1065" s="2126"/>
      <c r="AC1065" s="2126"/>
      <c r="AD1065" s="2126"/>
      <c r="AE1065" s="2126"/>
      <c r="AF1065" s="2126"/>
      <c r="AG1065" s="1163"/>
      <c r="AH1065" s="1163"/>
      <c r="AI1065" s="1163"/>
      <c r="AJ1065" s="1163"/>
      <c r="AK1065" s="1163"/>
      <c r="AL1065" s="1163"/>
      <c r="AM1065" s="1163"/>
      <c r="AN1065" s="1163"/>
      <c r="AO1065" s="68"/>
      <c r="AP1065" s="68"/>
      <c r="AQ1065" s="68"/>
      <c r="AR1065" s="68"/>
      <c r="AS1065" s="68"/>
      <c r="AT1065" s="68"/>
      <c r="AU1065" s="68"/>
      <c r="AV1065" s="13"/>
      <c r="AW1065" s="13"/>
      <c r="AX1065" s="13"/>
      <c r="AY1065" s="13"/>
      <c r="AZ1065" s="3"/>
      <c r="BA1065" s="956">
        <f>SUM(AZ1055:AZ1058)</f>
        <v>7272306.1499999994</v>
      </c>
      <c r="BB1065" s="3" t="s">
        <v>2409</v>
      </c>
      <c r="BC1065" s="3"/>
      <c r="BD1065" s="3"/>
    </row>
    <row r="1066" spans="1:56" ht="12.95" customHeight="1">
      <c r="A1066" s="14"/>
      <c r="B1066" s="68"/>
      <c r="C1066" s="68"/>
      <c r="D1066" s="68"/>
      <c r="E1066" s="68"/>
      <c r="F1066" s="68"/>
      <c r="G1066" s="1164"/>
      <c r="H1066" s="1164" t="s">
        <v>2394</v>
      </c>
      <c r="I1066" s="1165"/>
      <c r="J1066" s="1165"/>
      <c r="K1066" s="1165"/>
      <c r="L1066" s="1165"/>
      <c r="M1066" s="1165"/>
      <c r="N1066" s="1165"/>
      <c r="O1066" s="1165"/>
      <c r="P1066" s="1165"/>
      <c r="Q1066" s="1165"/>
      <c r="R1066" s="1165"/>
      <c r="S1066" s="1165"/>
      <c r="T1066" s="1165"/>
      <c r="U1066" s="1165"/>
      <c r="V1066" s="1165"/>
      <c r="W1066" s="1165"/>
      <c r="X1066" s="1165"/>
      <c r="Y1066" s="1165"/>
      <c r="Z1066" s="1167"/>
      <c r="AA1066" s="2127">
        <f>IFERROR((AA1065-BA1068)/(AJ1062-AJ1054-AJ1058),"")</f>
        <v>0.76572037750275623</v>
      </c>
      <c r="AB1066" s="2128"/>
      <c r="AC1066" s="2128"/>
      <c r="AD1066" s="2128"/>
      <c r="AE1066" s="2128"/>
      <c r="AF1066" s="2129"/>
      <c r="AG1066" s="1166"/>
      <c r="AH1066" s="1163"/>
      <c r="AI1066" s="1163"/>
      <c r="AJ1066" s="1163"/>
      <c r="AK1066" s="1163"/>
      <c r="AL1066" s="1163"/>
      <c r="AM1066" s="1163"/>
      <c r="AN1066" s="1163"/>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212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2122"/>
      <c r="I1067" s="2122"/>
      <c r="J1067" s="2122"/>
      <c r="K1067" s="2122"/>
      <c r="L1067" s="2122"/>
      <c r="M1067" s="2122"/>
      <c r="N1067" s="2122"/>
      <c r="O1067" s="2122"/>
      <c r="P1067" s="2122"/>
      <c r="Q1067" s="2122"/>
      <c r="R1067" s="2122"/>
      <c r="S1067" s="2122"/>
      <c r="T1067" s="2122"/>
      <c r="U1067" s="2122"/>
      <c r="V1067" s="2122"/>
      <c r="W1067" s="2122"/>
      <c r="X1067" s="2122"/>
      <c r="Y1067" s="2122"/>
      <c r="Z1067" s="2122"/>
      <c r="AA1067" s="2122"/>
      <c r="AB1067" s="2122"/>
      <c r="AC1067" s="2122"/>
      <c r="AD1067" s="2122"/>
      <c r="AE1067" s="2122"/>
      <c r="AF1067" s="2122"/>
      <c r="AG1067" s="2122"/>
      <c r="AH1067" s="2122"/>
      <c r="AI1067" s="2122"/>
      <c r="AJ1067" s="2122"/>
      <c r="AK1067" s="2122"/>
      <c r="AL1067" s="2122"/>
      <c r="AM1067" s="2122"/>
      <c r="AN1067" s="2122"/>
      <c r="AO1067" s="68"/>
      <c r="AP1067" s="68"/>
      <c r="AQ1067" s="68"/>
      <c r="AR1067" s="68"/>
      <c r="AS1067" s="68"/>
      <c r="AT1067" s="68"/>
      <c r="AU1067" s="68"/>
      <c r="AV1067" s="14"/>
      <c r="AW1067" s="14"/>
      <c r="AX1067" s="14"/>
      <c r="AY1067" s="14"/>
      <c r="BA1067" s="1173">
        <f>'Sources and Uses Budget'!$S$104+'Sources and Uses Budget'!$T$104</f>
        <v>6500000</v>
      </c>
      <c r="BB1067" s="3" t="s">
        <v>2415</v>
      </c>
    </row>
    <row r="1068" spans="1:56" ht="12.95" customHeight="1">
      <c r="A1068" s="14"/>
      <c r="B1068" s="14"/>
      <c r="C1068" s="208"/>
      <c r="D1068" s="852"/>
      <c r="E1068" s="852"/>
      <c r="F1068" s="852"/>
      <c r="G1068" s="2122"/>
      <c r="H1068" s="2122"/>
      <c r="I1068" s="2122"/>
      <c r="J1068" s="2122"/>
      <c r="K1068" s="2122"/>
      <c r="L1068" s="2122"/>
      <c r="M1068" s="2122"/>
      <c r="N1068" s="2122"/>
      <c r="O1068" s="2122"/>
      <c r="P1068" s="2122"/>
      <c r="Q1068" s="2122"/>
      <c r="R1068" s="2122"/>
      <c r="S1068" s="2122"/>
      <c r="T1068" s="2122"/>
      <c r="U1068" s="2122"/>
      <c r="V1068" s="2122"/>
      <c r="W1068" s="2122"/>
      <c r="X1068" s="2122"/>
      <c r="Y1068" s="2122"/>
      <c r="Z1068" s="2122"/>
      <c r="AA1068" s="2122"/>
      <c r="AB1068" s="2122"/>
      <c r="AC1068" s="2122"/>
      <c r="AD1068" s="2122"/>
      <c r="AE1068" s="2122"/>
      <c r="AF1068" s="2122"/>
      <c r="AG1068" s="2122"/>
      <c r="AH1068" s="2122"/>
      <c r="AI1068" s="2122"/>
      <c r="AJ1068" s="2122"/>
      <c r="AK1068" s="2122"/>
      <c r="AL1068" s="2122"/>
      <c r="AM1068" s="2122"/>
      <c r="AN1068" s="2122"/>
      <c r="AO1068" s="68"/>
      <c r="AP1068" s="68"/>
      <c r="AQ1068" s="68"/>
      <c r="AR1068" s="68"/>
      <c r="AS1068" s="68"/>
      <c r="AT1068" s="68"/>
      <c r="AU1068" s="68"/>
      <c r="AV1068" s="14"/>
      <c r="AW1068" s="14"/>
      <c r="AX1068" s="14"/>
      <c r="AY1068" s="14"/>
      <c r="BA1068" s="1174">
        <f>MAX($BA$1067-$BA$1064,0)</f>
        <v>4000000</v>
      </c>
      <c r="BB1068" s="3" t="s">
        <v>2416</v>
      </c>
    </row>
    <row r="1069" spans="1:56" ht="12.95" customHeight="1">
      <c r="A1069" s="88"/>
      <c r="B1069" s="1160"/>
      <c r="C1069" s="1160"/>
      <c r="D1069" s="1160"/>
      <c r="E1069" s="1160"/>
      <c r="F1069" s="1160"/>
      <c r="G1069" s="2122"/>
      <c r="H1069" s="2122"/>
      <c r="I1069" s="2122"/>
      <c r="J1069" s="2122"/>
      <c r="K1069" s="2122"/>
      <c r="L1069" s="2122"/>
      <c r="M1069" s="2122"/>
      <c r="N1069" s="2122"/>
      <c r="O1069" s="2122"/>
      <c r="P1069" s="2122"/>
      <c r="Q1069" s="2122"/>
      <c r="R1069" s="2122"/>
      <c r="S1069" s="2122"/>
      <c r="T1069" s="2122"/>
      <c r="U1069" s="2122"/>
      <c r="V1069" s="2122"/>
      <c r="W1069" s="2122"/>
      <c r="X1069" s="2122"/>
      <c r="Y1069" s="2122"/>
      <c r="Z1069" s="2122"/>
      <c r="AA1069" s="2122"/>
      <c r="AB1069" s="2122"/>
      <c r="AC1069" s="2122"/>
      <c r="AD1069" s="2122"/>
      <c r="AE1069" s="2122"/>
      <c r="AF1069" s="2122"/>
      <c r="AG1069" s="2122"/>
      <c r="AH1069" s="2122"/>
      <c r="AI1069" s="2122"/>
      <c r="AJ1069" s="2122"/>
      <c r="AK1069" s="2122"/>
      <c r="AL1069" s="2122"/>
      <c r="AM1069" s="2122"/>
      <c r="AN1069" s="2122"/>
      <c r="AO1069" s="1160"/>
      <c r="AP1069" s="1160"/>
      <c r="AQ1069" s="68"/>
      <c r="AR1069" s="68"/>
      <c r="AS1069" s="68"/>
      <c r="AT1069" s="68"/>
      <c r="AU1069" s="68"/>
      <c r="AV1069" s="68"/>
      <c r="AW1069" s="68"/>
      <c r="AX1069" s="68"/>
      <c r="AY1069" s="68"/>
    </row>
    <row r="1070" spans="1:56" ht="12.95" customHeight="1">
      <c r="A1070" s="1607" t="s">
        <v>793</v>
      </c>
      <c r="B1070" s="1607"/>
      <c r="C1070" s="1607"/>
      <c r="D1070" s="1607"/>
      <c r="E1070" s="1607"/>
      <c r="F1070" s="1607"/>
      <c r="G1070" s="1607"/>
      <c r="H1070" s="1607"/>
      <c r="I1070" s="1607"/>
      <c r="J1070" s="1607"/>
      <c r="K1070" s="1607"/>
      <c r="L1070" s="1607"/>
      <c r="M1070" s="1607"/>
      <c r="N1070" s="1607"/>
      <c r="O1070" s="1607"/>
      <c r="P1070" s="1607"/>
      <c r="Q1070" s="1607"/>
      <c r="R1070" s="1607"/>
      <c r="S1070" s="1607"/>
      <c r="T1070" s="1607"/>
      <c r="U1070" s="1607"/>
      <c r="V1070" s="1607"/>
      <c r="W1070" s="1607"/>
      <c r="X1070" s="1607"/>
      <c r="Y1070" s="1607"/>
      <c r="Z1070" s="1607"/>
      <c r="AA1070" s="1607"/>
      <c r="AB1070" s="1607"/>
      <c r="AC1070" s="1607"/>
      <c r="AD1070" s="1607"/>
      <c r="AE1070" s="1607"/>
      <c r="AF1070" s="1607"/>
      <c r="AG1070" s="1607"/>
      <c r="AH1070" s="1607"/>
      <c r="AI1070" s="1607"/>
      <c r="AJ1070" s="1607"/>
      <c r="AK1070" s="1607"/>
      <c r="AL1070" s="1607"/>
      <c r="AM1070" s="1607"/>
      <c r="AN1070" s="1607"/>
      <c r="AO1070" s="1607"/>
      <c r="AP1070" s="1607"/>
      <c r="AQ1070" s="160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599" t="s">
        <v>544</v>
      </c>
      <c r="B1074" s="1599"/>
      <c r="C1074" s="1600">
        <v>1</v>
      </c>
      <c r="D1074" s="1600"/>
      <c r="E1074" s="14" t="s">
        <v>2187</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600"/>
      <c r="D1075" s="160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599" t="s">
        <v>590</v>
      </c>
      <c r="B1076" s="1599"/>
      <c r="C1076" s="1600">
        <v>2</v>
      </c>
      <c r="D1076" s="1600"/>
      <c r="E1076" s="1602" t="s">
        <v>2188</v>
      </c>
      <c r="F1076" s="1602"/>
      <c r="G1076" s="1602"/>
      <c r="H1076" s="1602"/>
      <c r="I1076" s="1602"/>
      <c r="J1076" s="1602"/>
      <c r="K1076" s="1602"/>
      <c r="L1076" s="1602"/>
      <c r="M1076" s="1602"/>
      <c r="N1076" s="1602"/>
      <c r="O1076" s="1602"/>
      <c r="P1076" s="1602"/>
      <c r="Q1076" s="1602"/>
      <c r="R1076" s="1602"/>
      <c r="S1076" s="1602"/>
      <c r="T1076" s="1602"/>
      <c r="U1076" s="1602"/>
      <c r="V1076" s="1602"/>
      <c r="W1076" s="1602"/>
      <c r="X1076" s="1602"/>
      <c r="Y1076" s="1602"/>
      <c r="Z1076" s="1602"/>
      <c r="AA1076" s="1602"/>
      <c r="AB1076" s="1602"/>
      <c r="AC1076" s="1602"/>
      <c r="AD1076" s="1602"/>
      <c r="AE1076" s="1602"/>
      <c r="AF1076" s="1602"/>
      <c r="AG1076" s="1602"/>
      <c r="AH1076" s="1602"/>
      <c r="AI1076" s="1602"/>
      <c r="AJ1076" s="1602"/>
      <c r="AK1076" s="1602"/>
      <c r="AL1076" s="1602"/>
      <c r="AM1076" s="1602"/>
      <c r="AN1076" s="1602"/>
      <c r="AO1076" s="1602"/>
      <c r="AP1076" s="1602"/>
      <c r="AQ1076" s="1602"/>
      <c r="AR1076" s="1602"/>
      <c r="AS1076" s="14"/>
      <c r="AT1076" s="14"/>
      <c r="AV1076" s="68"/>
      <c r="AW1076" s="68"/>
      <c r="AX1076" s="68"/>
      <c r="AY1076" s="68"/>
    </row>
    <row r="1077" spans="1:51" ht="12.95" customHeight="1">
      <c r="A1077" s="198"/>
      <c r="B1077" s="67"/>
      <c r="C1077" s="1600"/>
      <c r="D1077" s="1600"/>
      <c r="E1077" s="1602"/>
      <c r="F1077" s="1602"/>
      <c r="G1077" s="1602"/>
      <c r="H1077" s="1602"/>
      <c r="I1077" s="1602"/>
      <c r="J1077" s="1602"/>
      <c r="K1077" s="1602"/>
      <c r="L1077" s="1602"/>
      <c r="M1077" s="1602"/>
      <c r="N1077" s="1602"/>
      <c r="O1077" s="1602"/>
      <c r="P1077" s="1602"/>
      <c r="Q1077" s="1602"/>
      <c r="R1077" s="1602"/>
      <c r="S1077" s="1602"/>
      <c r="T1077" s="1602"/>
      <c r="U1077" s="1602"/>
      <c r="V1077" s="1602"/>
      <c r="W1077" s="1602"/>
      <c r="X1077" s="1602"/>
      <c r="Y1077" s="1602"/>
      <c r="Z1077" s="1602"/>
      <c r="AA1077" s="1602"/>
      <c r="AB1077" s="1602"/>
      <c r="AC1077" s="1602"/>
      <c r="AD1077" s="1602"/>
      <c r="AE1077" s="1602"/>
      <c r="AF1077" s="1602"/>
      <c r="AG1077" s="1602"/>
      <c r="AH1077" s="1602"/>
      <c r="AI1077" s="1602"/>
      <c r="AJ1077" s="1602"/>
      <c r="AK1077" s="1602"/>
      <c r="AL1077" s="1602"/>
      <c r="AM1077" s="1602"/>
      <c r="AN1077" s="1602"/>
      <c r="AO1077" s="1602"/>
      <c r="AP1077" s="1602"/>
      <c r="AQ1077" s="1602"/>
      <c r="AR1077" s="1602"/>
      <c r="AS1077" s="14"/>
      <c r="AT1077" s="14"/>
      <c r="AV1077" s="68"/>
      <c r="AW1077" s="68"/>
      <c r="AX1077" s="68"/>
      <c r="AY1077" s="68"/>
    </row>
    <row r="1078" spans="1:51" ht="12.95" customHeight="1">
      <c r="A1078" s="198"/>
      <c r="B1078" s="67"/>
      <c r="C1078" s="1600"/>
      <c r="D1078" s="160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599" t="s">
        <v>590</v>
      </c>
      <c r="B1079" s="1599"/>
      <c r="C1079" s="1601">
        <v>3</v>
      </c>
      <c r="D1079" s="1601"/>
      <c r="E1079" s="1561" t="s">
        <v>1077</v>
      </c>
      <c r="F1079" s="1561"/>
      <c r="G1079" s="1561"/>
      <c r="H1079" s="1561"/>
      <c r="I1079" s="1561"/>
      <c r="J1079" s="1561"/>
      <c r="K1079" s="1561"/>
      <c r="L1079" s="1561"/>
      <c r="M1079" s="1561"/>
      <c r="N1079" s="1561"/>
      <c r="O1079" s="1561"/>
      <c r="P1079" s="1561"/>
      <c r="Q1079" s="1561"/>
      <c r="R1079" s="1561"/>
      <c r="S1079" s="1561"/>
      <c r="T1079" s="1561"/>
      <c r="U1079" s="1561"/>
      <c r="V1079" s="1561"/>
      <c r="W1079" s="1561"/>
      <c r="X1079" s="1561"/>
      <c r="Y1079" s="1561"/>
      <c r="Z1079" s="1561"/>
      <c r="AA1079" s="1561"/>
      <c r="AB1079" s="1561"/>
      <c r="AC1079" s="1561"/>
      <c r="AD1079" s="1561"/>
      <c r="AE1079" s="1561"/>
      <c r="AF1079" s="1561"/>
      <c r="AG1079" s="1561"/>
      <c r="AH1079" s="1561"/>
      <c r="AI1079" s="1561"/>
      <c r="AJ1079" s="1561"/>
      <c r="AK1079" s="1561"/>
      <c r="AL1079" s="1561"/>
      <c r="AM1079" s="1561"/>
      <c r="AN1079" s="1561"/>
      <c r="AO1079" s="1561"/>
      <c r="AP1079" s="1561"/>
      <c r="AQ1079" s="1561"/>
      <c r="AR1079" s="1561"/>
      <c r="AS1079" s="14"/>
      <c r="AT1079" s="68"/>
      <c r="AV1079" s="68"/>
      <c r="AW1079" s="68"/>
      <c r="AX1079" s="68"/>
      <c r="AY1079" s="68"/>
    </row>
    <row r="1080" spans="1:51" ht="12.95" customHeight="1">
      <c r="A1080" s="1"/>
      <c r="B1080" s="1"/>
      <c r="C1080" s="1601"/>
      <c r="D1080" s="1601"/>
      <c r="E1080" s="1561"/>
      <c r="F1080" s="1561"/>
      <c r="G1080" s="1561"/>
      <c r="H1080" s="1561"/>
      <c r="I1080" s="1561"/>
      <c r="J1080" s="1561"/>
      <c r="K1080" s="1561"/>
      <c r="L1080" s="1561"/>
      <c r="M1080" s="1561"/>
      <c r="N1080" s="1561"/>
      <c r="O1080" s="1561"/>
      <c r="P1080" s="1561"/>
      <c r="Q1080" s="1561"/>
      <c r="R1080" s="1561"/>
      <c r="S1080" s="1561"/>
      <c r="T1080" s="1561"/>
      <c r="U1080" s="1561"/>
      <c r="V1080" s="1561"/>
      <c r="W1080" s="1561"/>
      <c r="X1080" s="1561"/>
      <c r="Y1080" s="1561"/>
      <c r="Z1080" s="1561"/>
      <c r="AA1080" s="1561"/>
      <c r="AB1080" s="1561"/>
      <c r="AC1080" s="1561"/>
      <c r="AD1080" s="1561"/>
      <c r="AE1080" s="1561"/>
      <c r="AF1080" s="1561"/>
      <c r="AG1080" s="1561"/>
      <c r="AH1080" s="1561"/>
      <c r="AI1080" s="1561"/>
      <c r="AJ1080" s="1561"/>
      <c r="AK1080" s="1561"/>
      <c r="AL1080" s="1561"/>
      <c r="AM1080" s="1561"/>
      <c r="AN1080" s="1561"/>
      <c r="AO1080" s="1561"/>
      <c r="AP1080" s="1561"/>
      <c r="AQ1080" s="1561"/>
      <c r="AR1080" s="1561"/>
      <c r="AS1080" s="14"/>
      <c r="AT1080" s="68"/>
      <c r="AV1080" s="68"/>
      <c r="AW1080" s="68"/>
      <c r="AX1080" s="68"/>
      <c r="AY1080" s="68"/>
    </row>
    <row r="1081" spans="1:51" ht="12.95" customHeight="1">
      <c r="A1081" s="1"/>
      <c r="B1081" s="1"/>
      <c r="C1081" s="1601"/>
      <c r="D1081" s="1601"/>
      <c r="E1081" s="1561"/>
      <c r="F1081" s="1561"/>
      <c r="G1081" s="1561"/>
      <c r="H1081" s="1561"/>
      <c r="I1081" s="1561"/>
      <c r="J1081" s="1561"/>
      <c r="K1081" s="1561"/>
      <c r="L1081" s="1561"/>
      <c r="M1081" s="1561"/>
      <c r="N1081" s="1561"/>
      <c r="O1081" s="1561"/>
      <c r="P1081" s="1561"/>
      <c r="Q1081" s="1561"/>
      <c r="R1081" s="1561"/>
      <c r="S1081" s="1561"/>
      <c r="T1081" s="1561"/>
      <c r="U1081" s="1561"/>
      <c r="V1081" s="1561"/>
      <c r="W1081" s="1561"/>
      <c r="X1081" s="1561"/>
      <c r="Y1081" s="1561"/>
      <c r="Z1081" s="1561"/>
      <c r="AA1081" s="1561"/>
      <c r="AB1081" s="1561"/>
      <c r="AC1081" s="1561"/>
      <c r="AD1081" s="1561"/>
      <c r="AE1081" s="1561"/>
      <c r="AF1081" s="1561"/>
      <c r="AG1081" s="1561"/>
      <c r="AH1081" s="1561"/>
      <c r="AI1081" s="1561"/>
      <c r="AJ1081" s="1561"/>
      <c r="AK1081" s="1561"/>
      <c r="AL1081" s="1561"/>
      <c r="AM1081" s="1561"/>
      <c r="AN1081" s="1561"/>
      <c r="AO1081" s="1561"/>
      <c r="AP1081" s="1561"/>
      <c r="AQ1081" s="1561"/>
      <c r="AR1081" s="1561"/>
      <c r="AS1081" s="14"/>
      <c r="AT1081" s="68"/>
      <c r="AV1081" s="68"/>
      <c r="AW1081" s="68"/>
      <c r="AX1081" s="68"/>
      <c r="AY1081" s="68"/>
    </row>
    <row r="1082" spans="1:51" ht="12.95" customHeight="1">
      <c r="A1082" s="1"/>
      <c r="B1082" s="1"/>
      <c r="C1082" s="1601"/>
      <c r="D1082" s="1601"/>
      <c r="E1082" s="1561"/>
      <c r="F1082" s="1561"/>
      <c r="G1082" s="1561"/>
      <c r="H1082" s="1561"/>
      <c r="I1082" s="1561"/>
      <c r="J1082" s="1561"/>
      <c r="K1082" s="1561"/>
      <c r="L1082" s="1561"/>
      <c r="M1082" s="1561"/>
      <c r="N1082" s="1561"/>
      <c r="O1082" s="1561"/>
      <c r="P1082" s="1561"/>
      <c r="Q1082" s="1561"/>
      <c r="R1082" s="1561"/>
      <c r="S1082" s="1561"/>
      <c r="T1082" s="1561"/>
      <c r="U1082" s="1561"/>
      <c r="V1082" s="1561"/>
      <c r="W1082" s="1561"/>
      <c r="X1082" s="1561"/>
      <c r="Y1082" s="1561"/>
      <c r="Z1082" s="1561"/>
      <c r="AA1082" s="1561"/>
      <c r="AB1082" s="1561"/>
      <c r="AC1082" s="1561"/>
      <c r="AD1082" s="1561"/>
      <c r="AE1082" s="1561"/>
      <c r="AF1082" s="1561"/>
      <c r="AG1082" s="1561"/>
      <c r="AH1082" s="1561"/>
      <c r="AI1082" s="1561"/>
      <c r="AJ1082" s="1561"/>
      <c r="AK1082" s="1561"/>
      <c r="AL1082" s="1561"/>
      <c r="AM1082" s="1561"/>
      <c r="AN1082" s="1561"/>
      <c r="AO1082" s="1561"/>
      <c r="AP1082" s="1561"/>
      <c r="AQ1082" s="1561"/>
      <c r="AR1082" s="1561"/>
      <c r="AS1082" s="14"/>
      <c r="AT1082" s="68"/>
      <c r="AV1082" s="68"/>
      <c r="AW1082" s="68"/>
      <c r="AX1082" s="68"/>
      <c r="AY1082" s="68"/>
    </row>
    <row r="1083" spans="1:51" ht="12.95" customHeight="1">
      <c r="A1083" s="2"/>
      <c r="B1083" s="25"/>
      <c r="C1083" s="1601"/>
      <c r="D1083" s="1601"/>
      <c r="E1083" s="453"/>
      <c r="F1083" s="453"/>
      <c r="G1083" s="453"/>
      <c r="H1083" s="453"/>
      <c r="I1083" s="453"/>
      <c r="J1083" s="453"/>
      <c r="K1083" s="453"/>
      <c r="L1083" s="453"/>
      <c r="M1083" s="453"/>
      <c r="N1083" s="453"/>
      <c r="O1083" s="453"/>
      <c r="P1083" s="453"/>
      <c r="Q1083" s="453"/>
      <c r="R1083" s="453"/>
      <c r="S1083" s="453"/>
      <c r="T1083" s="453"/>
      <c r="U1083" s="453"/>
      <c r="V1083" s="453"/>
      <c r="W1083" s="453"/>
      <c r="X1083" s="453"/>
      <c r="Y1083" s="453"/>
      <c r="Z1083" s="453"/>
      <c r="AA1083" s="453"/>
      <c r="AB1083" s="453"/>
      <c r="AC1083" s="453"/>
      <c r="AD1083" s="453"/>
      <c r="AE1083" s="453"/>
      <c r="AF1083" s="453"/>
      <c r="AG1083" s="453"/>
      <c r="AH1083" s="453"/>
      <c r="AI1083" s="453"/>
      <c r="AJ1083" s="453"/>
      <c r="AK1083" s="453"/>
      <c r="AL1083" s="68"/>
      <c r="AM1083" s="68"/>
      <c r="AN1083" s="68"/>
      <c r="AO1083" s="68"/>
      <c r="AP1083" s="68"/>
      <c r="AQ1083" s="68"/>
      <c r="AR1083" s="68"/>
      <c r="AS1083" s="14"/>
      <c r="AT1083" s="68"/>
      <c r="AV1083" s="68"/>
      <c r="AW1083" s="68"/>
      <c r="AX1083" s="68"/>
      <c r="AY1083" s="68"/>
    </row>
    <row r="1084" spans="1:51" ht="12.95" customHeight="1">
      <c r="A1084" s="1599" t="s">
        <v>590</v>
      </c>
      <c r="B1084" s="1599"/>
      <c r="C1084" s="1601">
        <v>4</v>
      </c>
      <c r="D1084" s="1601"/>
      <c r="E1084" s="1561" t="s">
        <v>1076</v>
      </c>
      <c r="F1084" s="1561"/>
      <c r="G1084" s="1561"/>
      <c r="H1084" s="1561"/>
      <c r="I1084" s="1561"/>
      <c r="J1084" s="1561"/>
      <c r="K1084" s="1561"/>
      <c r="L1084" s="1561"/>
      <c r="M1084" s="1561"/>
      <c r="N1084" s="1561"/>
      <c r="O1084" s="1561"/>
      <c r="P1084" s="1561"/>
      <c r="Q1084" s="1561"/>
      <c r="R1084" s="1561"/>
      <c r="S1084" s="1561"/>
      <c r="T1084" s="1561"/>
      <c r="U1084" s="1561"/>
      <c r="V1084" s="1561"/>
      <c r="W1084" s="1561"/>
      <c r="X1084" s="1561"/>
      <c r="Y1084" s="1561"/>
      <c r="Z1084" s="1561"/>
      <c r="AA1084" s="1561"/>
      <c r="AB1084" s="1561"/>
      <c r="AC1084" s="1561"/>
      <c r="AD1084" s="1561"/>
      <c r="AE1084" s="1561"/>
      <c r="AF1084" s="1561"/>
      <c r="AG1084" s="1561"/>
      <c r="AH1084" s="1561"/>
      <c r="AI1084" s="1561"/>
      <c r="AJ1084" s="1561"/>
      <c r="AK1084" s="1561"/>
      <c r="AL1084" s="1561"/>
      <c r="AM1084" s="1561"/>
      <c r="AN1084" s="1561"/>
      <c r="AO1084" s="1561"/>
      <c r="AP1084" s="1561"/>
      <c r="AQ1084" s="1561"/>
      <c r="AR1084" s="1561"/>
      <c r="AS1084" s="14"/>
      <c r="AT1084" s="68"/>
    </row>
    <row r="1085" spans="1:51" ht="12.95" customHeight="1">
      <c r="A1085" s="1"/>
      <c r="B1085" s="1"/>
      <c r="C1085" s="1601"/>
      <c r="D1085" s="1601"/>
      <c r="E1085" s="1561"/>
      <c r="F1085" s="1561"/>
      <c r="G1085" s="1561"/>
      <c r="H1085" s="1561"/>
      <c r="I1085" s="1561"/>
      <c r="J1085" s="1561"/>
      <c r="K1085" s="1561"/>
      <c r="L1085" s="1561"/>
      <c r="M1085" s="1561"/>
      <c r="N1085" s="1561"/>
      <c r="O1085" s="1561"/>
      <c r="P1085" s="1561"/>
      <c r="Q1085" s="1561"/>
      <c r="R1085" s="1561"/>
      <c r="S1085" s="1561"/>
      <c r="T1085" s="1561"/>
      <c r="U1085" s="1561"/>
      <c r="V1085" s="1561"/>
      <c r="W1085" s="1561"/>
      <c r="X1085" s="1561"/>
      <c r="Y1085" s="1561"/>
      <c r="Z1085" s="1561"/>
      <c r="AA1085" s="1561"/>
      <c r="AB1085" s="1561"/>
      <c r="AC1085" s="1561"/>
      <c r="AD1085" s="1561"/>
      <c r="AE1085" s="1561"/>
      <c r="AF1085" s="1561"/>
      <c r="AG1085" s="1561"/>
      <c r="AH1085" s="1561"/>
      <c r="AI1085" s="1561"/>
      <c r="AJ1085" s="1561"/>
      <c r="AK1085" s="1561"/>
      <c r="AL1085" s="1561"/>
      <c r="AM1085" s="1561"/>
      <c r="AN1085" s="1561"/>
      <c r="AO1085" s="1561"/>
      <c r="AP1085" s="1561"/>
      <c r="AQ1085" s="1561"/>
      <c r="AR1085" s="1561"/>
      <c r="AS1085" s="14"/>
      <c r="AT1085" s="68"/>
    </row>
    <row r="1086" spans="1:51" ht="12.95" customHeight="1">
      <c r="A1086" s="1"/>
      <c r="B1086" s="1"/>
      <c r="C1086" s="1601"/>
      <c r="D1086" s="1601"/>
      <c r="E1086" s="1561"/>
      <c r="F1086" s="1561"/>
      <c r="G1086" s="1561"/>
      <c r="H1086" s="1561"/>
      <c r="I1086" s="1561"/>
      <c r="J1086" s="1561"/>
      <c r="K1086" s="1561"/>
      <c r="L1086" s="1561"/>
      <c r="M1086" s="1561"/>
      <c r="N1086" s="1561"/>
      <c r="O1086" s="1561"/>
      <c r="P1086" s="1561"/>
      <c r="Q1086" s="1561"/>
      <c r="R1086" s="1561"/>
      <c r="S1086" s="1561"/>
      <c r="T1086" s="1561"/>
      <c r="U1086" s="1561"/>
      <c r="V1086" s="1561"/>
      <c r="W1086" s="1561"/>
      <c r="X1086" s="1561"/>
      <c r="Y1086" s="1561"/>
      <c r="Z1086" s="1561"/>
      <c r="AA1086" s="1561"/>
      <c r="AB1086" s="1561"/>
      <c r="AC1086" s="1561"/>
      <c r="AD1086" s="1561"/>
      <c r="AE1086" s="1561"/>
      <c r="AF1086" s="1561"/>
      <c r="AG1086" s="1561"/>
      <c r="AH1086" s="1561"/>
      <c r="AI1086" s="1561"/>
      <c r="AJ1086" s="1561"/>
      <c r="AK1086" s="1561"/>
      <c r="AL1086" s="1561"/>
      <c r="AM1086" s="1561"/>
      <c r="AN1086" s="1561"/>
      <c r="AO1086" s="1561"/>
      <c r="AP1086" s="1561"/>
      <c r="AQ1086" s="1561"/>
      <c r="AR1086" s="1561"/>
      <c r="AS1086" s="14"/>
      <c r="AT1086" s="68"/>
    </row>
    <row r="1087" spans="1:51" ht="12.95" customHeight="1">
      <c r="A1087" s="1"/>
      <c r="B1087" s="1"/>
      <c r="C1087" s="1601"/>
      <c r="D1087" s="1601"/>
      <c r="E1087" s="1561"/>
      <c r="F1087" s="1561"/>
      <c r="G1087" s="1561"/>
      <c r="H1087" s="1561"/>
      <c r="I1087" s="1561"/>
      <c r="J1087" s="1561"/>
      <c r="K1087" s="1561"/>
      <c r="L1087" s="1561"/>
      <c r="M1087" s="1561"/>
      <c r="N1087" s="1561"/>
      <c r="O1087" s="1561"/>
      <c r="P1087" s="1561"/>
      <c r="Q1087" s="1561"/>
      <c r="R1087" s="1561"/>
      <c r="S1087" s="1561"/>
      <c r="T1087" s="1561"/>
      <c r="U1087" s="1561"/>
      <c r="V1087" s="1561"/>
      <c r="W1087" s="1561"/>
      <c r="X1087" s="1561"/>
      <c r="Y1087" s="1561"/>
      <c r="Z1087" s="1561"/>
      <c r="AA1087" s="1561"/>
      <c r="AB1087" s="1561"/>
      <c r="AC1087" s="1561"/>
      <c r="AD1087" s="1561"/>
      <c r="AE1087" s="1561"/>
      <c r="AF1087" s="1561"/>
      <c r="AG1087" s="1561"/>
      <c r="AH1087" s="1561"/>
      <c r="AI1087" s="1561"/>
      <c r="AJ1087" s="1561"/>
      <c r="AK1087" s="1561"/>
      <c r="AL1087" s="1561"/>
      <c r="AM1087" s="1561"/>
      <c r="AN1087" s="1561"/>
      <c r="AO1087" s="1561"/>
      <c r="AP1087" s="1561"/>
      <c r="AQ1087" s="1561"/>
      <c r="AR1087" s="1561"/>
      <c r="AS1087" s="14"/>
      <c r="AT1087" s="68"/>
    </row>
    <row r="1088" spans="1:51" ht="12.95" customHeight="1">
      <c r="A1088" s="1"/>
      <c r="B1088" s="1"/>
      <c r="C1088" s="1601"/>
      <c r="D1088" s="1601"/>
      <c r="E1088" s="1561"/>
      <c r="F1088" s="1561"/>
      <c r="G1088" s="1561"/>
      <c r="H1088" s="1561"/>
      <c r="I1088" s="1561"/>
      <c r="J1088" s="1561"/>
      <c r="K1088" s="1561"/>
      <c r="L1088" s="1561"/>
      <c r="M1088" s="1561"/>
      <c r="N1088" s="1561"/>
      <c r="O1088" s="1561"/>
      <c r="P1088" s="1561"/>
      <c r="Q1088" s="1561"/>
      <c r="R1088" s="1561"/>
      <c r="S1088" s="1561"/>
      <c r="T1088" s="1561"/>
      <c r="U1088" s="1561"/>
      <c r="V1088" s="1561"/>
      <c r="W1088" s="1561"/>
      <c r="X1088" s="1561"/>
      <c r="Y1088" s="1561"/>
      <c r="Z1088" s="1561"/>
      <c r="AA1088" s="1561"/>
      <c r="AB1088" s="1561"/>
      <c r="AC1088" s="1561"/>
      <c r="AD1088" s="1561"/>
      <c r="AE1088" s="1561"/>
      <c r="AF1088" s="1561"/>
      <c r="AG1088" s="1561"/>
      <c r="AH1088" s="1561"/>
      <c r="AI1088" s="1561"/>
      <c r="AJ1088" s="1561"/>
      <c r="AK1088" s="1561"/>
      <c r="AL1088" s="1561"/>
      <c r="AM1088" s="1561"/>
      <c r="AN1088" s="1561"/>
      <c r="AO1088" s="1561"/>
      <c r="AP1088" s="1561"/>
      <c r="AQ1088" s="1561"/>
      <c r="AR1088" s="1561"/>
      <c r="AS1088" s="14"/>
      <c r="AT1088" s="68"/>
    </row>
    <row r="1089" spans="1:45" ht="12.95" customHeight="1">
      <c r="A1089" s="1"/>
      <c r="B1089" s="1"/>
      <c r="C1089" s="1601"/>
      <c r="D1089" s="1601"/>
      <c r="E1089" s="453"/>
      <c r="F1089" s="453"/>
      <c r="G1089" s="453"/>
      <c r="H1089" s="453"/>
      <c r="I1089" s="453"/>
      <c r="J1089" s="453"/>
      <c r="K1089" s="453"/>
      <c r="L1089" s="453"/>
      <c r="M1089" s="453"/>
      <c r="N1089" s="453"/>
      <c r="O1089" s="453"/>
      <c r="P1089" s="453"/>
      <c r="Q1089" s="453"/>
      <c r="R1089" s="453"/>
      <c r="S1089" s="453"/>
      <c r="T1089" s="453"/>
      <c r="U1089" s="453"/>
      <c r="V1089" s="453"/>
      <c r="W1089" s="453"/>
      <c r="X1089" s="453"/>
      <c r="Y1089" s="453"/>
      <c r="Z1089" s="453"/>
      <c r="AA1089" s="453"/>
      <c r="AB1089" s="453"/>
      <c r="AC1089" s="453"/>
      <c r="AD1089" s="453"/>
      <c r="AE1089" s="453"/>
      <c r="AF1089" s="453"/>
      <c r="AG1089" s="453"/>
      <c r="AH1089" s="453"/>
      <c r="AI1089" s="453"/>
      <c r="AJ1089" s="453"/>
      <c r="AK1089" s="453"/>
      <c r="AS1089" s="14"/>
    </row>
    <row r="1090" spans="1:45" ht="12.95" customHeight="1">
      <c r="A1090" s="1599" t="s">
        <v>590</v>
      </c>
      <c r="B1090" s="1599"/>
      <c r="C1090" s="1601">
        <v>5</v>
      </c>
      <c r="D1090" s="1601"/>
      <c r="E1090" s="1561" t="s">
        <v>2191</v>
      </c>
      <c r="F1090" s="1561"/>
      <c r="G1090" s="1561"/>
      <c r="H1090" s="1561"/>
      <c r="I1090" s="1561"/>
      <c r="J1090" s="1561"/>
      <c r="K1090" s="1561"/>
      <c r="L1090" s="1561"/>
      <c r="M1090" s="1561"/>
      <c r="N1090" s="1561"/>
      <c r="O1090" s="1561"/>
      <c r="P1090" s="1561"/>
      <c r="Q1090" s="1561"/>
      <c r="R1090" s="1561"/>
      <c r="S1090" s="1561"/>
      <c r="T1090" s="1561"/>
      <c r="U1090" s="1561"/>
      <c r="V1090" s="1561"/>
      <c r="W1090" s="1561"/>
      <c r="X1090" s="1561"/>
      <c r="Y1090" s="1561"/>
      <c r="Z1090" s="1561"/>
      <c r="AA1090" s="1561"/>
      <c r="AB1090" s="1561"/>
      <c r="AC1090" s="1561"/>
      <c r="AD1090" s="1561"/>
      <c r="AE1090" s="1561"/>
      <c r="AF1090" s="1561"/>
      <c r="AG1090" s="1561"/>
      <c r="AH1090" s="1561"/>
      <c r="AI1090" s="1561"/>
      <c r="AJ1090" s="1561"/>
      <c r="AK1090" s="1561"/>
      <c r="AL1090" s="1561"/>
      <c r="AM1090" s="1561"/>
      <c r="AN1090" s="1561"/>
      <c r="AO1090" s="1561"/>
      <c r="AP1090" s="1561"/>
      <c r="AQ1090" s="1561"/>
      <c r="AR1090" s="1561"/>
      <c r="AS1090" s="14"/>
    </row>
    <row r="1091" spans="1:45" ht="12.95" customHeight="1">
      <c r="A1091" s="4"/>
      <c r="B1091" s="4"/>
      <c r="C1091" s="1601"/>
      <c r="D1091" s="1601"/>
      <c r="E1091" s="1561"/>
      <c r="F1091" s="1561"/>
      <c r="G1091" s="1561"/>
      <c r="H1091" s="1561"/>
      <c r="I1091" s="1561"/>
      <c r="J1091" s="1561"/>
      <c r="K1091" s="1561"/>
      <c r="L1091" s="1561"/>
      <c r="M1091" s="1561"/>
      <c r="N1091" s="1561"/>
      <c r="O1091" s="1561"/>
      <c r="P1091" s="1561"/>
      <c r="Q1091" s="1561"/>
      <c r="R1091" s="1561"/>
      <c r="S1091" s="1561"/>
      <c r="T1091" s="1561"/>
      <c r="U1091" s="1561"/>
      <c r="V1091" s="1561"/>
      <c r="W1091" s="1561"/>
      <c r="X1091" s="1561"/>
      <c r="Y1091" s="1561"/>
      <c r="Z1091" s="1561"/>
      <c r="AA1091" s="1561"/>
      <c r="AB1091" s="1561"/>
      <c r="AC1091" s="1561"/>
      <c r="AD1091" s="1561"/>
      <c r="AE1091" s="1561"/>
      <c r="AF1091" s="1561"/>
      <c r="AG1091" s="1561"/>
      <c r="AH1091" s="1561"/>
      <c r="AI1091" s="1561"/>
      <c r="AJ1091" s="1561"/>
      <c r="AK1091" s="1561"/>
      <c r="AL1091" s="1561"/>
      <c r="AM1091" s="1561"/>
      <c r="AN1091" s="1561"/>
      <c r="AO1091" s="1561"/>
      <c r="AP1091" s="1561"/>
      <c r="AQ1091" s="1561"/>
      <c r="AR1091" s="1561"/>
      <c r="AS1091" s="14"/>
    </row>
    <row r="1092" spans="1:45" ht="12.95" customHeight="1">
      <c r="A1092" s="4"/>
      <c r="B1092" s="4"/>
      <c r="C1092" s="1601"/>
      <c r="D1092" s="1601"/>
      <c r="E1092" s="1561"/>
      <c r="F1092" s="1561"/>
      <c r="G1092" s="1561"/>
      <c r="H1092" s="1561"/>
      <c r="I1092" s="1561"/>
      <c r="J1092" s="1561"/>
      <c r="K1092" s="1561"/>
      <c r="L1092" s="1561"/>
      <c r="M1092" s="1561"/>
      <c r="N1092" s="1561"/>
      <c r="O1092" s="1561"/>
      <c r="P1092" s="1561"/>
      <c r="Q1092" s="1561"/>
      <c r="R1092" s="1561"/>
      <c r="S1092" s="1561"/>
      <c r="T1092" s="1561"/>
      <c r="U1092" s="1561"/>
      <c r="V1092" s="1561"/>
      <c r="W1092" s="1561"/>
      <c r="X1092" s="1561"/>
      <c r="Y1092" s="1561"/>
      <c r="Z1092" s="1561"/>
      <c r="AA1092" s="1561"/>
      <c r="AB1092" s="1561"/>
      <c r="AC1092" s="1561"/>
      <c r="AD1092" s="1561"/>
      <c r="AE1092" s="1561"/>
      <c r="AF1092" s="1561"/>
      <c r="AG1092" s="1561"/>
      <c r="AH1092" s="1561"/>
      <c r="AI1092" s="1561"/>
      <c r="AJ1092" s="1561"/>
      <c r="AK1092" s="1561"/>
      <c r="AL1092" s="1561"/>
      <c r="AM1092" s="1561"/>
      <c r="AN1092" s="1561"/>
      <c r="AO1092" s="1561"/>
      <c r="AP1092" s="1561"/>
      <c r="AQ1092" s="1561"/>
      <c r="AR1092" s="1561"/>
      <c r="AS1092" s="14"/>
    </row>
    <row r="1093" spans="1:45" ht="12.95" customHeight="1">
      <c r="A1093" s="35"/>
      <c r="B1093" s="25"/>
      <c r="C1093" s="1601"/>
      <c r="D1093" s="1601"/>
      <c r="E1093" s="453"/>
      <c r="F1093" s="453"/>
      <c r="G1093" s="453"/>
      <c r="H1093" s="453"/>
      <c r="I1093" s="453"/>
      <c r="J1093" s="453"/>
      <c r="K1093" s="453"/>
      <c r="L1093" s="453"/>
      <c r="M1093" s="453"/>
      <c r="N1093" s="453"/>
      <c r="O1093" s="453"/>
      <c r="P1093" s="453"/>
      <c r="Q1093" s="453"/>
      <c r="R1093" s="453"/>
      <c r="S1093" s="453"/>
      <c r="T1093" s="453"/>
      <c r="U1093" s="453"/>
      <c r="V1093" s="453"/>
      <c r="W1093" s="453"/>
      <c r="X1093" s="453"/>
      <c r="Y1093" s="453"/>
      <c r="Z1093" s="453"/>
      <c r="AA1093" s="453"/>
      <c r="AB1093" s="453"/>
      <c r="AC1093" s="453"/>
      <c r="AD1093" s="453"/>
      <c r="AE1093" s="453"/>
      <c r="AF1093" s="453"/>
      <c r="AG1093" s="453"/>
      <c r="AH1093" s="453"/>
      <c r="AI1093" s="453"/>
      <c r="AJ1093" s="453"/>
      <c r="AK1093" s="453"/>
      <c r="AS1093" s="14"/>
    </row>
    <row r="1094" spans="1:45" ht="12.95" customHeight="1">
      <c r="A1094" s="1599" t="s">
        <v>590</v>
      </c>
      <c r="B1094" s="1599"/>
      <c r="C1094" s="1601">
        <v>6</v>
      </c>
      <c r="D1094" s="1601"/>
      <c r="E1094" s="1561" t="s">
        <v>2192</v>
      </c>
      <c r="F1094" s="1561"/>
      <c r="G1094" s="1561"/>
      <c r="H1094" s="1561"/>
      <c r="I1094" s="1561"/>
      <c r="J1094" s="1561"/>
      <c r="K1094" s="1561"/>
      <c r="L1094" s="1561"/>
      <c r="M1094" s="1561"/>
      <c r="N1094" s="1561"/>
      <c r="O1094" s="1561"/>
      <c r="P1094" s="1561"/>
      <c r="Q1094" s="1561"/>
      <c r="R1094" s="1561"/>
      <c r="S1094" s="1561"/>
      <c r="T1094" s="1561"/>
      <c r="U1094" s="1561"/>
      <c r="V1094" s="1561"/>
      <c r="W1094" s="1561"/>
      <c r="X1094" s="1561"/>
      <c r="Y1094" s="1561"/>
      <c r="Z1094" s="1561"/>
      <c r="AA1094" s="1561"/>
      <c r="AB1094" s="1561"/>
      <c r="AC1094" s="1561"/>
      <c r="AD1094" s="1561"/>
      <c r="AE1094" s="1561"/>
      <c r="AF1094" s="1561"/>
      <c r="AG1094" s="1561"/>
      <c r="AH1094" s="1561"/>
      <c r="AI1094" s="1561"/>
      <c r="AJ1094" s="1561"/>
      <c r="AK1094" s="1561"/>
      <c r="AL1094" s="1561"/>
      <c r="AM1094" s="1561"/>
      <c r="AN1094" s="1561"/>
      <c r="AO1094" s="1561"/>
      <c r="AP1094" s="1561"/>
      <c r="AQ1094" s="1561"/>
      <c r="AR1094" s="1561"/>
      <c r="AS1094" s="14"/>
    </row>
    <row r="1095" spans="1:45" ht="12.95" customHeight="1">
      <c r="A1095" s="1"/>
      <c r="B1095" s="1"/>
      <c r="C1095" s="1"/>
      <c r="D1095" s="1"/>
      <c r="E1095" s="1561"/>
      <c r="F1095" s="1561"/>
      <c r="G1095" s="1561"/>
      <c r="H1095" s="1561"/>
      <c r="I1095" s="1561"/>
      <c r="J1095" s="1561"/>
      <c r="K1095" s="1561"/>
      <c r="L1095" s="1561"/>
      <c r="M1095" s="1561"/>
      <c r="N1095" s="1561"/>
      <c r="O1095" s="1561"/>
      <c r="P1095" s="1561"/>
      <c r="Q1095" s="1561"/>
      <c r="R1095" s="1561"/>
      <c r="S1095" s="1561"/>
      <c r="T1095" s="1561"/>
      <c r="U1095" s="1561"/>
      <c r="V1095" s="1561"/>
      <c r="W1095" s="1561"/>
      <c r="X1095" s="1561"/>
      <c r="Y1095" s="1561"/>
      <c r="Z1095" s="1561"/>
      <c r="AA1095" s="1561"/>
      <c r="AB1095" s="1561"/>
      <c r="AC1095" s="1561"/>
      <c r="AD1095" s="1561"/>
      <c r="AE1095" s="1561"/>
      <c r="AF1095" s="1561"/>
      <c r="AG1095" s="1561"/>
      <c r="AH1095" s="1561"/>
      <c r="AI1095" s="1561"/>
      <c r="AJ1095" s="1561"/>
      <c r="AK1095" s="1561"/>
      <c r="AL1095" s="1561"/>
      <c r="AM1095" s="1561"/>
      <c r="AN1095" s="1561"/>
      <c r="AO1095" s="1561"/>
      <c r="AP1095" s="1561"/>
      <c r="AQ1095" s="1561"/>
      <c r="AR1095" s="1561"/>
      <c r="AS1095" s="14"/>
    </row>
    <row r="1096" spans="1:45" ht="12.95" customHeight="1">
      <c r="A1096" s="1"/>
      <c r="B1096" s="1"/>
      <c r="C1096" s="1601"/>
      <c r="D1096" s="1601"/>
      <c r="E1096" s="1561"/>
      <c r="F1096" s="1561"/>
      <c r="G1096" s="1561"/>
      <c r="H1096" s="1561"/>
      <c r="I1096" s="1561"/>
      <c r="J1096" s="1561"/>
      <c r="K1096" s="1561"/>
      <c r="L1096" s="1561"/>
      <c r="M1096" s="1561"/>
      <c r="N1096" s="1561"/>
      <c r="O1096" s="1561"/>
      <c r="P1096" s="1561"/>
      <c r="Q1096" s="1561"/>
      <c r="R1096" s="1561"/>
      <c r="S1096" s="1561"/>
      <c r="T1096" s="1561"/>
      <c r="U1096" s="1561"/>
      <c r="V1096" s="1561"/>
      <c r="W1096" s="1561"/>
      <c r="X1096" s="1561"/>
      <c r="Y1096" s="1561"/>
      <c r="Z1096" s="1561"/>
      <c r="AA1096" s="1561"/>
      <c r="AB1096" s="1561"/>
      <c r="AC1096" s="1561"/>
      <c r="AD1096" s="1561"/>
      <c r="AE1096" s="1561"/>
      <c r="AF1096" s="1561"/>
      <c r="AG1096" s="1561"/>
      <c r="AH1096" s="1561"/>
      <c r="AI1096" s="1561"/>
      <c r="AJ1096" s="1561"/>
      <c r="AK1096" s="1561"/>
      <c r="AL1096" s="1561"/>
      <c r="AM1096" s="1561"/>
      <c r="AN1096" s="1561"/>
      <c r="AO1096" s="1561"/>
      <c r="AP1096" s="1561"/>
      <c r="AQ1096" s="1561"/>
      <c r="AR1096" s="1561"/>
      <c r="AS1096" s="14"/>
    </row>
    <row r="1097" spans="1:45" ht="12.95" customHeight="1">
      <c r="A1097" s="35"/>
      <c r="B1097" s="25"/>
      <c r="C1097" s="1601"/>
      <c r="D1097" s="1601"/>
      <c r="E1097" s="453"/>
      <c r="F1097" s="453"/>
      <c r="G1097" s="453"/>
      <c r="H1097" s="453"/>
      <c r="I1097" s="453"/>
      <c r="J1097" s="453"/>
      <c r="K1097" s="453"/>
      <c r="L1097" s="453"/>
      <c r="M1097" s="453"/>
      <c r="N1097" s="453"/>
      <c r="O1097" s="453"/>
      <c r="P1097" s="453"/>
      <c r="Q1097" s="453"/>
      <c r="R1097" s="453"/>
      <c r="S1097" s="453"/>
      <c r="T1097" s="453"/>
      <c r="U1097" s="453"/>
      <c r="V1097" s="453"/>
      <c r="W1097" s="453"/>
      <c r="X1097" s="453"/>
      <c r="Y1097" s="453"/>
      <c r="Z1097" s="453"/>
      <c r="AA1097" s="453"/>
      <c r="AB1097" s="453"/>
      <c r="AC1097" s="453"/>
      <c r="AD1097" s="453"/>
      <c r="AE1097" s="453"/>
      <c r="AF1097" s="453"/>
      <c r="AG1097" s="453"/>
      <c r="AH1097" s="453"/>
      <c r="AI1097" s="453"/>
      <c r="AJ1097" s="453"/>
      <c r="AK1097" s="453"/>
      <c r="AS1097" s="14"/>
    </row>
    <row r="1098" spans="1:45" ht="12.95" customHeight="1">
      <c r="A1098" s="1599" t="s">
        <v>590</v>
      </c>
      <c r="B1098" s="1599"/>
      <c r="C1098" s="1601">
        <v>7</v>
      </c>
      <c r="D1098" s="1601"/>
      <c r="E1098" s="1561" t="s">
        <v>2090</v>
      </c>
      <c r="F1098" s="1561"/>
      <c r="G1098" s="1561"/>
      <c r="H1098" s="1561"/>
      <c r="I1098" s="1561"/>
      <c r="J1098" s="1561"/>
      <c r="K1098" s="1561"/>
      <c r="L1098" s="1561"/>
      <c r="M1098" s="1561"/>
      <c r="N1098" s="1561"/>
      <c r="O1098" s="1561"/>
      <c r="P1098" s="1561"/>
      <c r="Q1098" s="1561"/>
      <c r="R1098" s="1561"/>
      <c r="S1098" s="1561"/>
      <c r="T1098" s="1561"/>
      <c r="U1098" s="1561"/>
      <c r="V1098" s="1561"/>
      <c r="W1098" s="1561"/>
      <c r="X1098" s="1561"/>
      <c r="Y1098" s="1561"/>
      <c r="Z1098" s="1561"/>
      <c r="AA1098" s="1561"/>
      <c r="AB1098" s="1561"/>
      <c r="AC1098" s="1561"/>
      <c r="AD1098" s="1561"/>
      <c r="AE1098" s="1561"/>
      <c r="AF1098" s="1561"/>
      <c r="AG1098" s="1561"/>
      <c r="AH1098" s="1561"/>
      <c r="AI1098" s="1561"/>
      <c r="AJ1098" s="1561"/>
      <c r="AK1098" s="1561"/>
      <c r="AL1098" s="1561"/>
      <c r="AM1098" s="1561"/>
      <c r="AN1098" s="1561"/>
      <c r="AO1098" s="1561"/>
      <c r="AP1098" s="1561"/>
      <c r="AQ1098" s="1561"/>
      <c r="AR1098" s="1561"/>
      <c r="AS1098" s="14"/>
    </row>
    <row r="1099" spans="1:45" ht="12.95" customHeight="1">
      <c r="A1099" s="1"/>
      <c r="B1099" s="1"/>
      <c r="C1099" s="1601"/>
      <c r="D1099" s="1601"/>
      <c r="E1099" s="1561"/>
      <c r="F1099" s="1561"/>
      <c r="G1099" s="1561"/>
      <c r="H1099" s="1561"/>
      <c r="I1099" s="1561"/>
      <c r="J1099" s="1561"/>
      <c r="K1099" s="1561"/>
      <c r="L1099" s="1561"/>
      <c r="M1099" s="1561"/>
      <c r="N1099" s="1561"/>
      <c r="O1099" s="1561"/>
      <c r="P1099" s="1561"/>
      <c r="Q1099" s="1561"/>
      <c r="R1099" s="1561"/>
      <c r="S1099" s="1561"/>
      <c r="T1099" s="1561"/>
      <c r="U1099" s="1561"/>
      <c r="V1099" s="1561"/>
      <c r="W1099" s="1561"/>
      <c r="X1099" s="1561"/>
      <c r="Y1099" s="1561"/>
      <c r="Z1099" s="1561"/>
      <c r="AA1099" s="1561"/>
      <c r="AB1099" s="1561"/>
      <c r="AC1099" s="1561"/>
      <c r="AD1099" s="1561"/>
      <c r="AE1099" s="1561"/>
      <c r="AF1099" s="1561"/>
      <c r="AG1099" s="1561"/>
      <c r="AH1099" s="1561"/>
      <c r="AI1099" s="1561"/>
      <c r="AJ1099" s="1561"/>
      <c r="AK1099" s="1561"/>
      <c r="AL1099" s="1561"/>
      <c r="AM1099" s="1561"/>
      <c r="AN1099" s="1561"/>
      <c r="AO1099" s="1561"/>
      <c r="AP1099" s="1561"/>
      <c r="AQ1099" s="1561"/>
      <c r="AR1099" s="1561"/>
      <c r="AS1099" s="14"/>
    </row>
    <row r="1100" spans="1:45" ht="12.95" customHeight="1">
      <c r="A1100" s="1"/>
      <c r="B1100" s="1"/>
      <c r="C1100" s="1601"/>
      <c r="D1100" s="1601"/>
      <c r="E1100" s="1561"/>
      <c r="F1100" s="1561"/>
      <c r="G1100" s="1561"/>
      <c r="H1100" s="1561"/>
      <c r="I1100" s="1561"/>
      <c r="J1100" s="1561"/>
      <c r="K1100" s="1561"/>
      <c r="L1100" s="1561"/>
      <c r="M1100" s="1561"/>
      <c r="N1100" s="1561"/>
      <c r="O1100" s="1561"/>
      <c r="P1100" s="1561"/>
      <c r="Q1100" s="1561"/>
      <c r="R1100" s="1561"/>
      <c r="S1100" s="1561"/>
      <c r="T1100" s="1561"/>
      <c r="U1100" s="1561"/>
      <c r="V1100" s="1561"/>
      <c r="W1100" s="1561"/>
      <c r="X1100" s="1561"/>
      <c r="Y1100" s="1561"/>
      <c r="Z1100" s="1561"/>
      <c r="AA1100" s="1561"/>
      <c r="AB1100" s="1561"/>
      <c r="AC1100" s="1561"/>
      <c r="AD1100" s="1561"/>
      <c r="AE1100" s="1561"/>
      <c r="AF1100" s="1561"/>
      <c r="AG1100" s="1561"/>
      <c r="AH1100" s="1561"/>
      <c r="AI1100" s="1561"/>
      <c r="AJ1100" s="1561"/>
      <c r="AK1100" s="1561"/>
      <c r="AL1100" s="1561"/>
      <c r="AM1100" s="1561"/>
      <c r="AN1100" s="1561"/>
      <c r="AO1100" s="1561"/>
      <c r="AP1100" s="1561"/>
      <c r="AQ1100" s="1561"/>
      <c r="AR1100" s="1561"/>
      <c r="AS1100" s="14"/>
    </row>
    <row r="1101" spans="1:45" ht="12.95" customHeight="1">
      <c r="A1101" s="1"/>
      <c r="B1101" s="1"/>
      <c r="C1101" s="1601"/>
      <c r="D1101" s="1601"/>
      <c r="E1101" s="453"/>
      <c r="F1101" s="453"/>
      <c r="G1101" s="453"/>
      <c r="H1101" s="453"/>
      <c r="I1101" s="453"/>
      <c r="J1101" s="453"/>
      <c r="K1101" s="453"/>
      <c r="L1101" s="453"/>
      <c r="M1101" s="453"/>
      <c r="N1101" s="453"/>
      <c r="O1101" s="453"/>
      <c r="P1101" s="453"/>
      <c r="Q1101" s="453"/>
      <c r="R1101" s="453"/>
      <c r="S1101" s="453"/>
      <c r="T1101" s="453"/>
      <c r="U1101" s="453"/>
      <c r="V1101" s="453"/>
      <c r="W1101" s="453"/>
      <c r="X1101" s="453"/>
      <c r="Y1101" s="453"/>
      <c r="Z1101" s="453"/>
      <c r="AA1101" s="453"/>
      <c r="AB1101" s="453"/>
      <c r="AC1101" s="453"/>
      <c r="AD1101" s="453"/>
      <c r="AE1101" s="453"/>
      <c r="AF1101" s="453"/>
      <c r="AG1101" s="453"/>
      <c r="AH1101" s="453"/>
      <c r="AI1101" s="453"/>
      <c r="AJ1101" s="453"/>
      <c r="AK1101" s="453"/>
    </row>
    <row r="1102" spans="1:45" ht="12.95" customHeight="1">
      <c r="A1102" s="35"/>
      <c r="B1102" s="25"/>
      <c r="C1102" s="1601"/>
      <c r="D1102" s="1601"/>
      <c r="E1102" s="453"/>
      <c r="F1102" s="453"/>
      <c r="G1102" s="453"/>
      <c r="H1102" s="453"/>
      <c r="I1102" s="453"/>
      <c r="J1102" s="453"/>
      <c r="K1102" s="453"/>
      <c r="L1102" s="453"/>
      <c r="M1102" s="453"/>
      <c r="N1102" s="453"/>
      <c r="O1102" s="453"/>
      <c r="P1102" s="453"/>
      <c r="Q1102" s="453"/>
      <c r="R1102" s="453"/>
      <c r="S1102" s="453"/>
      <c r="T1102" s="453"/>
      <c r="U1102" s="453"/>
      <c r="V1102" s="453"/>
      <c r="W1102" s="453"/>
      <c r="X1102" s="453"/>
      <c r="Y1102" s="453"/>
      <c r="Z1102" s="453"/>
      <c r="AA1102" s="453"/>
      <c r="AB1102" s="453"/>
      <c r="AC1102" s="453"/>
      <c r="AD1102" s="453"/>
      <c r="AE1102" s="453"/>
      <c r="AF1102" s="453"/>
      <c r="AG1102" s="453"/>
      <c r="AH1102" s="453"/>
      <c r="AI1102" s="453"/>
      <c r="AJ1102" s="453"/>
      <c r="AK1102" s="453"/>
    </row>
    <row r="1103" spans="1:45" ht="12.95" customHeight="1">
      <c r="A1103" s="1599" t="s">
        <v>590</v>
      </c>
      <c r="B1103" s="1599"/>
      <c r="C1103" s="1601">
        <v>8</v>
      </c>
      <c r="D1103" s="1601"/>
      <c r="E1103" s="1561" t="s">
        <v>1070</v>
      </c>
      <c r="F1103" s="1561"/>
      <c r="G1103" s="1561"/>
      <c r="H1103" s="1561"/>
      <c r="I1103" s="1561"/>
      <c r="J1103" s="1561"/>
      <c r="K1103" s="1561"/>
      <c r="L1103" s="1561"/>
      <c r="M1103" s="1561"/>
      <c r="N1103" s="1561"/>
      <c r="O1103" s="1561"/>
      <c r="P1103" s="1561"/>
      <c r="Q1103" s="1561"/>
      <c r="R1103" s="1561"/>
      <c r="S1103" s="1561"/>
      <c r="T1103" s="1561"/>
      <c r="U1103" s="1561"/>
      <c r="V1103" s="1561"/>
      <c r="W1103" s="1561"/>
      <c r="X1103" s="1561"/>
      <c r="Y1103" s="1561"/>
      <c r="Z1103" s="1561"/>
      <c r="AA1103" s="1561"/>
      <c r="AB1103" s="1561"/>
      <c r="AC1103" s="1561"/>
      <c r="AD1103" s="1561"/>
      <c r="AE1103" s="1561"/>
      <c r="AF1103" s="1561"/>
      <c r="AG1103" s="1561"/>
      <c r="AH1103" s="1561"/>
      <c r="AI1103" s="1561"/>
      <c r="AJ1103" s="1561"/>
      <c r="AK1103" s="1561"/>
      <c r="AL1103" s="1561"/>
      <c r="AM1103" s="1561"/>
      <c r="AN1103" s="1561"/>
      <c r="AO1103" s="1561"/>
      <c r="AP1103" s="1561"/>
      <c r="AQ1103" s="1561"/>
      <c r="AR1103" s="1561"/>
    </row>
    <row r="1104" spans="1:45" ht="12.95" customHeight="1">
      <c r="A1104" s="35"/>
      <c r="B1104" s="25"/>
      <c r="C1104" s="1601"/>
      <c r="D1104" s="1601"/>
      <c r="E1104" s="1561"/>
      <c r="F1104" s="1561"/>
      <c r="G1104" s="1561"/>
      <c r="H1104" s="1561"/>
      <c r="I1104" s="1561"/>
      <c r="J1104" s="1561"/>
      <c r="K1104" s="1561"/>
      <c r="L1104" s="1561"/>
      <c r="M1104" s="1561"/>
      <c r="N1104" s="1561"/>
      <c r="O1104" s="1561"/>
      <c r="P1104" s="1561"/>
      <c r="Q1104" s="1561"/>
      <c r="R1104" s="1561"/>
      <c r="S1104" s="1561"/>
      <c r="T1104" s="1561"/>
      <c r="U1104" s="1561"/>
      <c r="V1104" s="1561"/>
      <c r="W1104" s="1561"/>
      <c r="X1104" s="1561"/>
      <c r="Y1104" s="1561"/>
      <c r="Z1104" s="1561"/>
      <c r="AA1104" s="1561"/>
      <c r="AB1104" s="1561"/>
      <c r="AC1104" s="1561"/>
      <c r="AD1104" s="1561"/>
      <c r="AE1104" s="1561"/>
      <c r="AF1104" s="1561"/>
      <c r="AG1104" s="1561"/>
      <c r="AH1104" s="1561"/>
      <c r="AI1104" s="1561"/>
      <c r="AJ1104" s="1561"/>
      <c r="AK1104" s="1561"/>
      <c r="AL1104" s="1561"/>
      <c r="AM1104" s="1561"/>
      <c r="AN1104" s="1561"/>
      <c r="AO1104" s="1561"/>
      <c r="AP1104" s="1561"/>
      <c r="AQ1104" s="1561"/>
      <c r="AR1104" s="1561"/>
    </row>
    <row r="1105" spans="1:44" ht="12.95" customHeight="1">
      <c r="A1105" s="35"/>
      <c r="B1105" s="25"/>
      <c r="C1105" s="1601"/>
      <c r="D1105" s="1601"/>
      <c r="E1105" s="453"/>
      <c r="F1105" s="453"/>
      <c r="G1105" s="453"/>
      <c r="H1105" s="453"/>
      <c r="I1105" s="453"/>
      <c r="J1105" s="453"/>
      <c r="K1105" s="453"/>
      <c r="L1105" s="453"/>
      <c r="M1105" s="453"/>
      <c r="N1105" s="453"/>
      <c r="O1105" s="453"/>
      <c r="P1105" s="453"/>
      <c r="Q1105" s="453"/>
      <c r="R1105" s="453"/>
      <c r="S1105" s="453"/>
      <c r="T1105" s="453"/>
      <c r="U1105" s="453"/>
      <c r="V1105" s="453"/>
      <c r="W1105" s="453"/>
      <c r="X1105" s="453"/>
      <c r="Y1105" s="453"/>
      <c r="Z1105" s="453"/>
      <c r="AA1105" s="453"/>
      <c r="AB1105" s="453"/>
      <c r="AC1105" s="453"/>
      <c r="AD1105" s="453"/>
      <c r="AE1105" s="453"/>
      <c r="AF1105" s="453"/>
      <c r="AG1105" s="453"/>
      <c r="AH1105" s="453"/>
      <c r="AI1105" s="453"/>
      <c r="AJ1105" s="453"/>
      <c r="AK1105" s="453"/>
    </row>
    <row r="1106" spans="1:44" ht="12.95" customHeight="1">
      <c r="A1106" s="1599" t="s">
        <v>590</v>
      </c>
      <c r="B1106" s="1599"/>
      <c r="C1106" s="1600">
        <v>9</v>
      </c>
      <c r="D1106" s="1600"/>
      <c r="E1106" s="1561" t="s">
        <v>1072</v>
      </c>
      <c r="F1106" s="1561"/>
      <c r="G1106" s="1561"/>
      <c r="H1106" s="1561"/>
      <c r="I1106" s="1561"/>
      <c r="J1106" s="1561"/>
      <c r="K1106" s="1561"/>
      <c r="L1106" s="1561"/>
      <c r="M1106" s="1561"/>
      <c r="N1106" s="1561"/>
      <c r="O1106" s="1561"/>
      <c r="P1106" s="1561"/>
      <c r="Q1106" s="1561"/>
      <c r="R1106" s="1561"/>
      <c r="S1106" s="1561"/>
      <c r="T1106" s="1561"/>
      <c r="U1106" s="1561"/>
      <c r="V1106" s="1561"/>
      <c r="W1106" s="1561"/>
      <c r="X1106" s="1561"/>
      <c r="Y1106" s="1561"/>
      <c r="Z1106" s="1561"/>
      <c r="AA1106" s="1561"/>
      <c r="AB1106" s="1561"/>
      <c r="AC1106" s="1561"/>
      <c r="AD1106" s="1561"/>
      <c r="AE1106" s="1561"/>
      <c r="AF1106" s="1561"/>
      <c r="AG1106" s="1561"/>
      <c r="AH1106" s="1561"/>
      <c r="AI1106" s="1561"/>
      <c r="AJ1106" s="1561"/>
      <c r="AK1106" s="1561"/>
      <c r="AL1106" s="1561"/>
      <c r="AM1106" s="1561"/>
      <c r="AN1106" s="1561"/>
      <c r="AO1106" s="1561"/>
      <c r="AP1106" s="1561"/>
      <c r="AQ1106" s="1561"/>
      <c r="AR1106" s="1561"/>
    </row>
    <row r="1107" spans="1:44" ht="12.95" customHeight="1">
      <c r="A1107" s="1"/>
      <c r="B1107" s="1"/>
      <c r="C1107" s="1600"/>
      <c r="D1107" s="1600"/>
      <c r="E1107" s="1561"/>
      <c r="F1107" s="1561"/>
      <c r="G1107" s="1561"/>
      <c r="H1107" s="1561"/>
      <c r="I1107" s="1561"/>
      <c r="J1107" s="1561"/>
      <c r="K1107" s="1561"/>
      <c r="L1107" s="1561"/>
      <c r="M1107" s="1561"/>
      <c r="N1107" s="1561"/>
      <c r="O1107" s="1561"/>
      <c r="P1107" s="1561"/>
      <c r="Q1107" s="1561"/>
      <c r="R1107" s="1561"/>
      <c r="S1107" s="1561"/>
      <c r="T1107" s="1561"/>
      <c r="U1107" s="1561"/>
      <c r="V1107" s="1561"/>
      <c r="W1107" s="1561"/>
      <c r="X1107" s="1561"/>
      <c r="Y1107" s="1561"/>
      <c r="Z1107" s="1561"/>
      <c r="AA1107" s="1561"/>
      <c r="AB1107" s="1561"/>
      <c r="AC1107" s="1561"/>
      <c r="AD1107" s="1561"/>
      <c r="AE1107" s="1561"/>
      <c r="AF1107" s="1561"/>
      <c r="AG1107" s="1561"/>
      <c r="AH1107" s="1561"/>
      <c r="AI1107" s="1561"/>
      <c r="AJ1107" s="1561"/>
      <c r="AK1107" s="1561"/>
      <c r="AL1107" s="1561"/>
      <c r="AM1107" s="1561"/>
      <c r="AN1107" s="1561"/>
      <c r="AO1107" s="1561"/>
      <c r="AP1107" s="1561"/>
      <c r="AQ1107" s="1561"/>
      <c r="AR1107" s="1561"/>
    </row>
    <row r="1108" spans="1:44" ht="12.95" customHeight="1">
      <c r="A1108" s="35"/>
      <c r="B1108" s="25"/>
      <c r="C1108" s="1600"/>
      <c r="D1108" s="1600"/>
      <c r="E1108" s="453"/>
      <c r="F1108" s="453"/>
      <c r="G1108" s="453"/>
      <c r="H1108" s="453"/>
      <c r="I1108" s="453"/>
      <c r="J1108" s="453"/>
      <c r="K1108" s="453"/>
      <c r="L1108" s="453"/>
      <c r="M1108" s="453"/>
      <c r="N1108" s="453"/>
      <c r="O1108" s="453"/>
      <c r="P1108" s="453"/>
      <c r="Q1108" s="453"/>
      <c r="R1108" s="453"/>
      <c r="S1108" s="453"/>
      <c r="T1108" s="453"/>
      <c r="U1108" s="453"/>
      <c r="V1108" s="453"/>
      <c r="W1108" s="453"/>
      <c r="X1108" s="453"/>
      <c r="Y1108" s="453"/>
      <c r="Z1108" s="453"/>
      <c r="AA1108" s="453"/>
      <c r="AB1108" s="453"/>
      <c r="AC1108" s="453"/>
      <c r="AD1108" s="453"/>
      <c r="AE1108" s="453"/>
      <c r="AF1108" s="453"/>
      <c r="AG1108" s="453"/>
      <c r="AH1108" s="453"/>
      <c r="AI1108" s="453"/>
      <c r="AJ1108" s="453"/>
      <c r="AK1108" s="453"/>
    </row>
    <row r="1109" spans="1:44" ht="12.95" customHeight="1">
      <c r="A1109" s="1599" t="s">
        <v>590</v>
      </c>
      <c r="B1109" s="1599"/>
      <c r="C1109" s="1600">
        <v>10</v>
      </c>
      <c r="D1109" s="1600"/>
      <c r="E1109" s="1563" t="s">
        <v>2189</v>
      </c>
      <c r="F1109" s="1563"/>
      <c r="G1109" s="1563"/>
      <c r="H1109" s="1563"/>
      <c r="I1109" s="1563"/>
      <c r="J1109" s="1563"/>
      <c r="K1109" s="1563"/>
      <c r="L1109" s="1563"/>
      <c r="M1109" s="1563"/>
      <c r="N1109" s="1563"/>
      <c r="O1109" s="1563"/>
      <c r="P1109" s="1563"/>
      <c r="Q1109" s="1563"/>
      <c r="R1109" s="1563"/>
      <c r="S1109" s="1563"/>
      <c r="T1109" s="1563"/>
      <c r="U1109" s="1563"/>
      <c r="V1109" s="1563"/>
      <c r="W1109" s="1563"/>
      <c r="X1109" s="1563"/>
      <c r="Y1109" s="1563"/>
      <c r="Z1109" s="1563"/>
      <c r="AA1109" s="1563"/>
      <c r="AB1109" s="1563"/>
      <c r="AC1109" s="1563"/>
      <c r="AD1109" s="1563"/>
      <c r="AE1109" s="1563"/>
      <c r="AF1109" s="1563"/>
      <c r="AG1109" s="1563"/>
      <c r="AH1109" s="1563"/>
      <c r="AI1109" s="1563"/>
      <c r="AJ1109" s="1563"/>
      <c r="AK1109" s="1563"/>
      <c r="AL1109" s="1563"/>
      <c r="AM1109" s="1563"/>
      <c r="AN1109" s="1563"/>
      <c r="AO1109" s="1563"/>
      <c r="AP1109" s="1563"/>
      <c r="AQ1109" s="1563"/>
      <c r="AR1109" s="1563"/>
    </row>
    <row r="1110" spans="1:44" ht="12.95" customHeight="1">
      <c r="A1110" s="1"/>
      <c r="B1110" s="1"/>
      <c r="C1110" s="199"/>
      <c r="D1110" s="1149"/>
      <c r="E1110" s="1563"/>
      <c r="F1110" s="1563"/>
      <c r="G1110" s="1563"/>
      <c r="H1110" s="1563"/>
      <c r="I1110" s="1563"/>
      <c r="J1110" s="1563"/>
      <c r="K1110" s="1563"/>
      <c r="L1110" s="1563"/>
      <c r="M1110" s="1563"/>
      <c r="N1110" s="1563"/>
      <c r="O1110" s="1563"/>
      <c r="P1110" s="1563"/>
      <c r="Q1110" s="1563"/>
      <c r="R1110" s="1563"/>
      <c r="S1110" s="1563"/>
      <c r="T1110" s="1563"/>
      <c r="U1110" s="1563"/>
      <c r="V1110" s="1563"/>
      <c r="W1110" s="1563"/>
      <c r="X1110" s="1563"/>
      <c r="Y1110" s="1563"/>
      <c r="Z1110" s="1563"/>
      <c r="AA1110" s="1563"/>
      <c r="AB1110" s="1563"/>
      <c r="AC1110" s="1563"/>
      <c r="AD1110" s="1563"/>
      <c r="AE1110" s="1563"/>
      <c r="AF1110" s="1563"/>
      <c r="AG1110" s="1563"/>
      <c r="AH1110" s="1563"/>
      <c r="AI1110" s="1563"/>
      <c r="AJ1110" s="1563"/>
      <c r="AK1110" s="1563"/>
      <c r="AL1110" s="1563"/>
      <c r="AM1110" s="1563"/>
      <c r="AN1110" s="1563"/>
      <c r="AO1110" s="1563"/>
      <c r="AP1110" s="1563"/>
      <c r="AQ1110" s="1563"/>
      <c r="AR1110" s="1563"/>
    </row>
    <row r="1111" spans="1:44" ht="12.95" customHeight="1">
      <c r="A1111" s="1"/>
      <c r="B1111" s="1"/>
      <c r="C1111" s="199"/>
      <c r="D1111" s="1149"/>
      <c r="E1111" s="1149"/>
      <c r="F1111" s="1149"/>
      <c r="G1111" s="1149"/>
      <c r="H1111" s="1149"/>
      <c r="I1111" s="1149"/>
      <c r="J1111" s="1149"/>
      <c r="K1111" s="1149"/>
      <c r="L1111" s="1149"/>
      <c r="M1111" s="1149"/>
      <c r="N1111" s="1149"/>
      <c r="O1111" s="1149"/>
      <c r="P1111" s="1149"/>
      <c r="Q1111" s="1149"/>
      <c r="R1111" s="1149"/>
      <c r="S1111" s="1149"/>
      <c r="T1111" s="1149"/>
      <c r="U1111" s="1149"/>
      <c r="V1111" s="1149"/>
      <c r="W1111" s="1149"/>
      <c r="X1111" s="1149"/>
      <c r="Y1111" s="1149"/>
      <c r="Z1111" s="1149"/>
      <c r="AA1111" s="1149"/>
      <c r="AB1111" s="1149"/>
      <c r="AC1111" s="1149"/>
      <c r="AD1111" s="1149"/>
      <c r="AE1111" s="1149"/>
      <c r="AF1111" s="1149"/>
      <c r="AG1111" s="1149"/>
      <c r="AH1111" s="1149"/>
      <c r="AI1111" s="1149"/>
      <c r="AJ1111" s="1149"/>
      <c r="AK1111" s="1149"/>
    </row>
    <row r="1112" spans="1:44" ht="12.95" customHeight="1">
      <c r="A1112" s="1599" t="s">
        <v>590</v>
      </c>
      <c r="B1112" s="1599"/>
      <c r="C1112" s="1600">
        <v>11</v>
      </c>
      <c r="D1112" s="1600"/>
      <c r="E1112" s="1563" t="s">
        <v>2190</v>
      </c>
      <c r="F1112" s="1563"/>
      <c r="G1112" s="1563"/>
      <c r="H1112" s="1563"/>
      <c r="I1112" s="1563"/>
      <c r="J1112" s="1563"/>
      <c r="K1112" s="1563"/>
      <c r="L1112" s="1563"/>
      <c r="M1112" s="1563"/>
      <c r="N1112" s="1563"/>
      <c r="O1112" s="1563"/>
      <c r="P1112" s="1563"/>
      <c r="Q1112" s="1563"/>
      <c r="R1112" s="1563"/>
      <c r="S1112" s="1563"/>
      <c r="T1112" s="1563"/>
      <c r="U1112" s="1563"/>
      <c r="V1112" s="1563"/>
      <c r="W1112" s="1563"/>
      <c r="X1112" s="1563"/>
      <c r="Y1112" s="1563"/>
      <c r="Z1112" s="1563"/>
      <c r="AA1112" s="1563"/>
      <c r="AB1112" s="1563"/>
      <c r="AC1112" s="1563"/>
      <c r="AD1112" s="1563"/>
      <c r="AE1112" s="1563"/>
      <c r="AF1112" s="1563"/>
      <c r="AG1112" s="1563"/>
      <c r="AH1112" s="1563"/>
      <c r="AI1112" s="1563"/>
      <c r="AJ1112" s="1563"/>
      <c r="AK1112" s="1563"/>
      <c r="AL1112" s="1563"/>
      <c r="AM1112" s="1563"/>
      <c r="AN1112" s="1563"/>
      <c r="AO1112" s="1563"/>
      <c r="AP1112" s="1563"/>
      <c r="AQ1112" s="1563"/>
      <c r="AR1112" s="1563"/>
    </row>
    <row r="1113" spans="1:44" ht="12.95" customHeight="1">
      <c r="A1113" s="1"/>
      <c r="B1113" s="1"/>
      <c r="C1113" s="199"/>
      <c r="D1113" s="1149"/>
      <c r="E1113" s="1563"/>
      <c r="F1113" s="1563"/>
      <c r="G1113" s="1563"/>
      <c r="H1113" s="1563"/>
      <c r="I1113" s="1563"/>
      <c r="J1113" s="1563"/>
      <c r="K1113" s="1563"/>
      <c r="L1113" s="1563"/>
      <c r="M1113" s="1563"/>
      <c r="N1113" s="1563"/>
      <c r="O1113" s="1563"/>
      <c r="P1113" s="1563"/>
      <c r="Q1113" s="1563"/>
      <c r="R1113" s="1563"/>
      <c r="S1113" s="1563"/>
      <c r="T1113" s="1563"/>
      <c r="U1113" s="1563"/>
      <c r="V1113" s="1563"/>
      <c r="W1113" s="1563"/>
      <c r="X1113" s="1563"/>
      <c r="Y1113" s="1563"/>
      <c r="Z1113" s="1563"/>
      <c r="AA1113" s="1563"/>
      <c r="AB1113" s="1563"/>
      <c r="AC1113" s="1563"/>
      <c r="AD1113" s="1563"/>
      <c r="AE1113" s="1563"/>
      <c r="AF1113" s="1563"/>
      <c r="AG1113" s="1563"/>
      <c r="AH1113" s="1563"/>
      <c r="AI1113" s="1563"/>
      <c r="AJ1113" s="1563"/>
      <c r="AK1113" s="1563"/>
      <c r="AL1113" s="1563"/>
      <c r="AM1113" s="1563"/>
      <c r="AN1113" s="1563"/>
      <c r="AO1113" s="1563"/>
      <c r="AP1113" s="1563"/>
      <c r="AQ1113" s="1563"/>
      <c r="AR1113" s="1563"/>
    </row>
    <row r="1114" spans="1:44" ht="12.95" customHeight="1">
      <c r="A1114" s="1"/>
      <c r="B1114" s="1"/>
      <c r="C1114" s="199"/>
      <c r="D1114" s="1149"/>
      <c r="E1114" s="1149"/>
      <c r="F1114" s="1149"/>
      <c r="G1114" s="1149"/>
      <c r="H1114" s="1149"/>
      <c r="I1114" s="1149"/>
      <c r="J1114" s="1149"/>
      <c r="K1114" s="1149"/>
      <c r="L1114" s="1149"/>
      <c r="M1114" s="1149"/>
      <c r="N1114" s="1149"/>
      <c r="O1114" s="1149"/>
      <c r="P1114" s="1149"/>
      <c r="Q1114" s="1149"/>
      <c r="R1114" s="1149"/>
      <c r="S1114" s="1149"/>
      <c r="T1114" s="1149"/>
      <c r="U1114" s="1149"/>
      <c r="V1114" s="1149"/>
      <c r="W1114" s="1149"/>
      <c r="X1114" s="1149"/>
      <c r="Y1114" s="1149"/>
      <c r="Z1114" s="1149"/>
      <c r="AA1114" s="1149"/>
      <c r="AB1114" s="1149"/>
      <c r="AC1114" s="1149"/>
      <c r="AD1114" s="1149"/>
      <c r="AE1114" s="1149"/>
      <c r="AF1114" s="1149"/>
      <c r="AG1114" s="1149"/>
      <c r="AH1114" s="1149"/>
      <c r="AI1114" s="1149"/>
      <c r="AJ1114" s="1149"/>
      <c r="AK1114" s="1149"/>
    </row>
    <row r="1115" spans="1:44" ht="12.95" hidden="1" customHeight="1">
      <c r="A1115" s="1"/>
      <c r="B1115" s="1"/>
      <c r="C1115" s="199"/>
      <c r="D1115" s="1149"/>
      <c r="E1115" s="1149"/>
      <c r="F1115" s="1149"/>
      <c r="G1115" s="1149"/>
      <c r="H1115" s="1149"/>
      <c r="I1115" s="1149"/>
      <c r="J1115" s="1149"/>
      <c r="K1115" s="1149"/>
      <c r="L1115" s="1149"/>
      <c r="M1115" s="1149"/>
      <c r="N1115" s="1149"/>
      <c r="O1115" s="1149"/>
      <c r="P1115" s="1149"/>
      <c r="Q1115" s="1149"/>
      <c r="R1115" s="1149"/>
      <c r="S1115" s="1149"/>
      <c r="T1115" s="1149"/>
      <c r="U1115" s="1149"/>
      <c r="V1115" s="1149"/>
      <c r="W1115" s="1149"/>
      <c r="X1115" s="1149"/>
      <c r="Y1115" s="1149"/>
      <c r="Z1115" s="1149"/>
      <c r="AA1115" s="1149"/>
      <c r="AB1115" s="1149"/>
      <c r="AC1115" s="1149"/>
      <c r="AD1115" s="1149"/>
      <c r="AE1115" s="1149"/>
      <c r="AF1115" s="1149"/>
      <c r="AG1115" s="1149"/>
      <c r="AH1115" s="1149"/>
      <c r="AI1115" s="1149"/>
      <c r="AJ1115" s="1149"/>
      <c r="AK1115" s="1149"/>
    </row>
    <row r="1116" spans="1:44" ht="12.95" hidden="1" customHeight="1">
      <c r="A1116" s="1"/>
      <c r="B1116" s="1"/>
      <c r="C1116" s="199"/>
      <c r="D1116" s="1149"/>
      <c r="E1116" s="1149"/>
      <c r="F1116" s="1149"/>
      <c r="G1116" s="1149"/>
      <c r="H1116" s="1149"/>
      <c r="I1116" s="1149"/>
      <c r="J1116" s="1149"/>
      <c r="K1116" s="1149"/>
      <c r="L1116" s="1149"/>
      <c r="M1116" s="1149"/>
      <c r="N1116" s="1149"/>
      <c r="O1116" s="1149"/>
      <c r="P1116" s="1149"/>
      <c r="Q1116" s="1149"/>
      <c r="R1116" s="1149"/>
      <c r="S1116" s="1149"/>
      <c r="T1116" s="1149"/>
      <c r="U1116" s="1149"/>
      <c r="V1116" s="1149"/>
      <c r="W1116" s="1149"/>
      <c r="X1116" s="1149"/>
      <c r="Y1116" s="1149"/>
      <c r="Z1116" s="1149"/>
      <c r="AA1116" s="1149"/>
      <c r="AB1116" s="1149"/>
      <c r="AC1116" s="1149"/>
      <c r="AD1116" s="1149"/>
      <c r="AE1116" s="1149"/>
      <c r="AF1116" s="1149"/>
      <c r="AG1116" s="1149"/>
      <c r="AH1116" s="1149"/>
      <c r="AI1116" s="1149"/>
      <c r="AJ1116" s="1149"/>
      <c r="AK1116" s="1149"/>
    </row>
    <row r="1117" spans="1:44" ht="12.95" hidden="1" customHeight="1">
      <c r="A1117" s="1"/>
      <c r="B1117" s="1"/>
      <c r="C1117" s="199"/>
      <c r="D1117" s="1149"/>
      <c r="E1117" s="1149"/>
      <c r="F1117" s="1149"/>
      <c r="G1117" s="1149"/>
      <c r="H1117" s="1149"/>
      <c r="I1117" s="1149"/>
      <c r="J1117" s="1149"/>
      <c r="K1117" s="1149"/>
      <c r="L1117" s="1149"/>
      <c r="M1117" s="1149"/>
      <c r="N1117" s="1149"/>
      <c r="O1117" s="1149"/>
      <c r="P1117" s="1149"/>
      <c r="Q1117" s="1149"/>
      <c r="R1117" s="1149"/>
      <c r="S1117" s="1149"/>
      <c r="T1117" s="1149"/>
      <c r="U1117" s="1149"/>
      <c r="V1117" s="1149"/>
      <c r="W1117" s="1149"/>
      <c r="X1117" s="1149"/>
      <c r="Y1117" s="1149"/>
      <c r="Z1117" s="1149"/>
      <c r="AA1117" s="1149"/>
      <c r="AB1117" s="1149"/>
      <c r="AC1117" s="1149"/>
      <c r="AD1117" s="1149"/>
      <c r="AE1117" s="1149"/>
      <c r="AF1117" s="1149"/>
      <c r="AG1117" s="1149"/>
      <c r="AH1117" s="1149"/>
      <c r="AI1117" s="1149"/>
      <c r="AJ1117" s="1149"/>
      <c r="AK1117" s="1149"/>
    </row>
    <row r="1118" spans="1:44" ht="12.95" hidden="1" customHeight="1">
      <c r="A1118" s="1"/>
      <c r="B1118" s="1"/>
      <c r="C1118" s="199"/>
      <c r="D1118" s="1149"/>
      <c r="E1118" s="1149"/>
      <c r="F1118" s="1149"/>
      <c r="G1118" s="1149"/>
      <c r="H1118" s="1149"/>
      <c r="I1118" s="1149"/>
      <c r="J1118" s="1149"/>
      <c r="K1118" s="1149"/>
      <c r="L1118" s="1149"/>
      <c r="M1118" s="1149"/>
      <c r="N1118" s="1149"/>
      <c r="O1118" s="1149"/>
      <c r="P1118" s="1149"/>
      <c r="Q1118" s="1149"/>
      <c r="R1118" s="1149"/>
      <c r="S1118" s="1149"/>
      <c r="T1118" s="1149"/>
      <c r="U1118" s="1149"/>
      <c r="V1118" s="1149"/>
      <c r="W1118" s="1149"/>
      <c r="X1118" s="1149"/>
      <c r="Y1118" s="1149"/>
      <c r="Z1118" s="1149"/>
      <c r="AA1118" s="1149"/>
      <c r="AB1118" s="1149"/>
      <c r="AC1118" s="1149"/>
      <c r="AD1118" s="1149"/>
      <c r="AE1118" s="1149"/>
      <c r="AF1118" s="1149"/>
      <c r="AG1118" s="1149"/>
      <c r="AH1118" s="1149"/>
      <c r="AI1118" s="1149"/>
      <c r="AJ1118" s="1149"/>
      <c r="AK1118" s="1149"/>
    </row>
    <row r="1119" spans="1:44" ht="12.95" hidden="1" customHeight="1">
      <c r="A1119" s="1"/>
      <c r="B1119" s="1"/>
      <c r="C1119" s="199"/>
      <c r="D1119" s="1149"/>
      <c r="E1119" s="1149"/>
      <c r="F1119" s="1149"/>
      <c r="G1119" s="1149"/>
      <c r="H1119" s="1149"/>
      <c r="I1119" s="1149"/>
      <c r="J1119" s="1149"/>
      <c r="K1119" s="1149"/>
      <c r="L1119" s="1149"/>
      <c r="M1119" s="1149"/>
      <c r="N1119" s="1149"/>
      <c r="O1119" s="1149"/>
      <c r="P1119" s="1149"/>
      <c r="Q1119" s="1149"/>
      <c r="R1119" s="1149"/>
      <c r="S1119" s="1149"/>
      <c r="T1119" s="1149"/>
      <c r="U1119" s="1149"/>
      <c r="V1119" s="1149"/>
      <c r="W1119" s="1149"/>
      <c r="X1119" s="1149"/>
      <c r="Y1119" s="1149"/>
      <c r="Z1119" s="1149"/>
      <c r="AA1119" s="1149"/>
      <c r="AB1119" s="1149"/>
      <c r="AC1119" s="1149"/>
      <c r="AD1119" s="1149"/>
      <c r="AE1119" s="1149"/>
      <c r="AF1119" s="1149"/>
      <c r="AG1119" s="1149"/>
      <c r="AH1119" s="1149"/>
      <c r="AI1119" s="1149"/>
      <c r="AJ1119" s="1149"/>
      <c r="AK1119" s="1149"/>
    </row>
    <row r="1120" spans="1:44" ht="12.95" hidden="1" customHeight="1">
      <c r="A1120" s="1"/>
      <c r="B1120" s="1"/>
      <c r="C1120" s="199"/>
      <c r="D1120" s="1149"/>
      <c r="E1120" s="1149"/>
      <c r="F1120" s="1149"/>
      <c r="G1120" s="1149"/>
      <c r="H1120" s="1149"/>
      <c r="I1120" s="1149"/>
      <c r="J1120" s="1149"/>
      <c r="K1120" s="1149"/>
      <c r="L1120" s="1149"/>
      <c r="M1120" s="1149"/>
      <c r="N1120" s="1149"/>
      <c r="O1120" s="1149"/>
      <c r="P1120" s="1149"/>
      <c r="Q1120" s="1149"/>
      <c r="R1120" s="1149"/>
      <c r="S1120" s="1149"/>
      <c r="T1120" s="1149"/>
      <c r="U1120" s="1149"/>
      <c r="V1120" s="1149"/>
      <c r="W1120" s="1149"/>
      <c r="X1120" s="1149"/>
      <c r="Y1120" s="1149"/>
      <c r="Z1120" s="1149"/>
      <c r="AA1120" s="1149"/>
      <c r="AB1120" s="1149"/>
      <c r="AC1120" s="1149"/>
      <c r="AD1120" s="1149"/>
      <c r="AE1120" s="1149"/>
      <c r="AF1120" s="1149"/>
      <c r="AG1120" s="1149"/>
      <c r="AH1120" s="1149"/>
      <c r="AI1120" s="1149"/>
      <c r="AJ1120" s="1149"/>
      <c r="AK1120" s="1149"/>
    </row>
    <row r="1121" spans="1:37" ht="12.95" hidden="1" customHeight="1">
      <c r="A1121" s="1"/>
      <c r="B1121" s="1"/>
      <c r="C1121" s="199"/>
      <c r="D1121" s="1149"/>
      <c r="E1121" s="1149"/>
      <c r="F1121" s="1149"/>
      <c r="G1121" s="1149"/>
      <c r="H1121" s="1149"/>
      <c r="I1121" s="1149"/>
      <c r="J1121" s="1149"/>
      <c r="K1121" s="1149"/>
      <c r="L1121" s="1149"/>
      <c r="M1121" s="1149"/>
      <c r="N1121" s="1149"/>
      <c r="O1121" s="1149"/>
      <c r="P1121" s="1149"/>
      <c r="Q1121" s="1149"/>
      <c r="R1121" s="1149"/>
      <c r="S1121" s="1149"/>
      <c r="T1121" s="1149"/>
      <c r="U1121" s="1149"/>
      <c r="V1121" s="1149"/>
      <c r="W1121" s="1149"/>
      <c r="X1121" s="1149"/>
      <c r="Y1121" s="1149"/>
      <c r="Z1121" s="1149"/>
      <c r="AA1121" s="1149"/>
      <c r="AB1121" s="1149"/>
      <c r="AC1121" s="1149"/>
      <c r="AD1121" s="1149"/>
      <c r="AE1121" s="1149"/>
      <c r="AF1121" s="1149"/>
      <c r="AG1121" s="1149"/>
      <c r="AH1121" s="1149"/>
      <c r="AI1121" s="1149"/>
      <c r="AJ1121" s="1149"/>
      <c r="AK1121" s="1149"/>
    </row>
    <row r="1122" spans="1:37" ht="12.95" hidden="1" customHeight="1">
      <c r="A1122" s="1"/>
      <c r="B1122" s="1"/>
      <c r="C1122" s="199"/>
      <c r="D1122" s="1149"/>
      <c r="E1122" s="1149"/>
      <c r="F1122" s="1149"/>
      <c r="G1122" s="1149"/>
      <c r="H1122" s="1149"/>
      <c r="I1122" s="1149"/>
      <c r="J1122" s="1149"/>
      <c r="K1122" s="1149"/>
      <c r="L1122" s="1149"/>
      <c r="M1122" s="1149"/>
      <c r="N1122" s="1149"/>
      <c r="O1122" s="1149"/>
      <c r="P1122" s="1149"/>
      <c r="Q1122" s="1149"/>
      <c r="R1122" s="1149"/>
      <c r="S1122" s="1149"/>
      <c r="T1122" s="1149"/>
      <c r="U1122" s="1149"/>
      <c r="V1122" s="1149"/>
      <c r="W1122" s="1149"/>
      <c r="X1122" s="1149"/>
      <c r="Y1122" s="1149"/>
      <c r="Z1122" s="1149"/>
      <c r="AA1122" s="1149"/>
      <c r="AB1122" s="1149"/>
      <c r="AC1122" s="1149"/>
      <c r="AD1122" s="1149"/>
      <c r="AE1122" s="1149"/>
      <c r="AF1122" s="1149"/>
      <c r="AG1122" s="1149"/>
      <c r="AH1122" s="1149"/>
      <c r="AI1122" s="1149"/>
      <c r="AJ1122" s="1149"/>
      <c r="AK1122" s="1149"/>
    </row>
    <row r="1123" spans="1:37" ht="12.95" hidden="1" customHeight="1">
      <c r="A1123" s="1"/>
      <c r="B1123" s="1"/>
      <c r="C1123" s="199"/>
      <c r="D1123" s="1149"/>
      <c r="E1123" s="1149"/>
      <c r="F1123" s="1149"/>
      <c r="G1123" s="1149"/>
      <c r="H1123" s="1149"/>
      <c r="I1123" s="1149"/>
      <c r="J1123" s="1149"/>
      <c r="K1123" s="1149"/>
      <c r="L1123" s="1149"/>
      <c r="M1123" s="1149"/>
      <c r="N1123" s="1149"/>
      <c r="O1123" s="1149"/>
      <c r="P1123" s="1149"/>
      <c r="Q1123" s="1149"/>
      <c r="R1123" s="1149"/>
      <c r="S1123" s="1149"/>
      <c r="T1123" s="1149"/>
      <c r="U1123" s="1149"/>
      <c r="V1123" s="1149"/>
      <c r="W1123" s="1149"/>
      <c r="X1123" s="1149"/>
      <c r="Y1123" s="1149"/>
      <c r="Z1123" s="1149"/>
      <c r="AA1123" s="1149"/>
      <c r="AB1123" s="1149"/>
      <c r="AC1123" s="1149"/>
      <c r="AD1123" s="1149"/>
      <c r="AE1123" s="1149"/>
      <c r="AF1123" s="1149"/>
      <c r="AG1123" s="1149"/>
      <c r="AH1123" s="1149"/>
      <c r="AI1123" s="1149"/>
      <c r="AJ1123" s="1149"/>
      <c r="AK1123" s="1149"/>
    </row>
    <row r="1124" spans="1:37" ht="12.95" hidden="1" customHeight="1">
      <c r="A1124" s="1"/>
      <c r="B1124" s="1"/>
      <c r="C1124" s="199"/>
      <c r="D1124" s="1149"/>
      <c r="E1124" s="1149"/>
      <c r="F1124" s="1149"/>
      <c r="G1124" s="1149"/>
      <c r="H1124" s="1149"/>
      <c r="I1124" s="1149"/>
      <c r="J1124" s="1149"/>
      <c r="K1124" s="1149"/>
      <c r="L1124" s="1149"/>
      <c r="M1124" s="1149"/>
      <c r="N1124" s="1149"/>
      <c r="O1124" s="1149"/>
      <c r="P1124" s="1149"/>
      <c r="Q1124" s="1149"/>
      <c r="R1124" s="1149"/>
      <c r="S1124" s="1149"/>
      <c r="T1124" s="1149"/>
      <c r="U1124" s="1149"/>
      <c r="V1124" s="1149"/>
      <c r="W1124" s="1149"/>
      <c r="X1124" s="1149"/>
      <c r="Y1124" s="1149"/>
      <c r="Z1124" s="1149"/>
      <c r="AA1124" s="1149"/>
      <c r="AB1124" s="1149"/>
      <c r="AC1124" s="1149"/>
      <c r="AD1124" s="1149"/>
      <c r="AE1124" s="1149"/>
      <c r="AF1124" s="1149"/>
      <c r="AG1124" s="1149"/>
      <c r="AH1124" s="1149"/>
      <c r="AI1124" s="1149"/>
      <c r="AJ1124" s="1149"/>
      <c r="AK1124" s="1149"/>
    </row>
    <row r="1125" spans="1:37" ht="12.95" hidden="1" customHeight="1">
      <c r="A1125" s="1"/>
      <c r="B1125" s="1"/>
      <c r="C1125" s="199"/>
      <c r="D1125" s="1149"/>
      <c r="E1125" s="1149"/>
      <c r="F1125" s="1149"/>
      <c r="G1125" s="1149"/>
      <c r="H1125" s="1149"/>
      <c r="I1125" s="1149"/>
      <c r="J1125" s="1149"/>
      <c r="K1125" s="1149"/>
      <c r="L1125" s="1149"/>
      <c r="M1125" s="1149"/>
      <c r="N1125" s="1149"/>
      <c r="O1125" s="1149"/>
      <c r="P1125" s="1149"/>
      <c r="Q1125" s="1149"/>
      <c r="R1125" s="1149"/>
      <c r="S1125" s="1149"/>
      <c r="T1125" s="1149"/>
      <c r="U1125" s="1149"/>
      <c r="V1125" s="1149"/>
      <c r="W1125" s="1149"/>
      <c r="X1125" s="1149"/>
      <c r="Y1125" s="1149"/>
      <c r="Z1125" s="1149"/>
      <c r="AA1125" s="1149"/>
      <c r="AB1125" s="1149"/>
      <c r="AC1125" s="1149"/>
      <c r="AD1125" s="1149"/>
      <c r="AE1125" s="1149"/>
      <c r="AF1125" s="1149"/>
      <c r="AG1125" s="1149"/>
      <c r="AH1125" s="1149"/>
      <c r="AI1125" s="1149"/>
      <c r="AJ1125" s="1149"/>
      <c r="AK1125" s="1149"/>
    </row>
    <row r="1126" spans="1:37" ht="12.95" hidden="1" customHeight="1">
      <c r="A1126" s="1"/>
      <c r="B1126" s="1"/>
      <c r="C1126" s="199"/>
      <c r="D1126" s="1149"/>
      <c r="E1126" s="1149"/>
      <c r="F1126" s="1149"/>
      <c r="G1126" s="1149"/>
      <c r="H1126" s="1149"/>
      <c r="I1126" s="1149"/>
      <c r="J1126" s="1149"/>
      <c r="K1126" s="1149"/>
      <c r="L1126" s="1149"/>
      <c r="M1126" s="1149"/>
      <c r="N1126" s="1149"/>
      <c r="O1126" s="1149"/>
      <c r="P1126" s="1149"/>
      <c r="Q1126" s="1149"/>
      <c r="R1126" s="1149"/>
      <c r="S1126" s="1149"/>
      <c r="T1126" s="1149"/>
      <c r="U1126" s="1149"/>
      <c r="V1126" s="1149"/>
      <c r="W1126" s="1149"/>
      <c r="X1126" s="1149"/>
      <c r="Y1126" s="1149"/>
      <c r="Z1126" s="1149"/>
      <c r="AA1126" s="1149"/>
      <c r="AB1126" s="1149"/>
      <c r="AC1126" s="1149"/>
      <c r="AD1126" s="1149"/>
      <c r="AE1126" s="1149"/>
      <c r="AF1126" s="1149"/>
      <c r="AG1126" s="1149"/>
      <c r="AH1126" s="1149"/>
      <c r="AI1126" s="1149"/>
      <c r="AJ1126" s="1149"/>
      <c r="AK1126" s="1149"/>
    </row>
    <row r="1127" spans="1:37" ht="12.95" hidden="1" customHeight="1">
      <c r="A1127" s="1"/>
      <c r="B1127" s="1"/>
      <c r="C1127" s="199"/>
      <c r="D1127" s="1149"/>
      <c r="E1127" s="1149"/>
      <c r="F1127" s="1149"/>
      <c r="G1127" s="1149"/>
      <c r="H1127" s="1149"/>
      <c r="I1127" s="1149"/>
      <c r="J1127" s="1149"/>
      <c r="K1127" s="1149"/>
      <c r="L1127" s="1149"/>
      <c r="M1127" s="1149"/>
      <c r="N1127" s="1149"/>
      <c r="O1127" s="1149"/>
      <c r="P1127" s="1149"/>
      <c r="Q1127" s="1149"/>
      <c r="R1127" s="1149"/>
      <c r="S1127" s="1149"/>
      <c r="T1127" s="1149"/>
      <c r="U1127" s="1149"/>
      <c r="V1127" s="1149"/>
      <c r="W1127" s="1149"/>
      <c r="X1127" s="1149"/>
      <c r="Y1127" s="1149"/>
      <c r="Z1127" s="1149"/>
      <c r="AA1127" s="1149"/>
      <c r="AB1127" s="1149"/>
      <c r="AC1127" s="1149"/>
      <c r="AD1127" s="1149"/>
      <c r="AE1127" s="1149"/>
      <c r="AF1127" s="1149"/>
      <c r="AG1127" s="1149"/>
      <c r="AH1127" s="1149"/>
      <c r="AI1127" s="1149"/>
      <c r="AJ1127" s="1149"/>
      <c r="AK1127" s="1149"/>
    </row>
    <row r="1128" spans="1:37" ht="12.95" hidden="1" customHeight="1">
      <c r="A1128" s="1"/>
      <c r="B1128" s="1"/>
      <c r="C1128" s="199"/>
      <c r="D1128" s="1149"/>
      <c r="E1128" s="1149"/>
      <c r="F1128" s="1149"/>
      <c r="G1128" s="1149"/>
      <c r="H1128" s="1149"/>
      <c r="I1128" s="1149"/>
      <c r="J1128" s="1149"/>
      <c r="K1128" s="1149"/>
      <c r="L1128" s="1149"/>
      <c r="M1128" s="1149"/>
      <c r="N1128" s="1149"/>
      <c r="O1128" s="1149"/>
      <c r="P1128" s="1149"/>
      <c r="Q1128" s="1149"/>
      <c r="R1128" s="1149"/>
      <c r="S1128" s="1149"/>
      <c r="T1128" s="1149"/>
      <c r="U1128" s="1149"/>
      <c r="V1128" s="1149"/>
      <c r="W1128" s="1149"/>
      <c r="X1128" s="1149"/>
      <c r="Y1128" s="1149"/>
      <c r="Z1128" s="1149"/>
      <c r="AA1128" s="1149"/>
      <c r="AB1128" s="1149"/>
      <c r="AC1128" s="1149"/>
      <c r="AD1128" s="1149"/>
      <c r="AE1128" s="1149"/>
      <c r="AF1128" s="1149"/>
      <c r="AG1128" s="1149"/>
      <c r="AH1128" s="1149"/>
      <c r="AI1128" s="1149"/>
      <c r="AJ1128" s="1149"/>
      <c r="AK1128" s="1149"/>
    </row>
    <row r="1129" spans="1:37" ht="12.95" hidden="1" customHeight="1">
      <c r="A1129" s="1"/>
      <c r="B1129" s="1"/>
      <c r="C1129" s="199"/>
      <c r="D1129" s="1149"/>
      <c r="E1129" s="1149"/>
      <c r="F1129" s="1149"/>
      <c r="G1129" s="1149"/>
      <c r="H1129" s="1149"/>
      <c r="I1129" s="1149"/>
      <c r="J1129" s="1149"/>
      <c r="K1129" s="1149"/>
      <c r="L1129" s="1149"/>
      <c r="M1129" s="1149"/>
      <c r="N1129" s="1149"/>
      <c r="O1129" s="1149"/>
      <c r="P1129" s="1149"/>
      <c r="Q1129" s="1149"/>
      <c r="R1129" s="1149"/>
      <c r="S1129" s="1149"/>
      <c r="T1129" s="1149"/>
      <c r="U1129" s="1149"/>
      <c r="V1129" s="1149"/>
      <c r="W1129" s="1149"/>
      <c r="X1129" s="1149"/>
      <c r="Y1129" s="1149"/>
      <c r="Z1129" s="1149"/>
      <c r="AA1129" s="1149"/>
      <c r="AB1129" s="1149"/>
      <c r="AC1129" s="1149"/>
      <c r="AD1129" s="1149"/>
      <c r="AE1129" s="1149"/>
      <c r="AF1129" s="1149"/>
      <c r="AG1129" s="1149"/>
      <c r="AH1129" s="1149"/>
      <c r="AI1129" s="1149"/>
      <c r="AJ1129" s="1149"/>
      <c r="AK1129" s="1149"/>
    </row>
    <row r="1130" spans="1:37" ht="12.95" hidden="1" customHeight="1">
      <c r="A1130" s="1"/>
      <c r="B1130" s="1"/>
      <c r="C1130" s="199"/>
      <c r="D1130" s="1149"/>
      <c r="E1130" s="1149"/>
      <c r="F1130" s="1149"/>
      <c r="G1130" s="1149"/>
      <c r="H1130" s="1149"/>
      <c r="I1130" s="1149"/>
      <c r="J1130" s="1149"/>
      <c r="K1130" s="1149"/>
      <c r="L1130" s="1149"/>
      <c r="M1130" s="1149"/>
      <c r="N1130" s="1149"/>
      <c r="O1130" s="1149"/>
      <c r="P1130" s="1149"/>
      <c r="Q1130" s="1149"/>
      <c r="R1130" s="1149"/>
      <c r="S1130" s="1149"/>
      <c r="T1130" s="1149"/>
      <c r="U1130" s="1149"/>
      <c r="V1130" s="1149"/>
      <c r="W1130" s="1149"/>
      <c r="X1130" s="1149"/>
      <c r="Y1130" s="1149"/>
      <c r="Z1130" s="1149"/>
      <c r="AA1130" s="1149"/>
      <c r="AB1130" s="1149"/>
      <c r="AC1130" s="1149"/>
      <c r="AD1130" s="1149"/>
      <c r="AE1130" s="1149"/>
      <c r="AF1130" s="1149"/>
      <c r="AG1130" s="1149"/>
      <c r="AH1130" s="1149"/>
      <c r="AI1130" s="1149"/>
      <c r="AJ1130" s="1149"/>
      <c r="AK1130" s="1149"/>
    </row>
    <row r="1131" spans="1:37" ht="12.95" hidden="1" customHeight="1">
      <c r="A1131" s="1"/>
      <c r="B1131" s="1"/>
      <c r="C1131" s="199"/>
      <c r="D1131" s="1149"/>
      <c r="E1131" s="1149"/>
      <c r="F1131" s="1149"/>
      <c r="G1131" s="1149"/>
      <c r="H1131" s="1149"/>
      <c r="I1131" s="1149"/>
      <c r="J1131" s="1149"/>
      <c r="K1131" s="1149"/>
      <c r="L1131" s="1149"/>
      <c r="M1131" s="1149"/>
      <c r="N1131" s="1149"/>
      <c r="O1131" s="1149"/>
      <c r="P1131" s="1149"/>
      <c r="Q1131" s="1149"/>
      <c r="R1131" s="1149"/>
      <c r="S1131" s="1149"/>
      <c r="T1131" s="1149"/>
      <c r="U1131" s="1149"/>
      <c r="V1131" s="1149"/>
      <c r="W1131" s="1149"/>
      <c r="X1131" s="1149"/>
      <c r="Y1131" s="1149"/>
      <c r="Z1131" s="1149"/>
      <c r="AA1131" s="1149"/>
      <c r="AB1131" s="1149"/>
      <c r="AC1131" s="1149"/>
      <c r="AD1131" s="1149"/>
      <c r="AE1131" s="1149"/>
      <c r="AF1131" s="1149"/>
      <c r="AG1131" s="1149"/>
      <c r="AH1131" s="1149"/>
      <c r="AI1131" s="1149"/>
      <c r="AJ1131" s="1149"/>
      <c r="AK1131" s="1149"/>
    </row>
    <row r="1132" spans="1:37" ht="0" hidden="1" customHeight="1">
      <c r="A1132" s="1"/>
      <c r="B1132" s="1"/>
      <c r="C1132" s="199"/>
      <c r="D1132" s="1149"/>
      <c r="E1132" s="1149"/>
      <c r="F1132" s="1149"/>
      <c r="G1132" s="1149"/>
      <c r="H1132" s="1149"/>
      <c r="I1132" s="1149"/>
      <c r="J1132" s="1149"/>
      <c r="K1132" s="1149"/>
      <c r="L1132" s="1149"/>
      <c r="M1132" s="1149"/>
      <c r="N1132" s="1149"/>
      <c r="O1132" s="1149"/>
      <c r="P1132" s="1149"/>
      <c r="Q1132" s="1149"/>
      <c r="R1132" s="1149"/>
      <c r="S1132" s="1149"/>
      <c r="T1132" s="1149"/>
      <c r="U1132" s="1149"/>
      <c r="V1132" s="1149"/>
      <c r="W1132" s="1149"/>
      <c r="X1132" s="1149"/>
      <c r="Y1132" s="1149"/>
      <c r="Z1132" s="1149"/>
      <c r="AA1132" s="1149"/>
      <c r="AB1132" s="1149"/>
      <c r="AC1132" s="1149"/>
      <c r="AD1132" s="1149"/>
      <c r="AE1132" s="1149"/>
      <c r="AF1132" s="1149"/>
      <c r="AG1132" s="1149"/>
      <c r="AH1132" s="1149"/>
      <c r="AI1132" s="1149"/>
      <c r="AJ1132" s="1149"/>
      <c r="AK1132" s="1149"/>
    </row>
    <row r="1133" spans="1:37" ht="0" hidden="1" customHeight="1">
      <c r="A1133" s="35"/>
      <c r="B1133" s="25"/>
      <c r="C1133" s="199"/>
      <c r="D1133" s="1149"/>
      <c r="E1133" s="1149"/>
      <c r="F1133" s="1149"/>
      <c r="G1133" s="1149"/>
      <c r="H1133" s="1149"/>
      <c r="I1133" s="1149"/>
      <c r="J1133" s="1149"/>
      <c r="K1133" s="1149"/>
      <c r="L1133" s="1149"/>
      <c r="M1133" s="1149"/>
      <c r="N1133" s="1149"/>
      <c r="O1133" s="1149"/>
      <c r="P1133" s="1149"/>
      <c r="Q1133" s="1149"/>
      <c r="R1133" s="1149"/>
      <c r="S1133" s="1149"/>
      <c r="T1133" s="1149"/>
      <c r="U1133" s="1149"/>
      <c r="V1133" s="1149"/>
      <c r="W1133" s="1149"/>
      <c r="X1133" s="1149"/>
      <c r="Y1133" s="1149"/>
      <c r="Z1133" s="1149"/>
      <c r="AA1133" s="1149"/>
      <c r="AB1133" s="1149"/>
      <c r="AC1133" s="1149"/>
      <c r="AD1133" s="1149"/>
      <c r="AE1133" s="1149"/>
      <c r="AF1133" s="1149"/>
      <c r="AG1133" s="1149"/>
      <c r="AH1133" s="1149"/>
      <c r="AI1133" s="1149"/>
      <c r="AJ1133" s="1149"/>
      <c r="AK1133" s="1149"/>
    </row>
    <row r="1134" spans="1:37" ht="0" hidden="1" customHeight="1">
      <c r="A1134" s="1599" t="s">
        <v>590</v>
      </c>
      <c r="B1134" s="1599"/>
      <c r="C1134" s="199">
        <v>9</v>
      </c>
      <c r="D1134" s="1528" t="s">
        <v>1071</v>
      </c>
      <c r="E1134" s="1528"/>
      <c r="F1134" s="1528"/>
      <c r="G1134" s="1528"/>
      <c r="H1134" s="1528"/>
      <c r="I1134" s="1528"/>
      <c r="J1134" s="1528"/>
      <c r="K1134" s="1528"/>
      <c r="L1134" s="1528"/>
      <c r="M1134" s="1528"/>
      <c r="N1134" s="1528"/>
      <c r="O1134" s="1528"/>
      <c r="P1134" s="1528"/>
      <c r="Q1134" s="1528"/>
      <c r="R1134" s="1528"/>
      <c r="S1134" s="1528"/>
      <c r="T1134" s="1528"/>
      <c r="U1134" s="1528"/>
      <c r="V1134" s="1528"/>
      <c r="W1134" s="1528"/>
      <c r="X1134" s="1528"/>
      <c r="Y1134" s="1528"/>
      <c r="Z1134" s="1528"/>
      <c r="AA1134" s="1528"/>
      <c r="AB1134" s="1528"/>
      <c r="AC1134" s="1528"/>
      <c r="AD1134" s="1528"/>
      <c r="AE1134" s="1528"/>
      <c r="AF1134" s="1528"/>
      <c r="AG1134" s="1528"/>
      <c r="AH1134" s="1528"/>
      <c r="AI1134" s="1528"/>
      <c r="AJ1134" s="1528"/>
      <c r="AK1134" s="1528"/>
    </row>
    <row r="1135" spans="1:37" ht="0" hidden="1" customHeight="1">
      <c r="A1135" s="35"/>
      <c r="B1135" s="25"/>
      <c r="C1135" s="199"/>
      <c r="D1135" s="1528"/>
      <c r="E1135" s="1528"/>
      <c r="F1135" s="1528"/>
      <c r="G1135" s="1528"/>
      <c r="H1135" s="1528"/>
      <c r="I1135" s="1528"/>
      <c r="J1135" s="1528"/>
      <c r="K1135" s="1528"/>
      <c r="L1135" s="1528"/>
      <c r="M1135" s="1528"/>
      <c r="N1135" s="1528"/>
      <c r="O1135" s="1528"/>
      <c r="P1135" s="1528"/>
      <c r="Q1135" s="1528"/>
      <c r="R1135" s="1528"/>
      <c r="S1135" s="1528"/>
      <c r="T1135" s="1528"/>
      <c r="U1135" s="1528"/>
      <c r="V1135" s="1528"/>
      <c r="W1135" s="1528"/>
      <c r="X1135" s="1528"/>
      <c r="Y1135" s="1528"/>
      <c r="Z1135" s="1528"/>
      <c r="AA1135" s="1528"/>
      <c r="AB1135" s="1528"/>
      <c r="AC1135" s="1528"/>
      <c r="AD1135" s="1528"/>
      <c r="AE1135" s="1528"/>
      <c r="AF1135" s="1528"/>
      <c r="AG1135" s="1528"/>
      <c r="AH1135" s="1528"/>
      <c r="AI1135" s="1528"/>
      <c r="AJ1135" s="1528"/>
      <c r="AK1135" s="1528"/>
    </row>
    <row r="1136" spans="1:37" ht="0" hidden="1" customHeight="1">
      <c r="D1136" s="1528"/>
      <c r="E1136" s="1528"/>
      <c r="F1136" s="1528"/>
      <c r="G1136" s="1528"/>
      <c r="H1136" s="1528"/>
      <c r="I1136" s="1528"/>
      <c r="J1136" s="1528"/>
      <c r="K1136" s="1528"/>
      <c r="L1136" s="1528"/>
      <c r="M1136" s="1528"/>
      <c r="N1136" s="1528"/>
      <c r="O1136" s="1528"/>
      <c r="P1136" s="1528"/>
      <c r="Q1136" s="1528"/>
      <c r="R1136" s="1528"/>
      <c r="S1136" s="1528"/>
      <c r="T1136" s="1528"/>
      <c r="U1136" s="1528"/>
      <c r="V1136" s="1528"/>
      <c r="W1136" s="1528"/>
      <c r="X1136" s="1528"/>
      <c r="Y1136" s="1528"/>
      <c r="Z1136" s="1528"/>
      <c r="AA1136" s="1528"/>
      <c r="AB1136" s="1528"/>
      <c r="AC1136" s="1528"/>
      <c r="AD1136" s="1528"/>
      <c r="AE1136" s="1528"/>
      <c r="AF1136" s="1528"/>
      <c r="AG1136" s="1528"/>
      <c r="AH1136" s="1528"/>
      <c r="AI1136" s="1528"/>
      <c r="AJ1136" s="1528"/>
      <c r="AK1136" s="152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2">
    <mergeCell ref="P354:AE354"/>
    <mergeCell ref="P355:AE355"/>
    <mergeCell ref="P356:Z356"/>
    <mergeCell ref="P358:AE358"/>
    <mergeCell ref="AA344:AK344"/>
    <mergeCell ref="AA345:AK345"/>
    <mergeCell ref="AA346:AK346"/>
    <mergeCell ref="AA347:AK347"/>
    <mergeCell ref="AA348:AF348"/>
    <mergeCell ref="AA326:AK326"/>
    <mergeCell ref="H329:R329"/>
    <mergeCell ref="H328:R328"/>
    <mergeCell ref="H330:R330"/>
    <mergeCell ref="H331:R331"/>
    <mergeCell ref="AA330:AK330"/>
    <mergeCell ref="AA328:AK328"/>
    <mergeCell ref="AA329:AK329"/>
    <mergeCell ref="AA331:AK331"/>
    <mergeCell ref="H346:R346"/>
    <mergeCell ref="AI348:AK348"/>
    <mergeCell ref="P357:Z357"/>
    <mergeCell ref="H423:AE424"/>
    <mergeCell ref="M269:AE269"/>
    <mergeCell ref="M268:AE268"/>
    <mergeCell ref="H296:R296"/>
    <mergeCell ref="H299:R299"/>
    <mergeCell ref="H298:R298"/>
    <mergeCell ref="H297:R297"/>
    <mergeCell ref="AA297:AK297"/>
    <mergeCell ref="AA296:AK296"/>
    <mergeCell ref="AA299:AK299"/>
    <mergeCell ref="AA298:AK298"/>
    <mergeCell ref="H306:R306"/>
    <mergeCell ref="H305:R305"/>
    <mergeCell ref="H304:R304"/>
    <mergeCell ref="H307:R307"/>
    <mergeCell ref="H314:R314"/>
    <mergeCell ref="H313:R313"/>
    <mergeCell ref="H322:R322"/>
    <mergeCell ref="H321:R321"/>
    <mergeCell ref="H320:R320"/>
    <mergeCell ref="H323:R323"/>
    <mergeCell ref="AA315:AK315"/>
    <mergeCell ref="AA312:AK312"/>
    <mergeCell ref="AA313:AK313"/>
    <mergeCell ref="AA314:AK314"/>
    <mergeCell ref="AA320:AK320"/>
    <mergeCell ref="AA321:AK321"/>
    <mergeCell ref="AA323:AK323"/>
    <mergeCell ref="AA322:AK322"/>
    <mergeCell ref="N380:Q380"/>
    <mergeCell ref="V391:W391"/>
    <mergeCell ref="J376:K37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DZ805:ED805"/>
    <mergeCell ref="DE803:DI803"/>
    <mergeCell ref="DE804:DI804"/>
    <mergeCell ref="DE805:DI805"/>
    <mergeCell ref="DJ795:DN795"/>
    <mergeCell ref="DJ796:DN796"/>
    <mergeCell ref="DJ797:DN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EO805:ES805"/>
    <mergeCell ref="DZ796:ED796"/>
    <mergeCell ref="DZ797:ED797"/>
    <mergeCell ref="DZ798:ED798"/>
    <mergeCell ref="DZ799:ED799"/>
    <mergeCell ref="DZ800:ED800"/>
    <mergeCell ref="DZ801:ED801"/>
    <mergeCell ref="DZ802:ED802"/>
    <mergeCell ref="DZ803:ED803"/>
    <mergeCell ref="DZ804:ED804"/>
    <mergeCell ref="AA1065:AF1065"/>
    <mergeCell ref="AA1066:AF1066"/>
    <mergeCell ref="DJ800:DN800"/>
    <mergeCell ref="DJ801:DN801"/>
    <mergeCell ref="DJ802:DN802"/>
    <mergeCell ref="DJ803:DN803"/>
    <mergeCell ref="DJ804:DN804"/>
    <mergeCell ref="DJ805:DN805"/>
    <mergeCell ref="BD911:BE911"/>
    <mergeCell ref="BD909:BE909"/>
    <mergeCell ref="AC902:AH902"/>
    <mergeCell ref="W857:AC857"/>
    <mergeCell ref="BG856:BL856"/>
    <mergeCell ref="CP810:CT810"/>
    <mergeCell ref="U838:X838"/>
    <mergeCell ref="U955:Z955"/>
    <mergeCell ref="J857:V857"/>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DJ798:DN798"/>
    <mergeCell ref="DJ799:DN799"/>
    <mergeCell ref="DO795:DS795"/>
    <mergeCell ref="DO796:DS796"/>
    <mergeCell ref="DO797:DS797"/>
    <mergeCell ref="DO798:DS798"/>
    <mergeCell ref="DO799:DS799"/>
    <mergeCell ref="CI760:CJ760"/>
    <mergeCell ref="DO801:DS801"/>
    <mergeCell ref="DO802:DS802"/>
    <mergeCell ref="DO803:DS803"/>
    <mergeCell ref="DO804:DS804"/>
    <mergeCell ref="DO805:DS805"/>
    <mergeCell ref="CP805:CT805"/>
    <mergeCell ref="DO785:DS785"/>
    <mergeCell ref="DE781:DI781"/>
    <mergeCell ref="CZ785:DD785"/>
    <mergeCell ref="DE785:DI785"/>
    <mergeCell ref="DE783:DI783"/>
    <mergeCell ref="DE761:DI761"/>
    <mergeCell ref="CP761:CT761"/>
    <mergeCell ref="CP802:CT802"/>
    <mergeCell ref="CP803:CT803"/>
    <mergeCell ref="CP804:CT804"/>
    <mergeCell ref="CP801:CT801"/>
    <mergeCell ref="CP800:CT800"/>
    <mergeCell ref="CP796:CT796"/>
    <mergeCell ref="CU785:CY785"/>
    <mergeCell ref="CU761:CY761"/>
    <mergeCell ref="CP782:CT782"/>
    <mergeCell ref="CU783:CY783"/>
    <mergeCell ref="CZ783:DD783"/>
    <mergeCell ref="CZ784:DD784"/>
    <mergeCell ref="CM761:CN761"/>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DE795:DI795"/>
    <mergeCell ref="DE796:DI796"/>
    <mergeCell ref="DE798:DI798"/>
    <mergeCell ref="DE799:DI799"/>
    <mergeCell ref="DE800:DI800"/>
    <mergeCell ref="CZ752:DD752"/>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I758:CJ758"/>
    <mergeCell ref="CK751:CL751"/>
    <mergeCell ref="CM751:CN751"/>
    <mergeCell ref="CP748:CT748"/>
    <mergeCell ref="X750:AB750"/>
    <mergeCell ref="AH750:AJ750"/>
    <mergeCell ref="O749:S749"/>
    <mergeCell ref="T748:W748"/>
    <mergeCell ref="T740:W740"/>
    <mergeCell ref="CM760:CN760"/>
    <mergeCell ref="CP760:CT760"/>
    <mergeCell ref="CP746:CT746"/>
    <mergeCell ref="CM747:CN747"/>
    <mergeCell ref="CK752:CL752"/>
    <mergeCell ref="CM752:CN752"/>
    <mergeCell ref="CM758:CN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CP752:CT752"/>
    <mergeCell ref="CG742:CH742"/>
    <mergeCell ref="CP747:CT747"/>
    <mergeCell ref="CM746:CN746"/>
    <mergeCell ref="CZ754:DD754"/>
    <mergeCell ref="AK751:AO751"/>
    <mergeCell ref="AK752:AO752"/>
    <mergeCell ref="CG755:CH755"/>
    <mergeCell ref="CI755:CJ755"/>
    <mergeCell ref="CP753:CT753"/>
    <mergeCell ref="AK747:AO747"/>
    <mergeCell ref="CP751:CT751"/>
    <mergeCell ref="CI748:CJ74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DJ751:DN751"/>
    <mergeCell ref="DO751:DS751"/>
    <mergeCell ref="DO752:DS752"/>
    <mergeCell ref="FJ752:FN752"/>
    <mergeCell ref="FO752:FS752"/>
    <mergeCell ref="FO759:FS759"/>
    <mergeCell ref="EZ760:FD760"/>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0:GC750"/>
    <mergeCell ref="EZ751:FD751"/>
    <mergeCell ref="FT750:FX750"/>
    <mergeCell ref="EZ752:FD752"/>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DJ752:DN752"/>
    <mergeCell ref="CM750:CN750"/>
    <mergeCell ref="FY751:GC751"/>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CG738:CH738"/>
    <mergeCell ref="CG736:CH736"/>
    <mergeCell ref="CP742:CT742"/>
    <mergeCell ref="CU748:CY748"/>
    <mergeCell ref="CI747:CJ747"/>
    <mergeCell ref="CP750:CT750"/>
    <mergeCell ref="AI580:AK580"/>
    <mergeCell ref="T572:V572"/>
    <mergeCell ref="AM562:AS562"/>
    <mergeCell ref="AO647:AS647"/>
    <mergeCell ref="AO637:AS637"/>
    <mergeCell ref="AO646:AS646"/>
    <mergeCell ref="Z636:AB636"/>
    <mergeCell ref="AM568:AS568"/>
    <mergeCell ref="AI568:AL568"/>
    <mergeCell ref="AE563:AH563"/>
    <mergeCell ref="AI562:AL562"/>
    <mergeCell ref="CZ741:DD741"/>
    <mergeCell ref="CI751:CJ751"/>
    <mergeCell ref="AC523:AF523"/>
    <mergeCell ref="AC522:AF522"/>
    <mergeCell ref="AH546:AK546"/>
    <mergeCell ref="B509:H510"/>
    <mergeCell ref="O531:AA531"/>
    <mergeCell ref="D458:AF458"/>
    <mergeCell ref="Q502:AK502"/>
    <mergeCell ref="AC464:AF464"/>
    <mergeCell ref="D474:V474"/>
    <mergeCell ref="Q499:AK499"/>
    <mergeCell ref="AH503:AK503"/>
    <mergeCell ref="D473:V473"/>
    <mergeCell ref="AC517:AF517"/>
    <mergeCell ref="Q493:AK493"/>
    <mergeCell ref="AC533:AF533"/>
    <mergeCell ref="W482:Y482"/>
    <mergeCell ref="AK750:AO750"/>
    <mergeCell ref="G739:J739"/>
    <mergeCell ref="X746:AB746"/>
    <mergeCell ref="X737:AB737"/>
    <mergeCell ref="AM563:AS563"/>
    <mergeCell ref="AI565:AL565"/>
    <mergeCell ref="T732:W732"/>
    <mergeCell ref="AM559:AS561"/>
    <mergeCell ref="AH730:AJ730"/>
    <mergeCell ref="Z595:AK595"/>
    <mergeCell ref="B749:F749"/>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H523:AK523"/>
    <mergeCell ref="AG452:AJ452"/>
    <mergeCell ref="AG453:AJ453"/>
    <mergeCell ref="D449:AF449"/>
    <mergeCell ref="AH511:AK511"/>
    <mergeCell ref="AI401:AJ401"/>
    <mergeCell ref="AG403:AJ403"/>
    <mergeCell ref="E429:AJ429"/>
    <mergeCell ref="AI566:AL566"/>
    <mergeCell ref="T559:V561"/>
    <mergeCell ref="Z565:AD565"/>
    <mergeCell ref="Z567:AD567"/>
    <mergeCell ref="Z570:AD570"/>
    <mergeCell ref="W569:Y569"/>
    <mergeCell ref="AK642:AN642"/>
    <mergeCell ref="W570:Y570"/>
    <mergeCell ref="W564:Y564"/>
    <mergeCell ref="T641:V641"/>
    <mergeCell ref="W565:Y565"/>
    <mergeCell ref="AE565:AH565"/>
    <mergeCell ref="T570:V570"/>
    <mergeCell ref="AK643:AN643"/>
    <mergeCell ref="AG591:AH591"/>
    <mergeCell ref="CZ725:DD725"/>
    <mergeCell ref="CI730:CJ730"/>
    <mergeCell ref="CG729:CH729"/>
    <mergeCell ref="CK728:CL728"/>
    <mergeCell ref="AI655:AK655"/>
    <mergeCell ref="AE704:AI704"/>
    <mergeCell ref="AI663:AK663"/>
    <mergeCell ref="CI728:CJ728"/>
    <mergeCell ref="CU728:CY728"/>
    <mergeCell ref="Z586:AK586"/>
    <mergeCell ref="CM728:CN728"/>
    <mergeCell ref="CK727:CL727"/>
    <mergeCell ref="CI725:CJ725"/>
    <mergeCell ref="AA581:AK581"/>
    <mergeCell ref="AG607:AH607"/>
    <mergeCell ref="W637:Y637"/>
    <mergeCell ref="T638:V638"/>
    <mergeCell ref="CI726:CJ726"/>
    <mergeCell ref="CI732:CJ732"/>
    <mergeCell ref="CK760:CL760"/>
    <mergeCell ref="CP755:CT755"/>
    <mergeCell ref="CM739:CN739"/>
    <mergeCell ref="CG756:CH756"/>
    <mergeCell ref="CK730:CL730"/>
    <mergeCell ref="X726:AB726"/>
    <mergeCell ref="AK737:AO737"/>
    <mergeCell ref="CP734:CT734"/>
    <mergeCell ref="CU738:CY738"/>
    <mergeCell ref="CZ737:DD737"/>
    <mergeCell ref="CK758:CL758"/>
    <mergeCell ref="CK755:CL755"/>
    <mergeCell ref="CM755:CN755"/>
    <mergeCell ref="CM753:CN753"/>
    <mergeCell ref="CG754:CH754"/>
    <mergeCell ref="AK754:AO754"/>
    <mergeCell ref="CI754:CJ754"/>
    <mergeCell ref="CG752:CH752"/>
    <mergeCell ref="CI752:CJ752"/>
    <mergeCell ref="CG758:CH758"/>
    <mergeCell ref="CU750:CY750"/>
    <mergeCell ref="CZ750:DD750"/>
    <mergeCell ref="CU751:CY751"/>
    <mergeCell ref="AK760:AO760"/>
    <mergeCell ref="CM741:CN741"/>
    <mergeCell ref="CM736:CN736"/>
    <mergeCell ref="CP728:CT728"/>
    <mergeCell ref="CG753:CH753"/>
    <mergeCell ref="CI753:CJ753"/>
    <mergeCell ref="AK742:AO742"/>
    <mergeCell ref="Z563:AD563"/>
    <mergeCell ref="O543:AA543"/>
    <mergeCell ref="AH531:AK531"/>
    <mergeCell ref="AE562:AH562"/>
    <mergeCell ref="I430:K430"/>
    <mergeCell ref="AH532:AK532"/>
    <mergeCell ref="AH533:AK533"/>
    <mergeCell ref="P427:R427"/>
    <mergeCell ref="M503:P503"/>
    <mergeCell ref="S497:AK498"/>
    <mergeCell ref="D481:V481"/>
    <mergeCell ref="D478:V478"/>
    <mergeCell ref="Q562:S562"/>
    <mergeCell ref="AC518:AF518"/>
    <mergeCell ref="AH522:AK522"/>
    <mergeCell ref="Q563:S563"/>
    <mergeCell ref="Q559:S561"/>
    <mergeCell ref="M563:P563"/>
    <mergeCell ref="C563:L563"/>
    <mergeCell ref="AE433:AF433"/>
    <mergeCell ref="AC508:AF508"/>
    <mergeCell ref="W477:Y477"/>
    <mergeCell ref="D479:V479"/>
    <mergeCell ref="AC528:AF528"/>
    <mergeCell ref="C566:L566"/>
    <mergeCell ref="AC515:AF515"/>
    <mergeCell ref="AE411:AJ411"/>
    <mergeCell ref="AC394:AJ394"/>
    <mergeCell ref="S411:U411"/>
    <mergeCell ref="AC529:AF529"/>
    <mergeCell ref="AH535:AK535"/>
    <mergeCell ref="AC525:AF525"/>
    <mergeCell ref="AC512:AF512"/>
    <mergeCell ref="T564:V564"/>
    <mergeCell ref="W559:Y561"/>
    <mergeCell ref="G691:R691"/>
    <mergeCell ref="N689:O689"/>
    <mergeCell ref="X727:AB727"/>
    <mergeCell ref="G694:R694"/>
    <mergeCell ref="C643:L643"/>
    <mergeCell ref="W638:Y638"/>
    <mergeCell ref="Z667:AK667"/>
    <mergeCell ref="AG404:AJ404"/>
    <mergeCell ref="M566:P566"/>
    <mergeCell ref="G579:R579"/>
    <mergeCell ref="Q567:S567"/>
    <mergeCell ref="Q568:S568"/>
    <mergeCell ref="Q573:S573"/>
    <mergeCell ref="Q569:S569"/>
    <mergeCell ref="N591:O591"/>
    <mergeCell ref="Q565:S565"/>
    <mergeCell ref="C564:L564"/>
    <mergeCell ref="M564:P564"/>
    <mergeCell ref="C567:L567"/>
    <mergeCell ref="B559:L561"/>
    <mergeCell ref="D446:AF446"/>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K412:AJ412"/>
    <mergeCell ref="Q399:U399"/>
    <mergeCell ref="I419:AE419"/>
    <mergeCell ref="AI398:AJ398"/>
    <mergeCell ref="J395:U395"/>
    <mergeCell ref="T407:AJ407"/>
    <mergeCell ref="AG449:AJ449"/>
    <mergeCell ref="S410:U410"/>
    <mergeCell ref="AG410:AJ410"/>
    <mergeCell ref="M364:N364"/>
    <mergeCell ref="D448:AF448"/>
    <mergeCell ref="AI406:AJ406"/>
    <mergeCell ref="T408:AJ408"/>
    <mergeCell ref="AC379:AF379"/>
    <mergeCell ref="V386:W386"/>
    <mergeCell ref="S386:T386"/>
    <mergeCell ref="D451:AF451"/>
    <mergeCell ref="AF439:AG439"/>
    <mergeCell ref="AG446:AJ446"/>
    <mergeCell ref="J397:U397"/>
    <mergeCell ref="N382:AF383"/>
    <mergeCell ref="AJ364:AK364"/>
    <mergeCell ref="AG451:AJ451"/>
    <mergeCell ref="AG386:AH386"/>
    <mergeCell ref="E427:G427"/>
    <mergeCell ref="AD420:AE420"/>
    <mergeCell ref="F436:AH437"/>
    <mergeCell ref="J396:U396"/>
    <mergeCell ref="AC356:AE356"/>
    <mergeCell ref="P352:AE352"/>
    <mergeCell ref="AA349:AF349"/>
    <mergeCell ref="P353:AE353"/>
    <mergeCell ref="AC396:AJ396"/>
    <mergeCell ref="V397:AJ397"/>
    <mergeCell ref="P348:R348"/>
    <mergeCell ref="E377:AH378"/>
    <mergeCell ref="Q374:AG374"/>
    <mergeCell ref="H349:M349"/>
    <mergeCell ref="AJ365:AK365"/>
    <mergeCell ref="AD386:AE386"/>
    <mergeCell ref="AC380:AF380"/>
    <mergeCell ref="AG447:AJ447"/>
    <mergeCell ref="Y373:Z373"/>
    <mergeCell ref="N387:P387"/>
    <mergeCell ref="W427:Y427"/>
    <mergeCell ref="D415:AJ416"/>
    <mergeCell ref="AD421:AE421"/>
    <mergeCell ref="AE434:AF434"/>
    <mergeCell ref="M367:N367"/>
    <mergeCell ref="Q398:U398"/>
    <mergeCell ref="R421:S421"/>
    <mergeCell ref="Q438:R438"/>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D208:M208"/>
    <mergeCell ref="N191:AE192"/>
    <mergeCell ref="D211:M211"/>
    <mergeCell ref="V226:W226"/>
    <mergeCell ref="V227:W227"/>
    <mergeCell ref="O159:T159"/>
    <mergeCell ref="AA308:AF308"/>
    <mergeCell ref="AI308:AK308"/>
    <mergeCell ref="V228:W228"/>
    <mergeCell ref="V229:W229"/>
    <mergeCell ref="AA307:AK307"/>
    <mergeCell ref="AA301:AF301"/>
    <mergeCell ref="M263:AE263"/>
    <mergeCell ref="AH271:AK271"/>
    <mergeCell ref="T276:X276"/>
    <mergeCell ref="AA300:AF300"/>
    <mergeCell ref="AI300:AK300"/>
    <mergeCell ref="L289:AD289"/>
    <mergeCell ref="L284:AD284"/>
    <mergeCell ref="V285:W285"/>
    <mergeCell ref="W270:X270"/>
    <mergeCell ref="U272:W272"/>
    <mergeCell ref="M266:T266"/>
    <mergeCell ref="M265:AE265"/>
    <mergeCell ref="M242:AE242"/>
    <mergeCell ref="AA258:AK258"/>
    <mergeCell ref="M257:AE257"/>
    <mergeCell ref="M260:AE260"/>
    <mergeCell ref="AF260:AK260"/>
    <mergeCell ref="M253:AE253"/>
    <mergeCell ref="M256:R256"/>
    <mergeCell ref="T287:V287"/>
    <mergeCell ref="P300:R300"/>
    <mergeCell ref="AF268:AK268"/>
    <mergeCell ref="AC270:AE270"/>
    <mergeCell ref="M271:AE271"/>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X180:Y180"/>
    <mergeCell ref="AP205:AQ205"/>
    <mergeCell ref="AI238:AJ238"/>
    <mergeCell ref="U175:V175"/>
    <mergeCell ref="R177:S177"/>
    <mergeCell ref="AI237:AJ237"/>
    <mergeCell ref="M244:AE244"/>
    <mergeCell ref="I185:AE185"/>
    <mergeCell ref="U245:W245"/>
    <mergeCell ref="T189:AE189"/>
    <mergeCell ref="Y120:AK120"/>
    <mergeCell ref="O160:T16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P113:S113"/>
    <mergeCell ref="AF252:AK252"/>
    <mergeCell ref="M243:T243"/>
    <mergeCell ref="W243:X243"/>
    <mergeCell ref="T212:U212"/>
    <mergeCell ref="F150:T150"/>
    <mergeCell ref="AA247:AK247"/>
    <mergeCell ref="AI178:AK178"/>
    <mergeCell ref="AH255:AK255"/>
    <mergeCell ref="T193:AI193"/>
    <mergeCell ref="AI236:AJ236"/>
    <mergeCell ref="Y123:AK123"/>
    <mergeCell ref="M246:AE246"/>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H263:AK263"/>
    <mergeCell ref="AA302:AK302"/>
    <mergeCell ref="W262:X262"/>
    <mergeCell ref="M261:AE261"/>
    <mergeCell ref="M262:T262"/>
    <mergeCell ref="AC262:AE262"/>
    <mergeCell ref="D279:H279"/>
    <mergeCell ref="X279:AC279"/>
    <mergeCell ref="M252:AE252"/>
    <mergeCell ref="D204:M204"/>
    <mergeCell ref="M247:T247"/>
    <mergeCell ref="T197:U197"/>
    <mergeCell ref="P205:U205"/>
    <mergeCell ref="H317:M317"/>
    <mergeCell ref="P316:R316"/>
    <mergeCell ref="U264:W264"/>
    <mergeCell ref="P308:R308"/>
    <mergeCell ref="L286:AD286"/>
    <mergeCell ref="Z272:AE272"/>
    <mergeCell ref="AA340:AF340"/>
    <mergeCell ref="P324:R324"/>
    <mergeCell ref="H336:R336"/>
    <mergeCell ref="AA318:AK318"/>
    <mergeCell ref="AA316:AF316"/>
    <mergeCell ref="AA341:AF341"/>
    <mergeCell ref="AA337:AK337"/>
    <mergeCell ref="AA336:AK336"/>
    <mergeCell ref="H341:M341"/>
    <mergeCell ref="AI324:AK324"/>
    <mergeCell ref="AA338:AK338"/>
    <mergeCell ref="H334:R334"/>
    <mergeCell ref="L283:AJ283"/>
    <mergeCell ref="M272:R272"/>
    <mergeCell ref="M274:T274"/>
    <mergeCell ref="AA325:AF325"/>
    <mergeCell ref="AA306:AK306"/>
    <mergeCell ref="P332:R332"/>
    <mergeCell ref="AA324:AF324"/>
    <mergeCell ref="H302:R302"/>
    <mergeCell ref="M273:AE273"/>
    <mergeCell ref="AB285:AD285"/>
    <mergeCell ref="Y287:AD287"/>
    <mergeCell ref="AA304:AK304"/>
    <mergeCell ref="L285:S285"/>
    <mergeCell ref="L287:Q287"/>
    <mergeCell ref="AA309:AF309"/>
    <mergeCell ref="AA317:AF317"/>
    <mergeCell ref="H312:R312"/>
    <mergeCell ref="H315:R315"/>
    <mergeCell ref="AA266:AK266"/>
    <mergeCell ref="AA274:AK274"/>
    <mergeCell ref="M270:T270"/>
    <mergeCell ref="AI316:AK316"/>
    <mergeCell ref="P433:Q433"/>
    <mergeCell ref="H325:M325"/>
    <mergeCell ref="N372:O372"/>
    <mergeCell ref="H300:M300"/>
    <mergeCell ref="H308:M308"/>
    <mergeCell ref="H309:M309"/>
    <mergeCell ref="H316:M316"/>
    <mergeCell ref="H338:R338"/>
    <mergeCell ref="H339:R339"/>
    <mergeCell ref="P340:R340"/>
    <mergeCell ref="AA333:AF333"/>
    <mergeCell ref="H337:R337"/>
    <mergeCell ref="AI332:AK332"/>
    <mergeCell ref="H326:R326"/>
    <mergeCell ref="H342:R342"/>
    <mergeCell ref="R420:S420"/>
    <mergeCell ref="Q402:U402"/>
    <mergeCell ref="AG389:AH389"/>
    <mergeCell ref="AA332:AF332"/>
    <mergeCell ref="H332:M332"/>
    <mergeCell ref="AA339:AK339"/>
    <mergeCell ref="H333:M333"/>
    <mergeCell ref="AA342:AK342"/>
    <mergeCell ref="H348:M348"/>
    <mergeCell ref="AA310:AK310"/>
    <mergeCell ref="AA305:AK305"/>
    <mergeCell ref="H310:R310"/>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Z443:AA443"/>
    <mergeCell ref="P430:R430"/>
    <mergeCell ref="D477:V477"/>
    <mergeCell ref="W481:Y481"/>
    <mergeCell ref="Q403:U403"/>
    <mergeCell ref="AJ366:AK366"/>
    <mergeCell ref="D447:AF447"/>
    <mergeCell ref="AA334:AK334"/>
    <mergeCell ref="H324:M324"/>
    <mergeCell ref="W473:Y473"/>
    <mergeCell ref="AC509:AF509"/>
    <mergeCell ref="AH509:AK509"/>
    <mergeCell ref="G482:V482"/>
    <mergeCell ref="AH534:AK534"/>
    <mergeCell ref="Q501:AK501"/>
    <mergeCell ref="AC510:AF510"/>
    <mergeCell ref="B522:H524"/>
    <mergeCell ref="B525:H527"/>
    <mergeCell ref="AG448:AJ448"/>
    <mergeCell ref="AH528:AK528"/>
    <mergeCell ref="D460:AJ461"/>
    <mergeCell ref="D453:AF453"/>
    <mergeCell ref="D454:AF454"/>
    <mergeCell ref="AH540:AK540"/>
    <mergeCell ref="AC530:AF530"/>
    <mergeCell ref="AC532:AF532"/>
    <mergeCell ref="AH514:AK514"/>
    <mergeCell ref="AH516:AK516"/>
    <mergeCell ref="AC516:AF516"/>
    <mergeCell ref="AH515:AK515"/>
    <mergeCell ref="AG459:AJ459"/>
    <mergeCell ref="D475:V475"/>
    <mergeCell ref="AG450:AJ450"/>
    <mergeCell ref="AC527:AF527"/>
    <mergeCell ref="AC531:AF531"/>
    <mergeCell ref="AH524:AK524"/>
    <mergeCell ref="D457:AF457"/>
    <mergeCell ref="AG454:AJ454"/>
    <mergeCell ref="AG458:AJ458"/>
    <mergeCell ref="Q564:S564"/>
    <mergeCell ref="M562:P562"/>
    <mergeCell ref="AC534:AF534"/>
    <mergeCell ref="Q500:AK500"/>
    <mergeCell ref="AF427:AH427"/>
    <mergeCell ref="AC536:AF536"/>
    <mergeCell ref="C562:L562"/>
    <mergeCell ref="D455:AF455"/>
    <mergeCell ref="D456:AF456"/>
    <mergeCell ref="W474:Y474"/>
    <mergeCell ref="AG455:AJ455"/>
    <mergeCell ref="W475:Y475"/>
    <mergeCell ref="W478:Y478"/>
    <mergeCell ref="O540:AA540"/>
    <mergeCell ref="AH513:AK513"/>
    <mergeCell ref="AC545:AF545"/>
    <mergeCell ref="T562:V562"/>
    <mergeCell ref="AC548:AF548"/>
    <mergeCell ref="AH545:AK545"/>
    <mergeCell ref="AC542:AF542"/>
    <mergeCell ref="AH550:AK550"/>
    <mergeCell ref="AC546:AF546"/>
    <mergeCell ref="Z562:AD562"/>
    <mergeCell ref="AH527:AK527"/>
    <mergeCell ref="AH544:AK544"/>
    <mergeCell ref="AG457:AJ457"/>
    <mergeCell ref="AC535:AF535"/>
    <mergeCell ref="AH529:AK529"/>
    <mergeCell ref="AC538:AF538"/>
    <mergeCell ref="AC465:AF465"/>
    <mergeCell ref="AC541:AF541"/>
    <mergeCell ref="D452:AF452"/>
    <mergeCell ref="B761:F761"/>
    <mergeCell ref="O760:S760"/>
    <mergeCell ref="AH734:AJ734"/>
    <mergeCell ref="G760:J760"/>
    <mergeCell ref="AC798:AG798"/>
    <mergeCell ref="AC749:AG749"/>
    <mergeCell ref="AC745:AG745"/>
    <mergeCell ref="J777:N780"/>
    <mergeCell ref="K745:N745"/>
    <mergeCell ref="AH749:AJ749"/>
    <mergeCell ref="O534:AA534"/>
    <mergeCell ref="AC537:AF537"/>
    <mergeCell ref="AH538:AK538"/>
    <mergeCell ref="Z564:AD564"/>
    <mergeCell ref="AI563:AL563"/>
    <mergeCell ref="T566:V566"/>
    <mergeCell ref="AI564:AL564"/>
    <mergeCell ref="T565:V565"/>
    <mergeCell ref="C570:L570"/>
    <mergeCell ref="AH539:AK539"/>
    <mergeCell ref="AH548:AK548"/>
    <mergeCell ref="X751:AB751"/>
    <mergeCell ref="X752:AB752"/>
    <mergeCell ref="AH751:AJ751"/>
    <mergeCell ref="AH752:AJ752"/>
    <mergeCell ref="J787:K787"/>
    <mergeCell ref="AH537:AK537"/>
    <mergeCell ref="AH542:AK542"/>
    <mergeCell ref="AH547:AK547"/>
    <mergeCell ref="AH549:AK549"/>
    <mergeCell ref="AC543:AF543"/>
    <mergeCell ref="AC549:AF549"/>
    <mergeCell ref="AF638:AJ638"/>
    <mergeCell ref="G693:R693"/>
    <mergeCell ref="M643:P643"/>
    <mergeCell ref="G654:R654"/>
    <mergeCell ref="Z660:AK660"/>
    <mergeCell ref="G729:J729"/>
    <mergeCell ref="G727:J727"/>
    <mergeCell ref="AC735:AG735"/>
    <mergeCell ref="X732:AB732"/>
    <mergeCell ref="G687:L687"/>
    <mergeCell ref="H622:R622"/>
    <mergeCell ref="M639:P639"/>
    <mergeCell ref="AC644:AE644"/>
    <mergeCell ref="Z655:AE655"/>
    <mergeCell ref="M640:P640"/>
    <mergeCell ref="Y809:AC809"/>
    <mergeCell ref="Y808:AC808"/>
    <mergeCell ref="T749:W749"/>
    <mergeCell ref="AC804:AG804"/>
    <mergeCell ref="AC796:AG796"/>
    <mergeCell ref="X730:AB730"/>
    <mergeCell ref="Z693:AK693"/>
    <mergeCell ref="AE706:AI706"/>
    <mergeCell ref="AC722:AG725"/>
    <mergeCell ref="K722:N725"/>
    <mergeCell ref="Z641:AB641"/>
    <mergeCell ref="AI687:AK687"/>
    <mergeCell ref="Z671:AE671"/>
    <mergeCell ref="Z651:AK651"/>
    <mergeCell ref="AK740:AO740"/>
    <mergeCell ref="AK741:AO741"/>
    <mergeCell ref="X783:AB783"/>
    <mergeCell ref="Q836:T836"/>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AC748:AG748"/>
    <mergeCell ref="G621:L621"/>
    <mergeCell ref="AA614:AK614"/>
    <mergeCell ref="O726:S726"/>
    <mergeCell ref="O722:S725"/>
    <mergeCell ref="B728:F728"/>
    <mergeCell ref="B730:F730"/>
    <mergeCell ref="AG681:AH681"/>
    <mergeCell ref="B733:F733"/>
    <mergeCell ref="B732:F732"/>
    <mergeCell ref="B735:F735"/>
    <mergeCell ref="H688:R688"/>
    <mergeCell ref="J796:N796"/>
    <mergeCell ref="T750:W750"/>
    <mergeCell ref="X753:AB753"/>
    <mergeCell ref="T752:W752"/>
    <mergeCell ref="O755:S755"/>
    <mergeCell ref="J805:N805"/>
    <mergeCell ref="Z826:AE826"/>
    <mergeCell ref="T803:W803"/>
    <mergeCell ref="T784:W784"/>
    <mergeCell ref="T782:W782"/>
    <mergeCell ref="AC835:AF835"/>
    <mergeCell ref="O803:S803"/>
    <mergeCell ref="AC799:AG799"/>
    <mergeCell ref="J802:N802"/>
    <mergeCell ref="J797:N797"/>
    <mergeCell ref="X803:AB803"/>
    <mergeCell ref="O800:S800"/>
    <mergeCell ref="J795:N795"/>
    <mergeCell ref="O758:S758"/>
    <mergeCell ref="K753:N753"/>
    <mergeCell ref="J804:N804"/>
    <mergeCell ref="J785:N785"/>
    <mergeCell ref="O757:S757"/>
    <mergeCell ref="X759:AB759"/>
    <mergeCell ref="O784:S784"/>
    <mergeCell ref="X784:AB784"/>
    <mergeCell ref="X781:AB781"/>
    <mergeCell ref="B759:F759"/>
    <mergeCell ref="B750:F750"/>
    <mergeCell ref="B751:F751"/>
    <mergeCell ref="T799:W799"/>
    <mergeCell ref="T795:W795"/>
    <mergeCell ref="T796:W796"/>
    <mergeCell ref="T797:W797"/>
    <mergeCell ref="M833:P833"/>
    <mergeCell ref="U834:X834"/>
    <mergeCell ref="X802:AB802"/>
    <mergeCell ref="P824:Y824"/>
    <mergeCell ref="Z821:AE821"/>
    <mergeCell ref="C806:AN807"/>
    <mergeCell ref="J801:N801"/>
    <mergeCell ref="X801:AB801"/>
    <mergeCell ref="T791:W794"/>
    <mergeCell ref="AC834:AF834"/>
    <mergeCell ref="X760:AB760"/>
    <mergeCell ref="AK753:AO753"/>
    <mergeCell ref="T755:W755"/>
    <mergeCell ref="AC756:AG756"/>
    <mergeCell ref="Z815:AE815"/>
    <mergeCell ref="O782:S782"/>
    <mergeCell ref="O802:S802"/>
    <mergeCell ref="X777:AB780"/>
    <mergeCell ref="T777:W780"/>
    <mergeCell ref="AC801:AG801"/>
    <mergeCell ref="O798:S798"/>
    <mergeCell ref="X796:AB796"/>
    <mergeCell ref="AG831:AJ832"/>
    <mergeCell ref="AC805:AG805"/>
    <mergeCell ref="AC795:AG795"/>
    <mergeCell ref="C837:H837"/>
    <mergeCell ref="U837:X837"/>
    <mergeCell ref="W850:AC850"/>
    <mergeCell ref="W855:AC855"/>
    <mergeCell ref="W885:AC885"/>
    <mergeCell ref="M869:V869"/>
    <mergeCell ref="W853:AC853"/>
    <mergeCell ref="M854:V854"/>
    <mergeCell ref="C834:H834"/>
    <mergeCell ref="K760:N760"/>
    <mergeCell ref="O805:S805"/>
    <mergeCell ref="O796:S796"/>
    <mergeCell ref="J800:N800"/>
    <mergeCell ref="Z814:AE814"/>
    <mergeCell ref="X799:AB799"/>
    <mergeCell ref="AC800:AG800"/>
    <mergeCell ref="O795:S795"/>
    <mergeCell ref="Q834:T834"/>
    <mergeCell ref="Y831:AB832"/>
    <mergeCell ref="Q835:T835"/>
    <mergeCell ref="M836:P836"/>
    <mergeCell ref="M835:P835"/>
    <mergeCell ref="J803:N803"/>
    <mergeCell ref="AC782:AG782"/>
    <mergeCell ref="X785:AB785"/>
    <mergeCell ref="AC797:AG797"/>
    <mergeCell ref="X797:AB797"/>
    <mergeCell ref="AC761:AG761"/>
    <mergeCell ref="O761:S761"/>
    <mergeCell ref="U836:X836"/>
    <mergeCell ref="AG836:AJ836"/>
    <mergeCell ref="J799:N799"/>
    <mergeCell ref="C836:H836"/>
    <mergeCell ref="BD914:BF914"/>
    <mergeCell ref="BD919:BE919"/>
    <mergeCell ref="BD912:BE912"/>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Q837:T837"/>
    <mergeCell ref="Z908:AE908"/>
    <mergeCell ref="AC897:AH897"/>
    <mergeCell ref="E894:AB894"/>
    <mergeCell ref="AZ859:BA859"/>
    <mergeCell ref="AC899:AH899"/>
    <mergeCell ref="W887:AC887"/>
    <mergeCell ref="AC901:AH901"/>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F938:T938"/>
    <mergeCell ref="AC896:AH896"/>
    <mergeCell ref="BD913:BE913"/>
    <mergeCell ref="BD915:BF915"/>
    <mergeCell ref="W880:AC880"/>
    <mergeCell ref="F946:T946"/>
    <mergeCell ref="U946:Z946"/>
    <mergeCell ref="AA946:AF946"/>
    <mergeCell ref="U940:Z940"/>
    <mergeCell ref="F924:T924"/>
    <mergeCell ref="U933:Z933"/>
    <mergeCell ref="U942:Z942"/>
    <mergeCell ref="U943:Z943"/>
    <mergeCell ref="AA932:AF932"/>
    <mergeCell ref="U945:Z945"/>
    <mergeCell ref="AC898:AH898"/>
    <mergeCell ref="AC903:AH903"/>
    <mergeCell ref="AH757:AJ757"/>
    <mergeCell ref="AH747:AJ747"/>
    <mergeCell ref="AH748:AJ748"/>
    <mergeCell ref="O738:S738"/>
    <mergeCell ref="G742:J742"/>
    <mergeCell ref="O737:S737"/>
    <mergeCell ref="P695:R695"/>
    <mergeCell ref="AC754:AG754"/>
    <mergeCell ref="B744:F744"/>
    <mergeCell ref="AC736:AG736"/>
    <mergeCell ref="AC740:AG740"/>
    <mergeCell ref="X741:AB741"/>
    <mergeCell ref="G740:J740"/>
    <mergeCell ref="B741:F741"/>
    <mergeCell ref="B737:F737"/>
    <mergeCell ref="B739:F739"/>
    <mergeCell ref="B738:F738"/>
    <mergeCell ref="O743:S743"/>
    <mergeCell ref="O745:S745"/>
    <mergeCell ref="O746:S746"/>
    <mergeCell ref="AC750:AG750"/>
    <mergeCell ref="AC751:AG751"/>
    <mergeCell ref="AC752:AG752"/>
    <mergeCell ref="AC753:AG753"/>
    <mergeCell ref="B731:F731"/>
    <mergeCell ref="B736:F736"/>
    <mergeCell ref="B742:F742"/>
    <mergeCell ref="B729:F729"/>
    <mergeCell ref="CI750:CJ750"/>
    <mergeCell ref="CK750:CL750"/>
    <mergeCell ref="X748:AB748"/>
    <mergeCell ref="P687:R687"/>
    <mergeCell ref="AK738:AO738"/>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T733:W733"/>
    <mergeCell ref="O735:S735"/>
    <mergeCell ref="X736:AB736"/>
    <mergeCell ref="O727:S727"/>
    <mergeCell ref="K732:N732"/>
    <mergeCell ref="CK744:CL744"/>
    <mergeCell ref="CG733:CH733"/>
    <mergeCell ref="CK736:CL736"/>
    <mergeCell ref="CG745:CH745"/>
    <mergeCell ref="CK731:CL731"/>
    <mergeCell ref="K726:N726"/>
    <mergeCell ref="G670:R670"/>
    <mergeCell ref="AG689:AH689"/>
    <mergeCell ref="AI695:AK695"/>
    <mergeCell ref="J713:O713"/>
    <mergeCell ref="G684:R684"/>
    <mergeCell ref="O730:S730"/>
    <mergeCell ref="N665:O665"/>
    <mergeCell ref="O731:S731"/>
    <mergeCell ref="G669:R669"/>
    <mergeCell ref="X731:AB731"/>
    <mergeCell ref="T727:W727"/>
    <mergeCell ref="G671:L671"/>
    <mergeCell ref="T736:W736"/>
    <mergeCell ref="G728:J728"/>
    <mergeCell ref="G679:L679"/>
    <mergeCell ref="G683:R683"/>
    <mergeCell ref="K735:N735"/>
    <mergeCell ref="K734:N734"/>
    <mergeCell ref="AC728:AG728"/>
    <mergeCell ref="Z676:AK676"/>
    <mergeCell ref="AA680:AK680"/>
    <mergeCell ref="G677:R677"/>
    <mergeCell ref="T729:W729"/>
    <mergeCell ref="AE703:AI703"/>
    <mergeCell ref="Z668:AK668"/>
    <mergeCell ref="G726:J726"/>
    <mergeCell ref="G678:R678"/>
    <mergeCell ref="Z677:AK677"/>
    <mergeCell ref="E715:AK715"/>
    <mergeCell ref="W714:AK714"/>
    <mergeCell ref="T738:W738"/>
    <mergeCell ref="H672:R672"/>
    <mergeCell ref="G686:R686"/>
    <mergeCell ref="G732:J732"/>
    <mergeCell ref="T737:W737"/>
    <mergeCell ref="T730:W730"/>
    <mergeCell ref="K737:N737"/>
    <mergeCell ref="N697:O697"/>
    <mergeCell ref="AK735:AO735"/>
    <mergeCell ref="AH732:AJ732"/>
    <mergeCell ref="G730:J730"/>
    <mergeCell ref="CG732:CH732"/>
    <mergeCell ref="CG744:CH744"/>
    <mergeCell ref="G731:J731"/>
    <mergeCell ref="O733:S733"/>
    <mergeCell ref="O734:S734"/>
    <mergeCell ref="AK745:AO745"/>
    <mergeCell ref="X743:AB743"/>
    <mergeCell ref="X744:AB744"/>
    <mergeCell ref="T743:W743"/>
    <mergeCell ref="T742:W742"/>
    <mergeCell ref="O732:S732"/>
    <mergeCell ref="AG697:AH697"/>
    <mergeCell ref="AH739:AJ739"/>
    <mergeCell ref="T739:W739"/>
    <mergeCell ref="CG739:CH739"/>
    <mergeCell ref="AK743:AO743"/>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CM740:CN740"/>
    <mergeCell ref="DE733:DI733"/>
    <mergeCell ref="CK733:CL733"/>
    <mergeCell ref="CG741:CH741"/>
    <mergeCell ref="CI742:CJ742"/>
    <mergeCell ref="CI745:CJ745"/>
    <mergeCell ref="CG746:CH746"/>
    <mergeCell ref="CK747:CL747"/>
    <mergeCell ref="AK739:AO739"/>
    <mergeCell ref="CZ740:DD740"/>
    <mergeCell ref="DE734:DI734"/>
    <mergeCell ref="CZ732:DD732"/>
    <mergeCell ref="AK748:AO748"/>
    <mergeCell ref="AK749:AO749"/>
    <mergeCell ref="CP730:CT730"/>
    <mergeCell ref="CZ744:DD744"/>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M743:CN743"/>
    <mergeCell ref="CZ738:DD738"/>
    <mergeCell ref="CK740:CL740"/>
    <mergeCell ref="CP733:CT733"/>
    <mergeCell ref="CZ735:DD735"/>
    <mergeCell ref="CU731:CY731"/>
    <mergeCell ref="DE735:DI735"/>
    <mergeCell ref="CZ749:DD749"/>
    <mergeCell ref="DE739:DI739"/>
    <mergeCell ref="CP736:CT736"/>
    <mergeCell ref="CU736:CY736"/>
    <mergeCell ref="DE742:DI742"/>
    <mergeCell ref="CM734:CN734"/>
    <mergeCell ref="CI740:CJ740"/>
    <mergeCell ref="CI741:CJ741"/>
    <mergeCell ref="CG727:CH727"/>
    <mergeCell ref="CI729:CJ729"/>
    <mergeCell ref="CP745:CT745"/>
    <mergeCell ref="CZ742:DD742"/>
    <mergeCell ref="CI743:CJ74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I733:CJ733"/>
    <mergeCell ref="CK739:CL739"/>
    <mergeCell ref="CK737:CL737"/>
    <mergeCell ref="CU732:CY732"/>
    <mergeCell ref="CU733:CY733"/>
    <mergeCell ref="CP738:CT738"/>
    <mergeCell ref="DE745:DI745"/>
    <mergeCell ref="CU739:CY73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K733:N733"/>
    <mergeCell ref="AO649:AS649"/>
    <mergeCell ref="Z659:AK659"/>
    <mergeCell ref="AH726:AJ726"/>
    <mergeCell ref="AC726:AG726"/>
    <mergeCell ref="Z679:AE679"/>
    <mergeCell ref="AH536:AK536"/>
    <mergeCell ref="M567:P567"/>
    <mergeCell ref="C572:L572"/>
    <mergeCell ref="M572:P572"/>
    <mergeCell ref="W562:Y562"/>
    <mergeCell ref="W563:Y563"/>
    <mergeCell ref="Z566:AD566"/>
    <mergeCell ref="M570:P570"/>
    <mergeCell ref="M571:P571"/>
    <mergeCell ref="AI569:AL569"/>
    <mergeCell ref="Q572:S572"/>
    <mergeCell ref="N657:O657"/>
    <mergeCell ref="Z578:AK578"/>
    <mergeCell ref="T573:V573"/>
    <mergeCell ref="C568:L568"/>
    <mergeCell ref="Z568:AD568"/>
    <mergeCell ref="AI571:AL571"/>
    <mergeCell ref="Z571:AD571"/>
    <mergeCell ref="G576:R576"/>
    <mergeCell ref="G580:L580"/>
    <mergeCell ref="Z589:AE589"/>
    <mergeCell ref="Z594:AK594"/>
    <mergeCell ref="P605:R605"/>
    <mergeCell ref="G605:L605"/>
    <mergeCell ref="Q566:S566"/>
    <mergeCell ref="G596:R596"/>
    <mergeCell ref="Z588:AK588"/>
    <mergeCell ref="Z603:AK603"/>
    <mergeCell ref="G611:R611"/>
    <mergeCell ref="Q632:S634"/>
    <mergeCell ref="Z587:AK587"/>
    <mergeCell ref="G609:R609"/>
    <mergeCell ref="AH520:AK520"/>
    <mergeCell ref="M565:P565"/>
    <mergeCell ref="Z577:AK577"/>
    <mergeCell ref="G597:L597"/>
    <mergeCell ref="G577:R577"/>
    <mergeCell ref="H590:R590"/>
    <mergeCell ref="C635:L635"/>
    <mergeCell ref="P589:R589"/>
    <mergeCell ref="N599:O599"/>
    <mergeCell ref="C636:L636"/>
    <mergeCell ref="Z618:AK618"/>
    <mergeCell ref="AF636:AJ636"/>
    <mergeCell ref="N607:O607"/>
    <mergeCell ref="AA598:AK598"/>
    <mergeCell ref="AI597:AK597"/>
    <mergeCell ref="Z604:AK604"/>
    <mergeCell ref="H606:R606"/>
    <mergeCell ref="Z612:AK612"/>
    <mergeCell ref="A625:AT626"/>
    <mergeCell ref="B632:L634"/>
    <mergeCell ref="AI605:AK605"/>
    <mergeCell ref="G578:R578"/>
    <mergeCell ref="G594:R594"/>
    <mergeCell ref="P580:R580"/>
    <mergeCell ref="AI613:AK613"/>
    <mergeCell ref="G612:R612"/>
    <mergeCell ref="G585:R585"/>
    <mergeCell ref="M632:P634"/>
    <mergeCell ref="Z602:AK602"/>
    <mergeCell ref="P613:R613"/>
    <mergeCell ref="G610:R610"/>
    <mergeCell ref="G602:R602"/>
    <mergeCell ref="G603:R603"/>
    <mergeCell ref="G604:R604"/>
    <mergeCell ref="Z585:AK585"/>
    <mergeCell ref="AC636:AE636"/>
    <mergeCell ref="G593:R593"/>
    <mergeCell ref="AG583:AH583"/>
    <mergeCell ref="H598:R598"/>
    <mergeCell ref="T635:V635"/>
    <mergeCell ref="M582:R582"/>
    <mergeCell ref="Z621:AE621"/>
    <mergeCell ref="N623:O623"/>
    <mergeCell ref="CG726:CH726"/>
    <mergeCell ref="M645:P645"/>
    <mergeCell ref="M646:P646"/>
    <mergeCell ref="DO726:DS726"/>
    <mergeCell ref="DO727:DS727"/>
    <mergeCell ref="Q641:S641"/>
    <mergeCell ref="AF639:AJ639"/>
    <mergeCell ref="Z637:AB637"/>
    <mergeCell ref="AA688:AK688"/>
    <mergeCell ref="Z670:AK670"/>
    <mergeCell ref="AK639:AN639"/>
    <mergeCell ref="AK640:AN640"/>
    <mergeCell ref="AF640:AJ640"/>
    <mergeCell ref="AC639:AE639"/>
    <mergeCell ref="AC642:AE642"/>
    <mergeCell ref="Q640:S640"/>
    <mergeCell ref="G667:R667"/>
    <mergeCell ref="P679:R679"/>
    <mergeCell ref="Q639:S639"/>
    <mergeCell ref="T640:V640"/>
    <mergeCell ref="AC637:AE637"/>
    <mergeCell ref="Z579:AK579"/>
    <mergeCell ref="AI572:AL572"/>
    <mergeCell ref="T569:V569"/>
    <mergeCell ref="DJ729:DN729"/>
    <mergeCell ref="T639:V639"/>
    <mergeCell ref="C637:L637"/>
    <mergeCell ref="G675:R675"/>
    <mergeCell ref="G655:L655"/>
    <mergeCell ref="Q646:S646"/>
    <mergeCell ref="H656:R656"/>
    <mergeCell ref="Z640:AB640"/>
    <mergeCell ref="T637:V637"/>
    <mergeCell ref="M638:P638"/>
    <mergeCell ref="W646:Y646"/>
    <mergeCell ref="Z662:AK662"/>
    <mergeCell ref="P655:R655"/>
    <mergeCell ref="DO725:DS725"/>
    <mergeCell ref="CZ729:DD729"/>
    <mergeCell ref="AE572:AH572"/>
    <mergeCell ref="T646:V646"/>
    <mergeCell ref="T636:V636"/>
    <mergeCell ref="DJ727:DN727"/>
    <mergeCell ref="CU725:CY725"/>
    <mergeCell ref="AC643:AE643"/>
    <mergeCell ref="W643:Y643"/>
    <mergeCell ref="Z605:AE605"/>
    <mergeCell ref="AF637:AJ637"/>
    <mergeCell ref="DO728:DS728"/>
    <mergeCell ref="Z653:AK653"/>
    <mergeCell ref="CK729:CL729"/>
    <mergeCell ref="CM726:CN726"/>
    <mergeCell ref="Z663:AE663"/>
    <mergeCell ref="T567:V567"/>
    <mergeCell ref="W645:Y645"/>
    <mergeCell ref="AG665:AH665"/>
    <mergeCell ref="Z642:AB642"/>
    <mergeCell ref="T728:W728"/>
    <mergeCell ref="CU727:CY727"/>
    <mergeCell ref="Z611:AK611"/>
    <mergeCell ref="Z652:AK652"/>
    <mergeCell ref="AO644:AS644"/>
    <mergeCell ref="CZ726:DD726"/>
    <mergeCell ref="CP727:CT727"/>
    <mergeCell ref="DJ731:DN731"/>
    <mergeCell ref="DJ732:DN732"/>
    <mergeCell ref="DE728:DI728"/>
    <mergeCell ref="DE732:DI732"/>
    <mergeCell ref="DE725:DI725"/>
    <mergeCell ref="CI727:CJ727"/>
    <mergeCell ref="AC645:AE645"/>
    <mergeCell ref="X722:AB725"/>
    <mergeCell ref="AE702:AF702"/>
    <mergeCell ref="T642:V642"/>
    <mergeCell ref="AF642:AJ642"/>
    <mergeCell ref="AK646:AN646"/>
    <mergeCell ref="CM725:CN725"/>
    <mergeCell ref="CM729:CN729"/>
    <mergeCell ref="W711:AK711"/>
    <mergeCell ref="AF644:AJ644"/>
    <mergeCell ref="DJ726:DN726"/>
    <mergeCell ref="CZ727:DD727"/>
    <mergeCell ref="CP729:CT729"/>
    <mergeCell ref="AC640:AE640"/>
    <mergeCell ref="AI570:AL570"/>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CU726:CY726"/>
    <mergeCell ref="CP725:CT725"/>
    <mergeCell ref="AI679:AK679"/>
    <mergeCell ref="Q571:S571"/>
    <mergeCell ref="AI573:AL573"/>
    <mergeCell ref="AE570:AH570"/>
    <mergeCell ref="Q570:S570"/>
    <mergeCell ref="T568:V568"/>
    <mergeCell ref="Z569:AD569"/>
    <mergeCell ref="W568:Y568"/>
    <mergeCell ref="C569:L569"/>
    <mergeCell ref="AK645:AN645"/>
    <mergeCell ref="AO638:AS638"/>
    <mergeCell ref="Z609:AK609"/>
    <mergeCell ref="Q638:S638"/>
    <mergeCell ref="P597:R597"/>
    <mergeCell ref="Z597:AE597"/>
    <mergeCell ref="AA606:AK606"/>
    <mergeCell ref="T571:V571"/>
    <mergeCell ref="Z572:AD572"/>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2:EB652"/>
    <mergeCell ref="DX650:EB650"/>
    <mergeCell ref="DX651:EB651"/>
    <mergeCell ref="DX648:EB648"/>
    <mergeCell ref="DX660:EB660"/>
    <mergeCell ref="EC660:EG660"/>
    <mergeCell ref="EC655:EG655"/>
    <mergeCell ref="DX658:EB658"/>
    <mergeCell ref="EC658:EG658"/>
    <mergeCell ref="EC663:EG663"/>
    <mergeCell ref="DX675:EB675"/>
    <mergeCell ref="AO645:AS645"/>
    <mergeCell ref="Z692:AK692"/>
    <mergeCell ref="DX649:EB649"/>
    <mergeCell ref="EC652:EG652"/>
    <mergeCell ref="EC645:EG645"/>
    <mergeCell ref="A717:AT719"/>
    <mergeCell ref="Z684:AK684"/>
    <mergeCell ref="Z687:AE687"/>
    <mergeCell ref="Z678:AK678"/>
    <mergeCell ref="AG673:AH673"/>
    <mergeCell ref="AC730:AG730"/>
    <mergeCell ref="AK730:AO730"/>
    <mergeCell ref="AK729:AO729"/>
    <mergeCell ref="CI734:CJ734"/>
    <mergeCell ref="CG734:CH734"/>
    <mergeCell ref="CM735:CN735"/>
    <mergeCell ref="CK734:CL734"/>
    <mergeCell ref="AK728:AO728"/>
    <mergeCell ref="DE730:DI730"/>
    <mergeCell ref="AC729:AG729"/>
    <mergeCell ref="AH728:AJ728"/>
    <mergeCell ref="AH729:AJ729"/>
    <mergeCell ref="AK727:AO727"/>
    <mergeCell ref="DE737:DI737"/>
    <mergeCell ref="DJ735:DN735"/>
    <mergeCell ref="DJ734:DN734"/>
    <mergeCell ref="DO737:DS737"/>
    <mergeCell ref="DO734:DS734"/>
    <mergeCell ref="DO730:DS730"/>
    <mergeCell ref="AC732:AG732"/>
    <mergeCell ref="CU734:CY734"/>
    <mergeCell ref="CZ734:DD734"/>
    <mergeCell ref="AH727:AJ727"/>
    <mergeCell ref="CZ733:DD733"/>
    <mergeCell ref="DJ736:DN736"/>
    <mergeCell ref="CM732:CN732"/>
    <mergeCell ref="CM730:CN730"/>
    <mergeCell ref="CG730:CH730"/>
    <mergeCell ref="X791:AB794"/>
    <mergeCell ref="X795:AB795"/>
    <mergeCell ref="X804:AB804"/>
    <mergeCell ref="Y837:AB837"/>
    <mergeCell ref="DJ738:DN738"/>
    <mergeCell ref="DJ737:DN737"/>
    <mergeCell ref="DE727:DI727"/>
    <mergeCell ref="DZ726:ED726"/>
    <mergeCell ref="EE726:EI726"/>
    <mergeCell ref="DZ736:ED736"/>
    <mergeCell ref="EE732:EI732"/>
    <mergeCell ref="AK736:AO736"/>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DU741:DY741"/>
    <mergeCell ref="EE730:EI730"/>
    <mergeCell ref="EO728:ES728"/>
    <mergeCell ref="AC783:AG783"/>
    <mergeCell ref="AC791:AG794"/>
    <mergeCell ref="Z823:AE823"/>
    <mergeCell ref="Z816:AE816"/>
    <mergeCell ref="T802:W802"/>
    <mergeCell ref="T800:W800"/>
    <mergeCell ref="O785:S785"/>
    <mergeCell ref="T760:W760"/>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I958:T958"/>
    <mergeCell ref="U947:Z947"/>
    <mergeCell ref="M964:S964"/>
    <mergeCell ref="M834:P834"/>
    <mergeCell ref="M880:V880"/>
    <mergeCell ref="W851:AC851"/>
    <mergeCell ref="Q838:T838"/>
    <mergeCell ref="AG839:AJ839"/>
    <mergeCell ref="DJ740:DN740"/>
    <mergeCell ref="CU740:CY740"/>
    <mergeCell ref="CG759:CH759"/>
    <mergeCell ref="CU746:CY746"/>
    <mergeCell ref="O804:S804"/>
    <mergeCell ref="AC837:AF837"/>
    <mergeCell ref="Y834:AB834"/>
    <mergeCell ref="DJ745:DN745"/>
    <mergeCell ref="DJ743:DN743"/>
    <mergeCell ref="CG743:CH743"/>
    <mergeCell ref="U833:X833"/>
    <mergeCell ref="CG751:CH751"/>
    <mergeCell ref="DE747:DI747"/>
    <mergeCell ref="Q840:T840"/>
    <mergeCell ref="M839:P839"/>
    <mergeCell ref="CZ760:DD760"/>
    <mergeCell ref="K742:N742"/>
    <mergeCell ref="AH741:AJ741"/>
    <mergeCell ref="T746:W746"/>
    <mergeCell ref="M831:P832"/>
    <mergeCell ref="T804:W804"/>
    <mergeCell ref="AH761:AJ761"/>
    <mergeCell ref="O791:S794"/>
    <mergeCell ref="AC757:AG757"/>
    <mergeCell ref="U951:Z951"/>
    <mergeCell ref="AE970:AK970"/>
    <mergeCell ref="AA957:AF957"/>
    <mergeCell ref="M976:S976"/>
    <mergeCell ref="AA953:AF953"/>
    <mergeCell ref="M837:P837"/>
    <mergeCell ref="C901:AB901"/>
    <mergeCell ref="F949:T949"/>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W852:AC852"/>
    <mergeCell ref="AC840:AF840"/>
    <mergeCell ref="U937:Z937"/>
    <mergeCell ref="U957:Z957"/>
    <mergeCell ref="U944:Z944"/>
    <mergeCell ref="Q833:T833"/>
    <mergeCell ref="W879:AC879"/>
    <mergeCell ref="AC894:AH894"/>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M969:S969"/>
    <mergeCell ref="Z910:AE910"/>
    <mergeCell ref="J782:N782"/>
    <mergeCell ref="O764:R764"/>
    <mergeCell ref="X758:AB758"/>
    <mergeCell ref="AA937:AF937"/>
    <mergeCell ref="AA945:AF945"/>
    <mergeCell ref="AA951:AF95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AD767:AF767"/>
    <mergeCell ref="O754:S754"/>
    <mergeCell ref="O751:S751"/>
    <mergeCell ref="T751:W751"/>
    <mergeCell ref="K752:N752"/>
    <mergeCell ref="O752:S752"/>
    <mergeCell ref="K736:N736"/>
    <mergeCell ref="K754:N75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O759:S759"/>
    <mergeCell ref="AC785:AG785"/>
    <mergeCell ref="U948:Z948"/>
    <mergeCell ref="U949:Z949"/>
    <mergeCell ref="AA947:AF947"/>
    <mergeCell ref="U932:Z932"/>
    <mergeCell ref="F939:T939"/>
    <mergeCell ref="F940:T940"/>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G653:R653"/>
    <mergeCell ref="H680:R680"/>
    <mergeCell ref="G659:R659"/>
    <mergeCell ref="J712:X712"/>
    <mergeCell ref="T722:W725"/>
    <mergeCell ref="AA656:AK656"/>
    <mergeCell ref="D1011:AE1015"/>
    <mergeCell ref="D1020:AE1020"/>
    <mergeCell ref="D1021:AE1021"/>
    <mergeCell ref="T982:Z982"/>
    <mergeCell ref="I956:T956"/>
    <mergeCell ref="AK746:AO746"/>
    <mergeCell ref="G744:J744"/>
    <mergeCell ref="AH759:AJ759"/>
    <mergeCell ref="R996:AA996"/>
    <mergeCell ref="AH740:AJ740"/>
    <mergeCell ref="G746:J746"/>
    <mergeCell ref="AH743:AJ743"/>
    <mergeCell ref="X742:AB742"/>
    <mergeCell ref="I955:T955"/>
    <mergeCell ref="AA955:AF955"/>
    <mergeCell ref="M887:V887"/>
    <mergeCell ref="AB999:AI999"/>
    <mergeCell ref="T744:W744"/>
    <mergeCell ref="O728:S728"/>
    <mergeCell ref="T747:W747"/>
    <mergeCell ref="AH746:AJ746"/>
    <mergeCell ref="AH744:AJ744"/>
    <mergeCell ref="AC747:AG747"/>
    <mergeCell ref="X740:AB740"/>
    <mergeCell ref="W854:AC854"/>
    <mergeCell ref="M838:P838"/>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48:S748"/>
    <mergeCell ref="K749:N749"/>
    <mergeCell ref="K759:N759"/>
    <mergeCell ref="R997:AA997"/>
    <mergeCell ref="O983:P983"/>
    <mergeCell ref="G749:J749"/>
    <mergeCell ref="O750:S750"/>
    <mergeCell ref="X800:AB800"/>
    <mergeCell ref="Z822:AE822"/>
    <mergeCell ref="Z825:AE825"/>
    <mergeCell ref="O801:S801"/>
    <mergeCell ref="J798:N798"/>
    <mergeCell ref="O797:S797"/>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AG1038:AH1038"/>
    <mergeCell ref="D1046:AE1049"/>
    <mergeCell ref="AG764:AJ764"/>
    <mergeCell ref="AB996:AI996"/>
    <mergeCell ref="D996:Q996"/>
    <mergeCell ref="R998:AA998"/>
    <mergeCell ref="AJ998:AQ998"/>
    <mergeCell ref="J1033:AE1033"/>
    <mergeCell ref="D1010:AE1010"/>
    <mergeCell ref="D1008:AE1008"/>
    <mergeCell ref="D1003:AE1003"/>
    <mergeCell ref="D1009:AE1009"/>
    <mergeCell ref="D999:Q999"/>
    <mergeCell ref="AB998:AI998"/>
    <mergeCell ref="D1038:AE1038"/>
    <mergeCell ref="B1000:AA1000"/>
    <mergeCell ref="J783:N783"/>
    <mergeCell ref="AC784:AG784"/>
    <mergeCell ref="AJ1062:AQ1062"/>
    <mergeCell ref="D995:Q995"/>
    <mergeCell ref="AB995:AI995"/>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D1004:AE1007"/>
    <mergeCell ref="D994:Q994"/>
    <mergeCell ref="AB994:AI994"/>
    <mergeCell ref="AJ1045:AQ1049"/>
    <mergeCell ref="D1050:AE1050"/>
    <mergeCell ref="D1051:AE1053"/>
    <mergeCell ref="F984:L984"/>
    <mergeCell ref="AJ1050:AQ1053"/>
    <mergeCell ref="D1039:AE1040"/>
    <mergeCell ref="B1002:AE1002"/>
    <mergeCell ref="AJ1038:AQ1040"/>
    <mergeCell ref="AJ996:AQ996"/>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E759:FI759"/>
    <mergeCell ref="FJ759:FN759"/>
    <mergeCell ref="FE732:FI732"/>
    <mergeCell ref="M981:S981"/>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T754:W754"/>
    <mergeCell ref="K755:N755"/>
    <mergeCell ref="AH758:AJ758"/>
    <mergeCell ref="B760:F760"/>
    <mergeCell ref="AC755:AG755"/>
    <mergeCell ref="O741:S741"/>
    <mergeCell ref="K739:N739"/>
    <mergeCell ref="DJ739:DN739"/>
    <mergeCell ref="CZ739:DD739"/>
    <mergeCell ref="EZ743:FD743"/>
    <mergeCell ref="FE743:FI743"/>
    <mergeCell ref="O747:S747"/>
    <mergeCell ref="O744:S744"/>
    <mergeCell ref="K746:N746"/>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T735:FX735"/>
    <mergeCell ref="FJ734:FN734"/>
    <mergeCell ref="FO734:FS734"/>
    <mergeCell ref="FT734:FX734"/>
    <mergeCell ref="FJ733:FN733"/>
    <mergeCell ref="AC739:AG739"/>
    <mergeCell ref="FY736:GC736"/>
    <mergeCell ref="EZ737:FD737"/>
    <mergeCell ref="FE737:FI737"/>
    <mergeCell ref="FJ737:FN737"/>
    <mergeCell ref="FO737:FS737"/>
    <mergeCell ref="FT737:FX737"/>
    <mergeCell ref="FY737:GC737"/>
    <mergeCell ref="FY745:GC745"/>
    <mergeCell ref="FY744:GC744"/>
    <mergeCell ref="EZ745:FD745"/>
    <mergeCell ref="FE745:FI745"/>
    <mergeCell ref="FJ745:FN745"/>
    <mergeCell ref="FO745:FS745"/>
    <mergeCell ref="FJ742:FN742"/>
    <mergeCell ref="FO742:FS742"/>
    <mergeCell ref="FO738:FS738"/>
    <mergeCell ref="FT738:FX738"/>
    <mergeCell ref="FY740:GC740"/>
    <mergeCell ref="FE736:FI736"/>
    <mergeCell ref="FJ736:FN736"/>
    <mergeCell ref="FO736:FS736"/>
    <mergeCell ref="FT736:FX736"/>
    <mergeCell ref="FO744:FS744"/>
    <mergeCell ref="FT744:FX744"/>
    <mergeCell ref="FY742:GC742"/>
    <mergeCell ref="FT742:FX742"/>
    <mergeCell ref="FO740:FS740"/>
    <mergeCell ref="FT740:FX740"/>
    <mergeCell ref="FT745:FX745"/>
    <mergeCell ref="FE738:FI738"/>
    <mergeCell ref="DE743:DI743"/>
    <mergeCell ref="FT749:FX749"/>
    <mergeCell ref="FY746:GC746"/>
    <mergeCell ref="FY738:GC738"/>
    <mergeCell ref="FO743:FS743"/>
    <mergeCell ref="FT743:FX743"/>
    <mergeCell ref="FY743:GC743"/>
    <mergeCell ref="EZ744:FD744"/>
    <mergeCell ref="FE744:FI744"/>
    <mergeCell ref="FJ744:FN744"/>
    <mergeCell ref="DX672:EB672"/>
    <mergeCell ref="FY734:GC734"/>
    <mergeCell ref="FJ729:FN729"/>
    <mergeCell ref="FO729:FS729"/>
    <mergeCell ref="EO726:ES726"/>
    <mergeCell ref="DU728:DY728"/>
    <mergeCell ref="EZ735:FD735"/>
    <mergeCell ref="DU730:DY730"/>
    <mergeCell ref="DZ741:ED741"/>
    <mergeCell ref="EO740:ES740"/>
    <mergeCell ref="DZ740:ED740"/>
    <mergeCell ref="EE740:EI740"/>
    <mergeCell ref="EJ740:EN740"/>
    <mergeCell ref="DU745:DY745"/>
    <mergeCell ref="DU743:DY743"/>
    <mergeCell ref="ET746:EX746"/>
    <mergeCell ref="EZ747:FD747"/>
    <mergeCell ref="FE747:FI747"/>
    <mergeCell ref="FJ747:FN747"/>
    <mergeCell ref="FO747:FS747"/>
    <mergeCell ref="FT748:FX748"/>
    <mergeCell ref="FT741:FX741"/>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EZ739:FD739"/>
    <mergeCell ref="FE739:FI739"/>
    <mergeCell ref="FJ739:FN739"/>
    <mergeCell ref="FO739:FS739"/>
    <mergeCell ref="FY739:GC739"/>
    <mergeCell ref="FO748:FS748"/>
    <mergeCell ref="FO741:FS741"/>
    <mergeCell ref="FT759:FX759"/>
    <mergeCell ref="FY759:GC759"/>
    <mergeCell ref="DU742:DY742"/>
    <mergeCell ref="FE728:FI728"/>
    <mergeCell ref="FJ728:FN728"/>
    <mergeCell ref="FO728:FS728"/>
    <mergeCell ref="FE725:FI725"/>
    <mergeCell ref="FJ725:FN725"/>
    <mergeCell ref="FO732:FS732"/>
    <mergeCell ref="FE735:FI735"/>
    <mergeCell ref="FJ735:FN735"/>
    <mergeCell ref="FO735:FS735"/>
    <mergeCell ref="EJ742:EN742"/>
    <mergeCell ref="EE741:EI741"/>
    <mergeCell ref="ET740:EX740"/>
    <mergeCell ref="ET729:EX729"/>
    <mergeCell ref="EE728:EI728"/>
    <mergeCell ref="DU738:DY738"/>
    <mergeCell ref="EE736:EI736"/>
    <mergeCell ref="EJ736:EN736"/>
    <mergeCell ref="EO735:ES735"/>
    <mergeCell ref="EJ741:EN741"/>
    <mergeCell ref="EZ740:FD740"/>
    <mergeCell ref="FE740:FI740"/>
    <mergeCell ref="FJ740:FN740"/>
    <mergeCell ref="EZ734:FD734"/>
    <mergeCell ref="FJ738:FN738"/>
    <mergeCell ref="DU733:DY733"/>
    <mergeCell ref="DU731:DY731"/>
    <mergeCell ref="DZ731:ED731"/>
    <mergeCell ref="DU732:DY732"/>
    <mergeCell ref="DZ727:ED727"/>
    <mergeCell ref="EO738:ES738"/>
    <mergeCell ref="ET738:EX738"/>
    <mergeCell ref="FT739:FX739"/>
    <mergeCell ref="ER669:EV669"/>
    <mergeCell ref="EH667:EL667"/>
    <mergeCell ref="EC669:EG669"/>
    <mergeCell ref="EH669:EL669"/>
    <mergeCell ref="EM659:EQ659"/>
    <mergeCell ref="ER674:EV674"/>
    <mergeCell ref="DX657:EB657"/>
    <mergeCell ref="DX663:EB663"/>
    <mergeCell ref="DX664:EB664"/>
    <mergeCell ref="EC664:EG664"/>
    <mergeCell ref="EM657:EQ657"/>
    <mergeCell ref="EM660:EQ660"/>
    <mergeCell ref="EH654:EL654"/>
    <mergeCell ref="EM669:EQ669"/>
    <mergeCell ref="DU739:DY739"/>
    <mergeCell ref="EW655:FA655"/>
    <mergeCell ref="EW658:FA658"/>
    <mergeCell ref="EW656:FA656"/>
    <mergeCell ref="EH678:EL678"/>
    <mergeCell ref="ER664:EV664"/>
    <mergeCell ref="EC677:EG677"/>
    <mergeCell ref="EH677:EL677"/>
    <mergeCell ref="EM677:EQ677"/>
    <mergeCell ref="FT725:FX725"/>
    <mergeCell ref="EO732:ES732"/>
    <mergeCell ref="ET732:EX732"/>
    <mergeCell ref="EO734:ES734"/>
    <mergeCell ref="ET734:EX734"/>
    <mergeCell ref="ET730:EX730"/>
    <mergeCell ref="ET728:EX728"/>
    <mergeCell ref="FO725:FS725"/>
    <mergeCell ref="EW678:FA678"/>
    <mergeCell ref="EW664:FA664"/>
    <mergeCell ref="ER658:EV658"/>
    <mergeCell ref="EM658:EQ658"/>
    <mergeCell ref="DX661:EB661"/>
    <mergeCell ref="EC661:EG661"/>
    <mergeCell ref="DX662:EB662"/>
    <mergeCell ref="ER649:EV649"/>
    <mergeCell ref="EH649:EL649"/>
    <mergeCell ref="EW652:FA652"/>
    <mergeCell ref="DX653:EB653"/>
    <mergeCell ref="EW649:FA649"/>
    <mergeCell ref="EW674:FA674"/>
    <mergeCell ref="EW662:FA662"/>
    <mergeCell ref="DX655:EB655"/>
    <mergeCell ref="EH652:EL652"/>
    <mergeCell ref="ER677:EV677"/>
    <mergeCell ref="ER676:EV676"/>
    <mergeCell ref="EW676:FA676"/>
    <mergeCell ref="EW672:FA672"/>
    <mergeCell ref="DX659:EB659"/>
    <mergeCell ref="EC659:EG659"/>
    <mergeCell ref="EM676:EQ676"/>
    <mergeCell ref="DX678:EB678"/>
    <mergeCell ref="EM672:EQ672"/>
    <mergeCell ref="ER672:EV672"/>
    <mergeCell ref="EC675:EG675"/>
    <mergeCell ref="EH675:EL675"/>
    <mergeCell ref="EM674:EQ674"/>
    <mergeCell ref="EC672:EG672"/>
    <mergeCell ref="EH660:EL660"/>
    <mergeCell ref="EC648:EG648"/>
    <mergeCell ref="EW648:FA648"/>
    <mergeCell ref="ER651:EV651"/>
    <mergeCell ref="ER648:EV648"/>
    <mergeCell ref="EH650:EL650"/>
    <mergeCell ref="EM650:EQ650"/>
    <mergeCell ref="ER650:EV650"/>
    <mergeCell ref="EW646:FA646"/>
    <mergeCell ref="ER656:EV656"/>
    <mergeCell ref="ER655:EV655"/>
    <mergeCell ref="EH653:EL653"/>
    <mergeCell ref="EM653:EQ653"/>
    <mergeCell ref="EH648:EL648"/>
    <mergeCell ref="EM648:EQ648"/>
    <mergeCell ref="DX647:EB647"/>
    <mergeCell ref="EO727:ES727"/>
    <mergeCell ref="ET727:EX727"/>
    <mergeCell ref="DZ725:ED725"/>
    <mergeCell ref="EJ726:EN726"/>
    <mergeCell ref="EH672:EL672"/>
    <mergeCell ref="DX674:EB674"/>
    <mergeCell ref="EC674:EG674"/>
    <mergeCell ref="EC649:EG649"/>
    <mergeCell ref="EC651:EG651"/>
    <mergeCell ref="EC650:EG650"/>
    <mergeCell ref="ET736:EX736"/>
    <mergeCell ref="ET726:EX726"/>
    <mergeCell ref="EE727:EI727"/>
    <mergeCell ref="DZ728:ED728"/>
    <mergeCell ref="EJ727:EN727"/>
    <mergeCell ref="ET733:EX733"/>
    <mergeCell ref="DZ733:ED73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W659:FA659"/>
    <mergeCell ref="EW657:FA657"/>
    <mergeCell ref="ER647:EV647"/>
    <mergeCell ref="EH651:EL651"/>
    <mergeCell ref="EM651:EQ651"/>
    <mergeCell ref="EC656:EG656"/>
    <mergeCell ref="EW647:FA647"/>
    <mergeCell ref="EO742:ES742"/>
    <mergeCell ref="EE742:EI742"/>
    <mergeCell ref="DO733:DS733"/>
    <mergeCell ref="DO729:DS729"/>
    <mergeCell ref="DO738:DS738"/>
    <mergeCell ref="DO739:DS739"/>
    <mergeCell ref="DO735:DS735"/>
    <mergeCell ref="DO736:DS736"/>
    <mergeCell ref="DO731:DS731"/>
    <mergeCell ref="DO732:DS732"/>
    <mergeCell ref="EM662:EQ662"/>
    <mergeCell ref="ER662:EV662"/>
    <mergeCell ref="EZ728:FD728"/>
    <mergeCell ref="ET739:EX739"/>
    <mergeCell ref="EJ735:EN735"/>
    <mergeCell ref="EO737:ES737"/>
    <mergeCell ref="ET737:EX737"/>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Z725:FD725"/>
    <mergeCell ref="DZ738:ED738"/>
    <mergeCell ref="EJ738:EN738"/>
    <mergeCell ref="ET741:EX741"/>
    <mergeCell ref="EO741:ES741"/>
    <mergeCell ref="DU737:DY737"/>
    <mergeCell ref="ER663:EV663"/>
    <mergeCell ref="EW669:FA669"/>
    <mergeCell ref="ER659:EV659"/>
    <mergeCell ref="EW660:FA660"/>
    <mergeCell ref="ER665:EV665"/>
    <mergeCell ref="EW665:FA665"/>
    <mergeCell ref="ET725:EX725"/>
    <mergeCell ref="EE737:EI737"/>
    <mergeCell ref="EO739:ES739"/>
    <mergeCell ref="DZ732:ED732"/>
    <mergeCell ref="ET731:EX731"/>
    <mergeCell ref="EE733:EI733"/>
    <mergeCell ref="EM678:EQ678"/>
    <mergeCell ref="EE734:EI734"/>
    <mergeCell ref="EJ734:EN734"/>
    <mergeCell ref="EW668:FA668"/>
    <mergeCell ref="DX669:EB669"/>
    <mergeCell ref="ER660:EV660"/>
    <mergeCell ref="EE738:EI738"/>
    <mergeCell ref="EM675:EQ675"/>
    <mergeCell ref="ER675:EV675"/>
    <mergeCell ref="EW675:FA675"/>
    <mergeCell ref="ER678:EV678"/>
    <mergeCell ref="DX677:EB677"/>
    <mergeCell ref="EC678:EG678"/>
    <mergeCell ref="DU735:DY735"/>
    <mergeCell ref="EZ736:FD736"/>
    <mergeCell ref="EO736:ES736"/>
    <mergeCell ref="EO746:ES746"/>
    <mergeCell ref="FJ743:FN743"/>
    <mergeCell ref="DO747:DS747"/>
    <mergeCell ref="ET760:EX760"/>
    <mergeCell ref="EO759:ES759"/>
    <mergeCell ref="ET761:EX761"/>
    <mergeCell ref="FE752:FI752"/>
    <mergeCell ref="DO745:DS745"/>
    <mergeCell ref="ER657:EV657"/>
    <mergeCell ref="DJ728:DN728"/>
    <mergeCell ref="DJ725:DN725"/>
    <mergeCell ref="DJ730:DN730"/>
    <mergeCell ref="DO740:DS740"/>
    <mergeCell ref="ET742:EX742"/>
    <mergeCell ref="EH664:EL664"/>
    <mergeCell ref="EM664:EQ664"/>
    <mergeCell ref="EH668:EL668"/>
    <mergeCell ref="EM668:EQ668"/>
    <mergeCell ref="DX673:EB673"/>
    <mergeCell ref="DO741:DS741"/>
    <mergeCell ref="DO742:DS742"/>
    <mergeCell ref="ET744:EX744"/>
    <mergeCell ref="EE743:EI743"/>
    <mergeCell ref="DZ737:ED737"/>
    <mergeCell ref="ET735:EX735"/>
    <mergeCell ref="DZ745:ED745"/>
    <mergeCell ref="DJ742:DN742"/>
    <mergeCell ref="EW677:FA677"/>
    <mergeCell ref="EH661:EL661"/>
    <mergeCell ref="EM661:EQ661"/>
    <mergeCell ref="ER661:EV661"/>
    <mergeCell ref="EW663:FA663"/>
    <mergeCell ref="EZ741:FD741"/>
    <mergeCell ref="FE741:FI741"/>
    <mergeCell ref="FJ741:FN741"/>
    <mergeCell ref="ET748:EX748"/>
    <mergeCell ref="Z644:AB644"/>
    <mergeCell ref="Z645:AB645"/>
    <mergeCell ref="Z646:AB646"/>
    <mergeCell ref="W635:Y635"/>
    <mergeCell ref="EE759:EI759"/>
    <mergeCell ref="DU759:DY759"/>
    <mergeCell ref="DZ759:ED759"/>
    <mergeCell ref="DU760:DY760"/>
    <mergeCell ref="DZ760:ED760"/>
    <mergeCell ref="DJ760:DN760"/>
    <mergeCell ref="EZ761:FD761"/>
    <mergeCell ref="DJ761:DN761"/>
    <mergeCell ref="CI761:CJ761"/>
    <mergeCell ref="EM649:EQ649"/>
    <mergeCell ref="FE761:FI761"/>
    <mergeCell ref="EJ743:EN743"/>
    <mergeCell ref="EO743:ES743"/>
    <mergeCell ref="DZ743:ED743"/>
    <mergeCell ref="FJ748:FN748"/>
    <mergeCell ref="ET745:EX745"/>
    <mergeCell ref="EJ761:EN761"/>
    <mergeCell ref="DO748:DS748"/>
    <mergeCell ref="DJ748:DN748"/>
    <mergeCell ref="DO759:DS759"/>
    <mergeCell ref="DO760:DS760"/>
    <mergeCell ref="EE753:EI753"/>
    <mergeCell ref="DU757:DY757"/>
    <mergeCell ref="DZ757:ED757"/>
    <mergeCell ref="EO760:ES760"/>
    <mergeCell ref="EJ760:EN760"/>
    <mergeCell ref="DO755:DS755"/>
    <mergeCell ref="DU753:DY753"/>
    <mergeCell ref="DZ753:ED753"/>
    <mergeCell ref="DO758:DS758"/>
    <mergeCell ref="DO753:DS753"/>
    <mergeCell ref="DE754:DI754"/>
    <mergeCell ref="DO750:DS750"/>
    <mergeCell ref="DJ746:DN746"/>
    <mergeCell ref="EH645:EL645"/>
    <mergeCell ref="T632:V634"/>
    <mergeCell ref="ET759:EX759"/>
    <mergeCell ref="EJ759:EN759"/>
    <mergeCell ref="EO747:ES747"/>
    <mergeCell ref="ET747:EX747"/>
    <mergeCell ref="DJ781:DN781"/>
    <mergeCell ref="AO642:AS642"/>
    <mergeCell ref="CZ781:DD781"/>
    <mergeCell ref="AF643:AJ643"/>
    <mergeCell ref="AO643:AS643"/>
    <mergeCell ref="DO762:DS762"/>
    <mergeCell ref="DO754:DS754"/>
    <mergeCell ref="DO746:DS746"/>
    <mergeCell ref="DU744:DY744"/>
    <mergeCell ref="EE745:EI745"/>
    <mergeCell ref="EJ745:EN745"/>
    <mergeCell ref="DZ744:ED744"/>
    <mergeCell ref="EE744:EI744"/>
    <mergeCell ref="EJ744:EN744"/>
    <mergeCell ref="ET743:EX743"/>
    <mergeCell ref="EJ747:EN747"/>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EE796:EI796"/>
    <mergeCell ref="EE797:EI797"/>
    <mergeCell ref="DJ758:DN758"/>
    <mergeCell ref="DE759:DI759"/>
    <mergeCell ref="EE760:EI760"/>
    <mergeCell ref="DE752:DI752"/>
    <mergeCell ref="DU749:DY749"/>
    <mergeCell ref="DZ749:ED749"/>
    <mergeCell ref="EE795:EI795"/>
    <mergeCell ref="DZ795:ED795"/>
    <mergeCell ref="DJ785:DN785"/>
    <mergeCell ref="CZ782:DD782"/>
    <mergeCell ref="DJ782:DN782"/>
    <mergeCell ref="CU782:CY782"/>
    <mergeCell ref="DJ753:DN753"/>
    <mergeCell ref="DE750:DI750"/>
    <mergeCell ref="CZ758:DD758"/>
    <mergeCell ref="CP758:CT758"/>
    <mergeCell ref="CU758:CY758"/>
    <mergeCell ref="CP795:CT795"/>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E758:DI758"/>
    <mergeCell ref="CZ751:DD751"/>
    <mergeCell ref="DE751:DI751"/>
    <mergeCell ref="DJ755:DN755"/>
    <mergeCell ref="CU759:CY759"/>
    <mergeCell ref="CU784:CY784"/>
    <mergeCell ref="DU746:DY746"/>
    <mergeCell ref="EO761:ES761"/>
    <mergeCell ref="EJ748:EN748"/>
    <mergeCell ref="EO753:ES753"/>
    <mergeCell ref="DE746:DI746"/>
    <mergeCell ref="EO745:ES745"/>
    <mergeCell ref="EO748:ES748"/>
    <mergeCell ref="CK753:CL753"/>
    <mergeCell ref="EM670:EQ670"/>
    <mergeCell ref="ER670:EV670"/>
    <mergeCell ref="DE748:DI748"/>
    <mergeCell ref="DU748:DY748"/>
    <mergeCell ref="DZ748:ED748"/>
    <mergeCell ref="EE748:EI748"/>
    <mergeCell ref="CP799:CT799"/>
    <mergeCell ref="CP798:CT798"/>
    <mergeCell ref="AK731:AO731"/>
    <mergeCell ref="AK732:AO732"/>
    <mergeCell ref="AK733:AO733"/>
    <mergeCell ref="CZ761:DD761"/>
    <mergeCell ref="DJ783:DN783"/>
    <mergeCell ref="CU747:CY747"/>
    <mergeCell ref="DZ761:ED761"/>
    <mergeCell ref="DE782:DI782"/>
    <mergeCell ref="DZ746:ED746"/>
    <mergeCell ref="EE746:EI746"/>
    <mergeCell ref="EJ746:EN746"/>
    <mergeCell ref="CK759:CL759"/>
    <mergeCell ref="CP783:CT783"/>
    <mergeCell ref="CP784:CT784"/>
    <mergeCell ref="DE784:DI784"/>
    <mergeCell ref="DO782:DS782"/>
    <mergeCell ref="DU761:DY761"/>
    <mergeCell ref="EE761:EI761"/>
    <mergeCell ref="DJ784:DN784"/>
    <mergeCell ref="DO784:DS784"/>
    <mergeCell ref="DO783:DS783"/>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J730:EN730"/>
    <mergeCell ref="DE729:DI729"/>
    <mergeCell ref="DE731:DI731"/>
    <mergeCell ref="CM727:CN727"/>
    <mergeCell ref="CZ728:DD728"/>
    <mergeCell ref="DE736:DI736"/>
    <mergeCell ref="CG735:CH735"/>
    <mergeCell ref="CZ736:DD736"/>
    <mergeCell ref="DJ733:DN733"/>
    <mergeCell ref="CI731:CJ731"/>
    <mergeCell ref="Z685:AK685"/>
    <mergeCell ref="X728:AB728"/>
    <mergeCell ref="CP726:CT72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C642:L642"/>
    <mergeCell ref="AK636:AN636"/>
    <mergeCell ref="M568:P568"/>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M573:P573"/>
    <mergeCell ref="AE569:AH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AE567:AH567"/>
    <mergeCell ref="AO635:AS635"/>
    <mergeCell ref="AG599:AH599"/>
    <mergeCell ref="AM565:AS565"/>
    <mergeCell ref="Z596:AK596"/>
    <mergeCell ref="W571:Y571"/>
    <mergeCell ref="W572:Y572"/>
    <mergeCell ref="W573:Y573"/>
    <mergeCell ref="AF582:AK582"/>
    <mergeCell ref="Z593:AK593"/>
    <mergeCell ref="AH525:AK525"/>
    <mergeCell ref="AM569:AS569"/>
    <mergeCell ref="Z573:AD573"/>
    <mergeCell ref="Z580:AE580"/>
    <mergeCell ref="AM564:AS564"/>
    <mergeCell ref="Z576:AK576"/>
    <mergeCell ref="G587:R587"/>
    <mergeCell ref="AE573:AH573"/>
    <mergeCell ref="G595:R595"/>
    <mergeCell ref="G586:R586"/>
    <mergeCell ref="G589:L589"/>
    <mergeCell ref="AK641:AN641"/>
    <mergeCell ref="G663:L663"/>
    <mergeCell ref="H664:R664"/>
    <mergeCell ref="AC741:AG741"/>
    <mergeCell ref="AG657:AH657"/>
    <mergeCell ref="H696:R696"/>
    <mergeCell ref="X739:AB739"/>
    <mergeCell ref="AE707:AI707"/>
    <mergeCell ref="K738:N738"/>
    <mergeCell ref="W708:AK708"/>
    <mergeCell ref="Z691:AK691"/>
    <mergeCell ref="AA696:AK696"/>
    <mergeCell ref="AE710:AF710"/>
    <mergeCell ref="T734:W734"/>
    <mergeCell ref="Q642:S642"/>
    <mergeCell ref="AK644:AN644"/>
    <mergeCell ref="G692:R692"/>
    <mergeCell ref="K727:N727"/>
    <mergeCell ref="G736:J736"/>
    <mergeCell ref="AC738:AG738"/>
    <mergeCell ref="G738:J738"/>
    <mergeCell ref="X738:AB738"/>
    <mergeCell ref="AC737:AG737"/>
    <mergeCell ref="O736:S736"/>
    <mergeCell ref="C645:L645"/>
    <mergeCell ref="G668:R668"/>
    <mergeCell ref="AF645:AJ645"/>
    <mergeCell ref="C640:L640"/>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M569:P569"/>
    <mergeCell ref="C573:L573"/>
    <mergeCell ref="W566:Y566"/>
    <mergeCell ref="AE566:AH566"/>
    <mergeCell ref="C565:L565"/>
    <mergeCell ref="G601:R601"/>
    <mergeCell ref="C571:L571"/>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D1062:AI1062"/>
    <mergeCell ref="D1058:AE1058"/>
    <mergeCell ref="D1041:AE1041"/>
    <mergeCell ref="D1059:AE1060"/>
    <mergeCell ref="X1057:Y1057"/>
    <mergeCell ref="X1061:Y1061"/>
    <mergeCell ref="I1057:J1057"/>
    <mergeCell ref="I1061:J1061"/>
    <mergeCell ref="AG1058:AH105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7" priority="8">
      <formula>0=$B$1069</formula>
    </cfRule>
  </conditionalFormatting>
  <conditionalFormatting sqref="C563:C573 Q563:AS573 Q636:Z646 AC636:AS646">
    <cfRule type="expression" dxfId="106" priority="25">
      <formula>$AT563="!"</formula>
    </cfRule>
  </conditionalFormatting>
  <conditionalFormatting sqref="C636:C646">
    <cfRule type="expression" dxfId="105" priority="24">
      <formula>$AT636="!"</formula>
    </cfRule>
  </conditionalFormatting>
  <conditionalFormatting sqref="C903:T904">
    <cfRule type="expression" dxfId="104" priority="10">
      <formula>AND(AC903&lt;&gt;"",OR(C903="Other (Specify):",C903=""))</formula>
    </cfRule>
  </conditionalFormatting>
  <conditionalFormatting sqref="D213">
    <cfRule type="expression" dxfId="103" priority="266">
      <formula>AND($Q$212&gt;0,$T$212&lt;75%)</formula>
    </cfRule>
  </conditionalFormatting>
  <conditionalFormatting sqref="D216">
    <cfRule type="expression" dxfId="102" priority="33">
      <formula>NOT($D$211="At-Risk")</formula>
    </cfRule>
  </conditionalFormatting>
  <conditionalFormatting sqref="D215:U215">
    <cfRule type="expression" dxfId="101" priority="37">
      <formula>NOT(OR($D$214="Seniors",$D$211="Seniors"))</formula>
    </cfRule>
  </conditionalFormatting>
  <conditionalFormatting sqref="D214:Z214">
    <cfRule type="expression" dxfId="100" priority="267">
      <formula>AND($Q$212&gt;0,$T$212&lt;75%)</formula>
    </cfRule>
  </conditionalFormatting>
  <conditionalFormatting sqref="E715:AK715">
    <cfRule type="expression" dxfId="99" priority="23">
      <formula>AND($W$714="Other",OR($E$715="(specify here)",$E$715=""))</formula>
    </cfRule>
  </conditionalFormatting>
  <conditionalFormatting sqref="F839:L839">
    <cfRule type="expression" dxfId="98" priority="18">
      <formula>AND(OR(M839&lt;&gt;"",$Q$819&lt;&gt;"",$U$819&lt;&gt;"",$Y$819&lt;&gt;"",$AC$819&lt;&gt;"",$AG$819&lt;&gt;"",SUM($M$839:$AJ$839)&gt;0),OR(F839="(specify here)",F839=""))</formula>
    </cfRule>
  </conditionalFormatting>
  <conditionalFormatting sqref="F466:AB466">
    <cfRule type="expression" dxfId="97" priority="7">
      <formula>$AC$463=""</formula>
    </cfRule>
  </conditionalFormatting>
  <conditionalFormatting sqref="G1064:AN1069">
    <cfRule type="expression" dxfId="96" priority="4">
      <formula>OR($Z$205="15% set-aside",$Z$205="15% set-aside with qualifying low value rehab")</formula>
    </cfRule>
  </conditionalFormatting>
  <conditionalFormatting sqref="L516:X516">
    <cfRule type="expression" dxfId="95" priority="32">
      <formula>AND(NOT(AC516="N/A"),AH516&lt;&gt;"",OR(L516="(specify here)",L516=""))</formula>
    </cfRule>
  </conditionalFormatting>
  <conditionalFormatting sqref="M854:V854">
    <cfRule type="expression" dxfId="94" priority="17">
      <formula>AND(W854&lt;&gt;"",OR(M854="(specify here)",M854=""))</formula>
    </cfRule>
  </conditionalFormatting>
  <conditionalFormatting sqref="M869:V869">
    <cfRule type="expression" dxfId="93" priority="16">
      <formula>AND(W869&lt;&gt;"",OR(M869="(specify here)",M869=""))</formula>
    </cfRule>
  </conditionalFormatting>
  <conditionalFormatting sqref="M880:V880">
    <cfRule type="expression" dxfId="92" priority="15">
      <formula>AND(W880&lt;&gt;"",OR(M880="(specify here)",M880=""))</formula>
    </cfRule>
  </conditionalFormatting>
  <conditionalFormatting sqref="M883:V887">
    <cfRule type="expression" dxfId="91" priority="14">
      <formula>AND(W883&lt;&gt;"",OR(M883="(specify here)",M883=""))</formula>
    </cfRule>
  </conditionalFormatting>
  <conditionalFormatting sqref="O528:AA528">
    <cfRule type="expression" dxfId="90" priority="31">
      <formula>AND(OR(AND(NOT(AC528="N/A"),AH528&lt;&gt;""),AND(NOT(AC529="N/A"),AH529&lt;&gt;""),AND(NOT(AC530="N/A"),AH530&lt;&gt;"")),OR(O528="(specify here)",O528=""))</formula>
    </cfRule>
  </conditionalFormatting>
  <conditionalFormatting sqref="O531:AA531">
    <cfRule type="expression" dxfId="89" priority="30">
      <formula>AND(OR(AND(NOT(AC531="N/A"),AH531&lt;&gt;""),AND(NOT(AC532="N/A"),AH532&lt;&gt;""),AND(NOT(AC533="N/A"),AH533&lt;&gt;"")),OR(O531="(specify here)",O531=""))</formula>
    </cfRule>
  </conditionalFormatting>
  <conditionalFormatting sqref="O534:AA534">
    <cfRule type="expression" dxfId="88" priority="29">
      <formula>AND(OR(AND(NOT(AC534="N/A"),AH534&lt;&gt;""),AND(NOT(AC535="N/A"),AH535&lt;&gt;""),AND(NOT(AC536="N/A"),AH536&lt;&gt;"")),OR(O534="(specify here)",O534=""))</formula>
    </cfRule>
  </conditionalFormatting>
  <conditionalFormatting sqref="O537:AA537">
    <cfRule type="expression" dxfId="87" priority="28">
      <formula>AND(OR(AND(NOT(AC537="N/A"),AH537&lt;&gt;""),AND(NOT(AC538="N/A"),AH538&lt;&gt;""),AND(NOT(AC539="N/A"),AH539&lt;&gt;"")),OR(O537="(specify here)",O537=""))</formula>
    </cfRule>
  </conditionalFormatting>
  <conditionalFormatting sqref="O540:AA540">
    <cfRule type="expression" dxfId="86" priority="27">
      <formula>AND(OR(AND(NOT(AC540="N/A"),AH540&lt;&gt;""),AND(NOT(AC541="N/A"),AH541&lt;&gt;""),AND(NOT(AC542="N/A"),AH542&lt;&gt;"")),OR(O540="(specify here)",O540=""))</formula>
    </cfRule>
  </conditionalFormatting>
  <conditionalFormatting sqref="O543:AA543">
    <cfRule type="expression" dxfId="85" priority="26">
      <formula>AND(OR(AND(NOT(AC543="N/A"),AH543&lt;&gt;""),AND(NOT(AC544="N/A"),AH544&lt;&gt;""),AND(NOT(AC545="N/A"),AH545&lt;&gt;"")),OR(O543="(specify here)",O543=""))</formula>
    </cfRule>
  </conditionalFormatting>
  <conditionalFormatting sqref="P824:Y824">
    <cfRule type="expression" dxfId="84" priority="19">
      <formula>AND(Z824&lt;&gt;"",OR(P824="(specify here)",P824=""))</formula>
    </cfRule>
  </conditionalFormatting>
  <conditionalFormatting sqref="T212:U212">
    <cfRule type="expression" dxfId="83" priority="6">
      <formula>AND($T$212=0,$Q$212="")</formula>
    </cfRule>
  </conditionalFormatting>
  <conditionalFormatting sqref="U903:U904">
    <cfRule type="expression" dxfId="82" priority="263">
      <formula>AND(AU887&lt;&gt;"",OR(U903="Other (Specify):",U903=""))</formula>
    </cfRule>
  </conditionalFormatting>
  <conditionalFormatting sqref="V903:AB904">
    <cfRule type="expression" dxfId="81" priority="264">
      <formula>AND(AV897&lt;&gt;"",OR(V903="Other (Specify):",V903=""))</formula>
    </cfRule>
  </conditionalFormatting>
  <conditionalFormatting sqref="W983:AG983">
    <cfRule type="expression" dxfId="80" priority="9">
      <formula>AND($AA$962&lt;&gt;"",OR($W$961="",$W$961="(specify here)"))</formula>
    </cfRule>
  </conditionalFormatting>
  <conditionalFormatting sqref="Y224">
    <cfRule type="expression" dxfId="79" priority="1">
      <formula>$AC$463=""</formula>
    </cfRule>
  </conditionalFormatting>
  <conditionalFormatting sqref="Y516:AB516">
    <cfRule type="expression" dxfId="78" priority="265">
      <formula>AND(NOT(AP516="N/A"),AU515&lt;&gt;"",OR(Y516="(specify here)",Y516=""))</formula>
    </cfRule>
  </conditionalFormatting>
  <conditionalFormatting sqref="AA927:AF927">
    <cfRule type="expression" dxfId="77" priority="3">
      <formula>NOT($AA$927=$AW$927)</formula>
    </cfRule>
  </conditionalFormatting>
  <conditionalFormatting sqref="AA1066:AF1066">
    <cfRule type="expression" dxfId="76" priority="5">
      <formula>OR($Z$205="15% set-aside",$Z$205="15% set-aside with qualifying low value rehab")</formula>
    </cfRule>
  </conditionalFormatting>
  <conditionalFormatting sqref="AA215:AO215">
    <cfRule type="expression" dxfId="75" priority="38">
      <formula>NOT(OR($D$214="Seniors",$D$211="Seniors"))</formula>
    </cfRule>
  </conditionalFormatting>
  <conditionalFormatting sqref="AB216:AM216">
    <cfRule type="expression" dxfId="74" priority="34">
      <formula>NOT($D$211="At-Risk")</formula>
    </cfRule>
  </conditionalFormatting>
  <conditionalFormatting sqref="AF1030">
    <cfRule type="cellIs" dxfId="73" priority="44" stopIfTrue="1" operator="equal">
      <formula>"Please Enter Amount:"</formula>
    </cfRule>
  </conditionalFormatting>
  <conditionalFormatting sqref="AF1035">
    <cfRule type="cellIs" dxfId="72" priority="41" stopIfTrue="1" operator="equal">
      <formula>"Please Enter Amount:"</formula>
    </cfRule>
  </conditionalFormatting>
  <conditionalFormatting sqref="AF1042">
    <cfRule type="cellIs" dxfId="71" priority="42" stopIfTrue="1" operator="equal">
      <formula>"Please Enter Amount:"</formula>
    </cfRule>
  </conditionalFormatting>
  <conditionalFormatting sqref="AG450:AJ450">
    <cfRule type="expression" dxfId="70" priority="48" stopIfTrue="1">
      <formula>"iserror(d31)"</formula>
    </cfRule>
  </conditionalFormatting>
  <conditionalFormatting sqref="AJ1054">
    <cfRule type="cellIs" dxfId="69" priority="47" stopIfTrue="1" operator="equal">
      <formula>"#DIV/0!"</formula>
    </cfRule>
  </conditionalFormatting>
  <conditionalFormatting sqref="AX305:BT306">
    <cfRule type="expression" dxfId="68"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2" ySplit="3" topLeftCell="C92" activePane="bottomRight" state="frozen"/>
      <selection pane="topRight" activeCell="C1" sqref="C1"/>
      <selection pane="bottomLeft" activeCell="A4" sqref="A4"/>
      <selection pane="bottomRight" activeCell="E99" sqref="E99:G99"/>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548</v>
      </c>
      <c r="B1" s="125"/>
      <c r="C1" s="125"/>
      <c r="D1" s="125"/>
      <c r="E1" s="126"/>
      <c r="F1" s="2133" t="s">
        <v>620</v>
      </c>
      <c r="G1" s="2134"/>
      <c r="H1" s="2134"/>
      <c r="I1" s="2134"/>
      <c r="J1" s="2134"/>
      <c r="K1" s="2134"/>
      <c r="L1" s="2134"/>
      <c r="M1" s="2134"/>
      <c r="N1" s="2134"/>
      <c r="O1" s="2134"/>
      <c r="P1" s="2134"/>
      <c r="Q1" s="2134"/>
      <c r="R1" s="2135"/>
      <c r="S1" s="112"/>
      <c r="T1" s="111"/>
      <c r="U1" s="113"/>
    </row>
    <row r="2" spans="1:21" s="138" customFormat="1" ht="71.25" customHeight="1">
      <c r="A2" s="137"/>
      <c r="B2" s="138" t="s">
        <v>23</v>
      </c>
      <c r="C2" s="138" t="s">
        <v>373</v>
      </c>
      <c r="D2" s="138" t="s">
        <v>372</v>
      </c>
      <c r="E2" s="138" t="s">
        <v>24</v>
      </c>
      <c r="F2" s="139" t="str">
        <f>Application!B635&amp;Application!C635</f>
        <v>1)Citibank</v>
      </c>
      <c r="G2" s="139" t="str">
        <f>Application!B636&amp;Application!C636</f>
        <v>2)Citibank</v>
      </c>
      <c r="H2" s="139" t="str">
        <f>Application!B637&amp;Application!C637</f>
        <v>3)NOI During Lease Up</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C4-SUM(F4:K4)</f>
        <v>1</v>
      </c>
      <c r="F4" s="147"/>
      <c r="G4" s="147"/>
      <c r="H4" s="147"/>
      <c r="I4" s="147"/>
      <c r="J4" s="147"/>
      <c r="K4" s="147"/>
      <c r="L4" s="147"/>
      <c r="M4" s="147"/>
      <c r="N4" s="147"/>
      <c r="O4" s="147"/>
      <c r="P4" s="147"/>
      <c r="Q4" s="147"/>
      <c r="R4" s="514">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4">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4">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4">
        <f>SUM(E7:Q7)</f>
        <v>0</v>
      </c>
      <c r="S7" s="148"/>
      <c r="T7" s="148"/>
      <c r="U7" s="143"/>
    </row>
    <row r="8" spans="1:21" s="144" customFormat="1">
      <c r="A8" s="149" t="s">
        <v>592</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0">
        <f>SUM(R4:R7)</f>
        <v>1</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4">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4">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0">
        <f>SUM(R9:R10)</f>
        <v>0</v>
      </c>
      <c r="S11" s="148"/>
      <c r="T11" s="150">
        <f>SUM(T9:T10)</f>
        <v>0</v>
      </c>
      <c r="U11" s="143"/>
    </row>
    <row r="12" spans="1:21" s="144" customFormat="1">
      <c r="A12" s="149" t="s">
        <v>84</v>
      </c>
      <c r="B12" s="146">
        <f t="shared" ref="B12:Q12" si="2">SUM(B8+B11)</f>
        <v>1</v>
      </c>
      <c r="C12" s="146">
        <f t="shared" si="2"/>
        <v>1</v>
      </c>
      <c r="D12" s="146">
        <f t="shared" si="2"/>
        <v>0</v>
      </c>
      <c r="E12" s="146">
        <f t="shared" si="2"/>
        <v>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0">
        <f>SUM(R8+R11)</f>
        <v>1</v>
      </c>
      <c r="S12" s="148"/>
      <c r="T12" s="148"/>
      <c r="U12" s="143"/>
    </row>
    <row r="13" spans="1:21" s="144" customFormat="1">
      <c r="A13" s="285" t="s">
        <v>899</v>
      </c>
      <c r="B13" s="146">
        <f>SUM(C13+D13)</f>
        <v>65000</v>
      </c>
      <c r="C13" s="147">
        <v>65000</v>
      </c>
      <c r="D13" s="147"/>
      <c r="E13" s="147">
        <f t="shared" ref="E13" si="3">C13-SUM(F13:K13)</f>
        <v>65000</v>
      </c>
      <c r="F13" s="147"/>
      <c r="G13" s="147"/>
      <c r="H13" s="147"/>
      <c r="I13" s="147"/>
      <c r="J13" s="147"/>
      <c r="K13" s="147"/>
      <c r="L13" s="147"/>
      <c r="M13" s="147"/>
      <c r="N13" s="147"/>
      <c r="O13" s="147"/>
      <c r="P13" s="147"/>
      <c r="Q13" s="147"/>
      <c r="R13" s="514">
        <f>SUM(E13:Q13)</f>
        <v>65000</v>
      </c>
      <c r="S13" s="147">
        <v>50000</v>
      </c>
      <c r="T13" s="147"/>
      <c r="U13" s="143"/>
    </row>
    <row r="14" spans="1:21" s="144" customFormat="1" ht="24">
      <c r="A14" s="286" t="s">
        <v>1629</v>
      </c>
      <c r="B14" s="146">
        <f>SUM(C14+D14)</f>
        <v>0</v>
      </c>
      <c r="C14" s="147"/>
      <c r="D14" s="147"/>
      <c r="E14" s="147"/>
      <c r="F14" s="147"/>
      <c r="G14" s="147"/>
      <c r="H14" s="147"/>
      <c r="I14" s="147"/>
      <c r="J14" s="147"/>
      <c r="K14" s="147"/>
      <c r="L14" s="147"/>
      <c r="M14" s="147"/>
      <c r="N14" s="147"/>
      <c r="O14" s="147"/>
      <c r="P14" s="147"/>
      <c r="Q14" s="147"/>
      <c r="R14" s="514">
        <f>SUM(E14:Q14)</f>
        <v>0</v>
      </c>
      <c r="S14" s="147"/>
      <c r="T14" s="147"/>
      <c r="U14" s="143"/>
    </row>
    <row r="15" spans="1:21" s="144" customFormat="1">
      <c r="A15" s="286" t="s">
        <v>1158</v>
      </c>
      <c r="B15" s="146">
        <f>SUM(C15+D15)</f>
        <v>0</v>
      </c>
      <c r="C15" s="147"/>
      <c r="D15" s="147"/>
      <c r="E15" s="147"/>
      <c r="F15" s="147"/>
      <c r="G15" s="147"/>
      <c r="H15" s="147"/>
      <c r="I15" s="147"/>
      <c r="J15" s="147"/>
      <c r="K15" s="147"/>
      <c r="L15" s="147"/>
      <c r="M15" s="147"/>
      <c r="N15" s="147"/>
      <c r="O15" s="147"/>
      <c r="P15" s="147"/>
      <c r="Q15" s="147"/>
      <c r="R15" s="514">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4">SUM(C17+D17)</f>
        <v>0</v>
      </c>
      <c r="C17" s="147"/>
      <c r="D17" s="147"/>
      <c r="E17" s="147"/>
      <c r="F17" s="147"/>
      <c r="G17" s="147"/>
      <c r="H17" s="147"/>
      <c r="I17" s="147"/>
      <c r="J17" s="147"/>
      <c r="K17" s="147"/>
      <c r="L17" s="147"/>
      <c r="M17" s="147"/>
      <c r="N17" s="147"/>
      <c r="O17" s="147"/>
      <c r="P17" s="147"/>
      <c r="Q17" s="147"/>
      <c r="R17" s="514">
        <f>SUM(E17:Q17)</f>
        <v>0</v>
      </c>
      <c r="S17" s="147"/>
      <c r="T17" s="147"/>
      <c r="U17" s="143"/>
    </row>
    <row r="18" spans="1:21" s="144" customFormat="1">
      <c r="A18" s="145" t="s">
        <v>598</v>
      </c>
      <c r="B18" s="146">
        <f t="shared" si="4"/>
        <v>0</v>
      </c>
      <c r="C18" s="147"/>
      <c r="D18" s="147"/>
      <c r="E18" s="147"/>
      <c r="F18" s="147"/>
      <c r="G18" s="147"/>
      <c r="H18" s="147"/>
      <c r="I18" s="147"/>
      <c r="J18" s="147"/>
      <c r="K18" s="147"/>
      <c r="L18" s="147"/>
      <c r="M18" s="147"/>
      <c r="N18" s="147"/>
      <c r="O18" s="147"/>
      <c r="P18" s="147"/>
      <c r="Q18" s="147"/>
      <c r="R18" s="514">
        <f>SUM(E18:Q18)</f>
        <v>0</v>
      </c>
      <c r="S18" s="147"/>
      <c r="T18" s="147"/>
      <c r="U18" s="143"/>
    </row>
    <row r="19" spans="1:21" s="144" customFormat="1">
      <c r="A19" s="145" t="s">
        <v>599</v>
      </c>
      <c r="B19" s="146">
        <f t="shared" si="4"/>
        <v>0</v>
      </c>
      <c r="C19" s="147"/>
      <c r="D19" s="147"/>
      <c r="E19" s="147"/>
      <c r="F19" s="147"/>
      <c r="G19" s="147"/>
      <c r="H19" s="147"/>
      <c r="I19" s="147"/>
      <c r="J19" s="147"/>
      <c r="K19" s="147"/>
      <c r="L19" s="147"/>
      <c r="M19" s="147"/>
      <c r="N19" s="147"/>
      <c r="O19" s="147"/>
      <c r="P19" s="147"/>
      <c r="Q19" s="147"/>
      <c r="R19" s="514">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4">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4">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4">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4">
        <f t="shared" si="5"/>
        <v>0</v>
      </c>
      <c r="S23" s="147"/>
      <c r="T23" s="147"/>
      <c r="U23" s="143"/>
    </row>
    <row r="24" spans="1:21" s="144" customFormat="1">
      <c r="A24" s="506" t="s">
        <v>1626</v>
      </c>
      <c r="B24" s="146">
        <f t="shared" si="4"/>
        <v>0</v>
      </c>
      <c r="C24" s="147"/>
      <c r="D24" s="147"/>
      <c r="E24" s="147"/>
      <c r="F24" s="147"/>
      <c r="G24" s="147"/>
      <c r="H24" s="147"/>
      <c r="I24" s="147"/>
      <c r="J24" s="147"/>
      <c r="K24" s="147"/>
      <c r="L24" s="147"/>
      <c r="M24" s="147"/>
      <c r="N24" s="147"/>
      <c r="O24" s="147"/>
      <c r="P24" s="147"/>
      <c r="Q24" s="147"/>
      <c r="R24" s="514">
        <f t="shared" si="5"/>
        <v>0</v>
      </c>
      <c r="S24" s="147"/>
      <c r="T24" s="147"/>
      <c r="U24" s="143"/>
    </row>
    <row r="25" spans="1:21" s="144" customFormat="1">
      <c r="A25" s="1138" t="s">
        <v>34</v>
      </c>
      <c r="B25" s="146">
        <f t="shared" si="4"/>
        <v>0</v>
      </c>
      <c r="C25" s="147"/>
      <c r="D25" s="147"/>
      <c r="E25" s="147"/>
      <c r="F25" s="147"/>
      <c r="G25" s="147"/>
      <c r="H25" s="147"/>
      <c r="I25" s="147"/>
      <c r="J25" s="147"/>
      <c r="K25" s="147"/>
      <c r="L25" s="147"/>
      <c r="M25" s="147"/>
      <c r="N25" s="147"/>
      <c r="O25" s="147"/>
      <c r="P25" s="147"/>
      <c r="Q25" s="147"/>
      <c r="R25" s="514">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4">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2356000</v>
      </c>
      <c r="C29" s="147">
        <v>2356000</v>
      </c>
      <c r="D29" s="147"/>
      <c r="E29" s="147">
        <f t="shared" ref="E29:E37" si="8">C29-SUM(F29:K29)</f>
        <v>2356000</v>
      </c>
      <c r="F29" s="147"/>
      <c r="G29" s="147"/>
      <c r="H29" s="147"/>
      <c r="I29" s="147"/>
      <c r="J29" s="147"/>
      <c r="K29" s="147"/>
      <c r="L29" s="147"/>
      <c r="M29" s="147"/>
      <c r="N29" s="147"/>
      <c r="O29" s="147"/>
      <c r="P29" s="147"/>
      <c r="Q29" s="147"/>
      <c r="R29" s="514">
        <f t="shared" ref="R29:R37" si="9">SUM(E29:Q29)</f>
        <v>2356000</v>
      </c>
      <c r="S29" s="147">
        <f>R29</f>
        <v>2356000</v>
      </c>
      <c r="T29" s="147"/>
      <c r="U29" s="143"/>
    </row>
    <row r="30" spans="1:21" s="144" customFormat="1">
      <c r="A30" s="145" t="s">
        <v>598</v>
      </c>
      <c r="B30" s="146">
        <f t="shared" si="7"/>
        <v>27092718</v>
      </c>
      <c r="C30" s="147">
        <f>29448718-C29</f>
        <v>27092718</v>
      </c>
      <c r="D30" s="147"/>
      <c r="E30" s="147">
        <f t="shared" si="8"/>
        <v>26224898</v>
      </c>
      <c r="F30" s="147">
        <f>662820+190000+15000</f>
        <v>867820</v>
      </c>
      <c r="G30" s="147"/>
      <c r="H30" s="147"/>
      <c r="I30" s="147"/>
      <c r="J30" s="147"/>
      <c r="K30" s="147"/>
      <c r="L30" s="147"/>
      <c r="M30" s="147"/>
      <c r="N30" s="147"/>
      <c r="O30" s="147"/>
      <c r="P30" s="147"/>
      <c r="Q30" s="147"/>
      <c r="R30" s="514">
        <f t="shared" si="9"/>
        <v>27092718</v>
      </c>
      <c r="S30" s="147">
        <f>C30</f>
        <v>27092718</v>
      </c>
      <c r="T30" s="147"/>
      <c r="U30" s="143"/>
    </row>
    <row r="31" spans="1:21" s="144" customFormat="1">
      <c r="A31" s="145" t="s">
        <v>599</v>
      </c>
      <c r="B31" s="146">
        <f t="shared" si="7"/>
        <v>2210000</v>
      </c>
      <c r="C31" s="147">
        <v>2210000</v>
      </c>
      <c r="D31" s="147"/>
      <c r="E31" s="147">
        <f t="shared" si="8"/>
        <v>790016</v>
      </c>
      <c r="F31" s="147">
        <f>779984+190000+450000</f>
        <v>1419984</v>
      </c>
      <c r="G31" s="147"/>
      <c r="H31" s="147"/>
      <c r="I31" s="147"/>
      <c r="J31" s="147"/>
      <c r="K31" s="147"/>
      <c r="L31" s="147"/>
      <c r="M31" s="147"/>
      <c r="N31" s="147"/>
      <c r="O31" s="147"/>
      <c r="P31" s="147"/>
      <c r="Q31" s="147"/>
      <c r="R31" s="514">
        <f t="shared" si="9"/>
        <v>2210000</v>
      </c>
      <c r="S31" s="147">
        <f t="shared" ref="S31:S33" si="10">C31</f>
        <v>2210000</v>
      </c>
      <c r="T31" s="147"/>
      <c r="U31" s="143"/>
    </row>
    <row r="32" spans="1:21" s="144" customFormat="1">
      <c r="A32" s="145" t="s">
        <v>137</v>
      </c>
      <c r="B32" s="146">
        <f t="shared" si="7"/>
        <v>1000000</v>
      </c>
      <c r="C32" s="147">
        <v>1000000</v>
      </c>
      <c r="D32" s="147"/>
      <c r="E32" s="147">
        <f t="shared" si="8"/>
        <v>0</v>
      </c>
      <c r="F32" s="147">
        <v>1000000</v>
      </c>
      <c r="G32" s="147"/>
      <c r="H32" s="147"/>
      <c r="I32" s="147"/>
      <c r="J32" s="147"/>
      <c r="K32" s="147"/>
      <c r="L32" s="147"/>
      <c r="M32" s="147"/>
      <c r="N32" s="147"/>
      <c r="O32" s="147"/>
      <c r="P32" s="147"/>
      <c r="Q32" s="147"/>
      <c r="R32" s="514">
        <f t="shared" si="9"/>
        <v>1000000</v>
      </c>
      <c r="S32" s="147">
        <f t="shared" si="10"/>
        <v>1000000</v>
      </c>
      <c r="T32" s="147"/>
      <c r="U32" s="143"/>
    </row>
    <row r="33" spans="1:21" s="144" customFormat="1">
      <c r="A33" s="145" t="s">
        <v>138</v>
      </c>
      <c r="B33" s="146">
        <f t="shared" si="7"/>
        <v>658576</v>
      </c>
      <c r="C33" s="147">
        <v>658576</v>
      </c>
      <c r="D33" s="147"/>
      <c r="E33" s="147">
        <f t="shared" si="8"/>
        <v>0</v>
      </c>
      <c r="F33" s="147">
        <v>658576</v>
      </c>
      <c r="G33" s="147"/>
      <c r="H33" s="147"/>
      <c r="I33" s="147"/>
      <c r="J33" s="147"/>
      <c r="K33" s="147"/>
      <c r="L33" s="147"/>
      <c r="M33" s="147"/>
      <c r="N33" s="147"/>
      <c r="O33" s="147"/>
      <c r="P33" s="147"/>
      <c r="Q33" s="147"/>
      <c r="R33" s="514">
        <f t="shared" si="9"/>
        <v>658576</v>
      </c>
      <c r="S33" s="147">
        <f t="shared" si="10"/>
        <v>658576</v>
      </c>
      <c r="T33" s="147"/>
      <c r="U33" s="143"/>
    </row>
    <row r="34" spans="1:21" s="144" customFormat="1">
      <c r="A34" s="145" t="s">
        <v>139</v>
      </c>
      <c r="B34" s="146">
        <f t="shared" si="7"/>
        <v>0</v>
      </c>
      <c r="C34" s="147"/>
      <c r="D34" s="147"/>
      <c r="E34" s="147">
        <f t="shared" si="8"/>
        <v>0</v>
      </c>
      <c r="F34" s="147"/>
      <c r="G34" s="147"/>
      <c r="H34" s="147"/>
      <c r="I34" s="147"/>
      <c r="J34" s="147"/>
      <c r="K34" s="147"/>
      <c r="L34" s="147"/>
      <c r="M34" s="147"/>
      <c r="N34" s="147"/>
      <c r="O34" s="147"/>
      <c r="P34" s="147"/>
      <c r="Q34" s="147"/>
      <c r="R34" s="514">
        <f t="shared" si="9"/>
        <v>0</v>
      </c>
      <c r="S34" s="147">
        <f>C34</f>
        <v>0</v>
      </c>
      <c r="T34" s="147"/>
      <c r="U34" s="143"/>
    </row>
    <row r="35" spans="1:21" s="144" customFormat="1">
      <c r="A35" s="145" t="s">
        <v>140</v>
      </c>
      <c r="B35" s="146">
        <f t="shared" si="7"/>
        <v>382833</v>
      </c>
      <c r="C35" s="147">
        <f>382833</f>
        <v>382833</v>
      </c>
      <c r="D35" s="147"/>
      <c r="E35" s="147">
        <f t="shared" si="8"/>
        <v>230532</v>
      </c>
      <c r="F35" s="147">
        <f>555294-402992-1</f>
        <v>152301</v>
      </c>
      <c r="G35" s="147"/>
      <c r="H35" s="147"/>
      <c r="I35" s="147"/>
      <c r="J35" s="147"/>
      <c r="K35" s="147"/>
      <c r="L35" s="147"/>
      <c r="M35" s="147"/>
      <c r="N35" s="147"/>
      <c r="O35" s="147"/>
      <c r="P35" s="147"/>
      <c r="Q35" s="147"/>
      <c r="R35" s="514">
        <f t="shared" si="9"/>
        <v>382833</v>
      </c>
      <c r="S35" s="147">
        <f t="shared" ref="S35:S37" si="11">C35</f>
        <v>382833</v>
      </c>
      <c r="T35" s="147"/>
      <c r="U35" s="143"/>
    </row>
    <row r="36" spans="1:21" s="144" customFormat="1">
      <c r="A36" s="281" t="s">
        <v>1626</v>
      </c>
      <c r="B36" s="146">
        <f t="shared" si="7"/>
        <v>240000</v>
      </c>
      <c r="C36" s="147">
        <v>240000</v>
      </c>
      <c r="D36" s="147"/>
      <c r="E36" s="147">
        <f t="shared" si="8"/>
        <v>0</v>
      </c>
      <c r="F36" s="147">
        <v>240000</v>
      </c>
      <c r="G36" s="147"/>
      <c r="H36" s="147"/>
      <c r="I36" s="147"/>
      <c r="J36" s="147"/>
      <c r="K36" s="147"/>
      <c r="L36" s="147"/>
      <c r="M36" s="147"/>
      <c r="N36" s="147"/>
      <c r="O36" s="147"/>
      <c r="P36" s="147"/>
      <c r="Q36" s="147"/>
      <c r="R36" s="514">
        <f t="shared" si="9"/>
        <v>240000</v>
      </c>
      <c r="S36" s="147">
        <f t="shared" si="11"/>
        <v>240000</v>
      </c>
      <c r="T36" s="147"/>
      <c r="U36" s="143"/>
    </row>
    <row r="37" spans="1:21" s="144" customFormat="1">
      <c r="A37" s="1138" t="s">
        <v>2760</v>
      </c>
      <c r="B37" s="146">
        <f t="shared" si="7"/>
        <v>246500</v>
      </c>
      <c r="C37" s="147">
        <v>246500</v>
      </c>
      <c r="D37" s="147"/>
      <c r="E37" s="147">
        <f t="shared" si="8"/>
        <v>0</v>
      </c>
      <c r="F37" s="147">
        <v>246500</v>
      </c>
      <c r="G37" s="147"/>
      <c r="H37" s="147"/>
      <c r="I37" s="147"/>
      <c r="J37" s="147"/>
      <c r="K37" s="147"/>
      <c r="L37" s="147"/>
      <c r="M37" s="147"/>
      <c r="N37" s="147"/>
      <c r="O37" s="147"/>
      <c r="P37" s="147"/>
      <c r="Q37" s="147"/>
      <c r="R37" s="514">
        <f t="shared" si="9"/>
        <v>246500</v>
      </c>
      <c r="S37" s="147">
        <f t="shared" si="11"/>
        <v>246500</v>
      </c>
      <c r="T37" s="147"/>
      <c r="U37" s="143"/>
    </row>
    <row r="38" spans="1:21" s="144" customFormat="1">
      <c r="A38" s="149" t="s">
        <v>143</v>
      </c>
      <c r="B38" s="146">
        <f t="shared" si="7"/>
        <v>34186627</v>
      </c>
      <c r="C38" s="146">
        <f>SUM(C29:C37)</f>
        <v>34186627</v>
      </c>
      <c r="D38" s="146">
        <f t="shared" ref="D38:Q38" si="12">SUM(D29:D37)</f>
        <v>0</v>
      </c>
      <c r="E38" s="146">
        <f t="shared" si="12"/>
        <v>29601446</v>
      </c>
      <c r="F38" s="146">
        <f t="shared" si="12"/>
        <v>4585181</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0">
        <f>SUM(R29:R37)</f>
        <v>34186627</v>
      </c>
      <c r="S38" s="150">
        <f>SUM(S29:S37)</f>
        <v>34186627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1600000</v>
      </c>
      <c r="C40" s="147">
        <v>1600000</v>
      </c>
      <c r="D40" s="147"/>
      <c r="E40" s="147">
        <f t="shared" ref="E40:E41" si="13">C40-SUM(F40:K40)</f>
        <v>0</v>
      </c>
      <c r="F40" s="147">
        <v>1600000</v>
      </c>
      <c r="G40" s="147"/>
      <c r="H40" s="147"/>
      <c r="I40" s="147"/>
      <c r="J40" s="147"/>
      <c r="K40" s="147"/>
      <c r="L40" s="147"/>
      <c r="M40" s="147"/>
      <c r="N40" s="147"/>
      <c r="O40" s="147"/>
      <c r="P40" s="147"/>
      <c r="Q40" s="147"/>
      <c r="R40" s="514">
        <f>SUM(E40:Q40)</f>
        <v>1600000</v>
      </c>
      <c r="S40" s="147">
        <f>C40</f>
        <v>1600000</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14">
        <f>SUM(E41:Q41)</f>
        <v>0</v>
      </c>
      <c r="S41" s="147"/>
      <c r="T41" s="147"/>
      <c r="U41" s="143"/>
    </row>
    <row r="42" spans="1:21" s="144" customFormat="1">
      <c r="A42" s="149" t="s">
        <v>147</v>
      </c>
      <c r="B42" s="146">
        <f>SUM(C42:D42)</f>
        <v>1600000</v>
      </c>
      <c r="C42" s="146">
        <f>SUM(C39:C41)</f>
        <v>1600000</v>
      </c>
      <c r="D42" s="146">
        <f>SUM(D39:D41)</f>
        <v>0</v>
      </c>
      <c r="E42" s="146">
        <f t="shared" ref="E42:T42" si="14">SUM(E40:E41)</f>
        <v>0</v>
      </c>
      <c r="F42" s="146">
        <f t="shared" si="14"/>
        <v>1600000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0">
        <f>SUM(R40:R41)</f>
        <v>1600000</v>
      </c>
      <c r="S42" s="150">
        <f t="shared" si="14"/>
        <v>1600000</v>
      </c>
      <c r="T42" s="150">
        <f t="shared" si="14"/>
        <v>0</v>
      </c>
      <c r="U42" s="143"/>
    </row>
    <row r="43" spans="1:21" s="144" customFormat="1">
      <c r="A43" s="149" t="s">
        <v>148</v>
      </c>
      <c r="B43" s="146">
        <f>SUM(C43:D43)</f>
        <v>300000</v>
      </c>
      <c r="C43" s="147">
        <v>300000</v>
      </c>
      <c r="D43" s="147"/>
      <c r="E43" s="147">
        <f t="shared" ref="E43" si="15">C43-SUM(F43:K43)</f>
        <v>300000</v>
      </c>
      <c r="F43" s="147"/>
      <c r="G43" s="147"/>
      <c r="H43" s="147"/>
      <c r="I43" s="147"/>
      <c r="J43" s="147"/>
      <c r="K43" s="147"/>
      <c r="L43" s="147"/>
      <c r="M43" s="147"/>
      <c r="N43" s="147"/>
      <c r="O43" s="147"/>
      <c r="P43" s="147"/>
      <c r="Q43" s="147"/>
      <c r="R43" s="514">
        <f>SUM(E43:Q43)</f>
        <v>300000</v>
      </c>
      <c r="S43" s="147">
        <f>C43</f>
        <v>300000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3340541</v>
      </c>
      <c r="C45" s="147">
        <v>3340541</v>
      </c>
      <c r="D45" s="147"/>
      <c r="E45" s="147">
        <f t="shared" ref="E45:E53" si="17">C45-SUM(F45:K45)</f>
        <v>3340541</v>
      </c>
      <c r="F45" s="147"/>
      <c r="G45" s="147"/>
      <c r="H45" s="147"/>
      <c r="I45" s="147"/>
      <c r="J45" s="147"/>
      <c r="K45" s="147"/>
      <c r="L45" s="147"/>
      <c r="M45" s="147"/>
      <c r="N45" s="147"/>
      <c r="O45" s="147"/>
      <c r="P45" s="147"/>
      <c r="Q45" s="147"/>
      <c r="R45" s="514">
        <f t="shared" ref="R45:R53" si="18">SUM(E45:Q45)</f>
        <v>3340541</v>
      </c>
      <c r="S45" s="147">
        <v>2082423</v>
      </c>
      <c r="T45" s="147"/>
      <c r="U45" s="143"/>
    </row>
    <row r="46" spans="1:21" s="144" customFormat="1">
      <c r="A46" s="145" t="s">
        <v>151</v>
      </c>
      <c r="B46" s="146">
        <f t="shared" si="16"/>
        <v>392976</v>
      </c>
      <c r="C46" s="147">
        <v>392976</v>
      </c>
      <c r="D46" s="147"/>
      <c r="E46" s="147">
        <f t="shared" si="17"/>
        <v>364166</v>
      </c>
      <c r="F46" s="147">
        <f>294122+90000+19683-374996+1</f>
        <v>28810</v>
      </c>
      <c r="G46" s="147"/>
      <c r="H46" s="147"/>
      <c r="I46" s="147"/>
      <c r="J46" s="147"/>
      <c r="K46" s="147"/>
      <c r="L46" s="147"/>
      <c r="M46" s="147"/>
      <c r="N46" s="147"/>
      <c r="O46" s="147"/>
      <c r="P46" s="147"/>
      <c r="Q46" s="147"/>
      <c r="R46" s="514">
        <f t="shared" si="18"/>
        <v>392976</v>
      </c>
      <c r="S46" s="147">
        <f t="shared" ref="S46:S53" si="19">C46</f>
        <v>392976</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4">
        <f t="shared" si="18"/>
        <v>0</v>
      </c>
      <c r="S47" s="147">
        <f t="shared" si="19"/>
        <v>0</v>
      </c>
      <c r="T47" s="147"/>
      <c r="U47" s="143"/>
    </row>
    <row r="48" spans="1:21" s="144" customFormat="1">
      <c r="A48" s="145" t="s">
        <v>153</v>
      </c>
      <c r="B48" s="146">
        <f t="shared" si="16"/>
        <v>172461</v>
      </c>
      <c r="C48" s="147">
        <v>172461</v>
      </c>
      <c r="D48" s="147"/>
      <c r="E48" s="147">
        <f t="shared" si="17"/>
        <v>172461</v>
      </c>
      <c r="F48" s="147"/>
      <c r="G48" s="147"/>
      <c r="H48" s="147"/>
      <c r="I48" s="147"/>
      <c r="J48" s="147"/>
      <c r="K48" s="147"/>
      <c r="L48" s="147"/>
      <c r="M48" s="147"/>
      <c r="N48" s="147"/>
      <c r="O48" s="147"/>
      <c r="P48" s="147"/>
      <c r="Q48" s="147"/>
      <c r="R48" s="514">
        <f t="shared" si="18"/>
        <v>172461</v>
      </c>
      <c r="S48" s="147">
        <f t="shared" si="19"/>
        <v>172461</v>
      </c>
      <c r="T48" s="147"/>
      <c r="U48" s="143"/>
    </row>
    <row r="49" spans="1:21" s="144" customFormat="1">
      <c r="A49" s="145" t="s">
        <v>57</v>
      </c>
      <c r="B49" s="146">
        <f t="shared" si="16"/>
        <v>485752</v>
      </c>
      <c r="C49" s="147">
        <f>485752</f>
        <v>485752</v>
      </c>
      <c r="D49" s="147"/>
      <c r="E49" s="147">
        <f t="shared" si="17"/>
        <v>0</v>
      </c>
      <c r="F49" s="147">
        <f>C49-SUM(G49:L49)</f>
        <v>485752</v>
      </c>
      <c r="G49" s="147"/>
      <c r="H49" s="147"/>
      <c r="I49" s="147"/>
      <c r="J49" s="147"/>
      <c r="K49" s="147"/>
      <c r="L49" s="147"/>
      <c r="M49" s="147"/>
      <c r="N49" s="147"/>
      <c r="O49" s="147"/>
      <c r="P49" s="147"/>
      <c r="Q49" s="147"/>
      <c r="R49" s="514">
        <f t="shared" si="18"/>
        <v>485752</v>
      </c>
      <c r="S49" s="147">
        <f>C49-153230-9883</f>
        <v>322639</v>
      </c>
      <c r="T49" s="147"/>
      <c r="U49" s="143"/>
    </row>
    <row r="50" spans="1:21" s="144" customFormat="1">
      <c r="A50" s="145" t="s">
        <v>156</v>
      </c>
      <c r="B50" s="146">
        <f t="shared" si="16"/>
        <v>75000</v>
      </c>
      <c r="C50" s="147">
        <v>75000</v>
      </c>
      <c r="D50" s="147"/>
      <c r="E50" s="147">
        <f t="shared" si="17"/>
        <v>0</v>
      </c>
      <c r="F50" s="147">
        <v>75000</v>
      </c>
      <c r="G50" s="147"/>
      <c r="H50" s="147"/>
      <c r="I50" s="147"/>
      <c r="J50" s="147"/>
      <c r="K50" s="147"/>
      <c r="L50" s="147"/>
      <c r="M50" s="147"/>
      <c r="N50" s="147"/>
      <c r="O50" s="147"/>
      <c r="P50" s="147"/>
      <c r="Q50" s="147"/>
      <c r="R50" s="514">
        <f t="shared" si="18"/>
        <v>75000</v>
      </c>
      <c r="S50" s="147">
        <v>60000</v>
      </c>
      <c r="T50" s="147"/>
      <c r="U50" s="143"/>
    </row>
    <row r="51" spans="1:21" s="144" customFormat="1">
      <c r="A51" s="281" t="s">
        <v>154</v>
      </c>
      <c r="B51" s="146">
        <f t="shared" si="16"/>
        <v>5355</v>
      </c>
      <c r="C51" s="147">
        <v>5355</v>
      </c>
      <c r="D51" s="147"/>
      <c r="E51" s="147">
        <f t="shared" si="17"/>
        <v>0</v>
      </c>
      <c r="F51" s="147">
        <v>5355</v>
      </c>
      <c r="G51" s="147"/>
      <c r="H51" s="147"/>
      <c r="I51" s="147"/>
      <c r="J51" s="147"/>
      <c r="K51" s="147"/>
      <c r="L51" s="147"/>
      <c r="M51" s="147"/>
      <c r="N51" s="147"/>
      <c r="O51" s="147"/>
      <c r="P51" s="147"/>
      <c r="Q51" s="147"/>
      <c r="R51" s="514">
        <f t="shared" si="18"/>
        <v>5355</v>
      </c>
      <c r="S51" s="147">
        <f t="shared" si="19"/>
        <v>5355</v>
      </c>
      <c r="T51" s="147"/>
      <c r="U51" s="143"/>
    </row>
    <row r="52" spans="1:21" s="144" customFormat="1">
      <c r="A52" s="145" t="s">
        <v>155</v>
      </c>
      <c r="B52" s="146">
        <f t="shared" si="16"/>
        <v>1500000</v>
      </c>
      <c r="C52" s="147">
        <f>1000000+500000</f>
        <v>1500000</v>
      </c>
      <c r="D52" s="147"/>
      <c r="E52" s="147">
        <f t="shared" si="17"/>
        <v>0</v>
      </c>
      <c r="F52" s="147">
        <v>1500000</v>
      </c>
      <c r="G52" s="147"/>
      <c r="H52" s="147"/>
      <c r="I52" s="147"/>
      <c r="J52" s="147"/>
      <c r="K52" s="147"/>
      <c r="L52" s="147"/>
      <c r="M52" s="147"/>
      <c r="N52" s="147"/>
      <c r="O52" s="147"/>
      <c r="P52" s="147"/>
      <c r="Q52" s="147"/>
      <c r="R52" s="514">
        <f t="shared" si="18"/>
        <v>1500000</v>
      </c>
      <c r="S52" s="147">
        <f t="shared" si="19"/>
        <v>1500000</v>
      </c>
      <c r="T52" s="147"/>
      <c r="U52" s="143"/>
    </row>
    <row r="53" spans="1:21" s="144" customFormat="1">
      <c r="A53" s="1138" t="s">
        <v>2786</v>
      </c>
      <c r="B53" s="146">
        <f t="shared" si="16"/>
        <v>0</v>
      </c>
      <c r="C53" s="147"/>
      <c r="D53" s="147"/>
      <c r="E53" s="147">
        <f t="shared" si="17"/>
        <v>0</v>
      </c>
      <c r="F53" s="147"/>
      <c r="G53" s="147"/>
      <c r="H53" s="147"/>
      <c r="I53" s="147"/>
      <c r="J53" s="147"/>
      <c r="K53" s="147"/>
      <c r="L53" s="147"/>
      <c r="M53" s="147"/>
      <c r="N53" s="147"/>
      <c r="O53" s="147"/>
      <c r="P53" s="147"/>
      <c r="Q53" s="147"/>
      <c r="R53" s="514">
        <f t="shared" si="18"/>
        <v>0</v>
      </c>
      <c r="S53" s="147">
        <f t="shared" si="19"/>
        <v>0</v>
      </c>
      <c r="T53" s="147"/>
      <c r="U53" s="143"/>
    </row>
    <row r="54" spans="1:21" s="153" customFormat="1">
      <c r="A54" s="149" t="s">
        <v>157</v>
      </c>
      <c r="B54" s="150">
        <f>SUM(C54:D54)</f>
        <v>5972085</v>
      </c>
      <c r="C54" s="150">
        <f t="shared" ref="C54:T54" si="20">SUM(C45:C53)</f>
        <v>5972085</v>
      </c>
      <c r="D54" s="150">
        <f t="shared" si="20"/>
        <v>0</v>
      </c>
      <c r="E54" s="150">
        <f t="shared" si="20"/>
        <v>3877168</v>
      </c>
      <c r="F54" s="150">
        <f t="shared" si="20"/>
        <v>2094917</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0">
        <f t="shared" si="20"/>
        <v>5972085</v>
      </c>
      <c r="S54" s="150">
        <f t="shared" si="20"/>
        <v>4535854</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381476</v>
      </c>
      <c r="C56" s="147">
        <v>381476</v>
      </c>
      <c r="D56" s="147"/>
      <c r="E56" s="147">
        <f t="shared" ref="E56:E61" si="22">C56-SUM(F56:K56)</f>
        <v>381476</v>
      </c>
      <c r="F56" s="147"/>
      <c r="G56" s="147"/>
      <c r="H56" s="147"/>
      <c r="I56" s="147"/>
      <c r="J56" s="147"/>
      <c r="K56" s="147"/>
      <c r="L56" s="147"/>
      <c r="M56" s="147"/>
      <c r="N56" s="147"/>
      <c r="O56" s="147"/>
      <c r="P56" s="147"/>
      <c r="Q56" s="147"/>
      <c r="R56" s="514">
        <f t="shared" ref="R56:R61" si="23">SUM(E56:Q56)</f>
        <v>381476</v>
      </c>
      <c r="S56" s="148"/>
      <c r="T56" s="148"/>
      <c r="U56" s="143"/>
    </row>
    <row r="57" spans="1:21" s="192" customFormat="1">
      <c r="A57" s="186" t="s">
        <v>152</v>
      </c>
      <c r="B57" s="193">
        <f t="shared" si="21"/>
        <v>30000</v>
      </c>
      <c r="C57" s="190">
        <f>496476+485752+15000-C56-C61-C49</f>
        <v>30000</v>
      </c>
      <c r="D57" s="190"/>
      <c r="E57" s="190">
        <f t="shared" si="22"/>
        <v>30000</v>
      </c>
      <c r="F57" s="190"/>
      <c r="G57" s="190"/>
      <c r="H57" s="190"/>
      <c r="I57" s="190"/>
      <c r="J57" s="190"/>
      <c r="K57" s="190"/>
      <c r="L57" s="190"/>
      <c r="M57" s="190"/>
      <c r="N57" s="190"/>
      <c r="O57" s="190"/>
      <c r="P57" s="190"/>
      <c r="Q57" s="190"/>
      <c r="R57" s="514">
        <f t="shared" si="23"/>
        <v>30000</v>
      </c>
      <c r="S57" s="194"/>
      <c r="T57" s="194"/>
      <c r="U57" s="191"/>
    </row>
    <row r="58" spans="1:21" s="144" customFormat="1">
      <c r="A58" s="145" t="s">
        <v>156</v>
      </c>
      <c r="B58" s="146">
        <f t="shared" si="21"/>
        <v>0</v>
      </c>
      <c r="C58" s="147"/>
      <c r="D58" s="147"/>
      <c r="E58" s="147">
        <f t="shared" si="22"/>
        <v>0</v>
      </c>
      <c r="F58" s="147"/>
      <c r="G58" s="147"/>
      <c r="H58" s="147"/>
      <c r="I58" s="147"/>
      <c r="J58" s="147"/>
      <c r="K58" s="147"/>
      <c r="L58" s="147"/>
      <c r="M58" s="147"/>
      <c r="N58" s="147"/>
      <c r="O58" s="147"/>
      <c r="P58" s="147"/>
      <c r="Q58" s="147"/>
      <c r="R58" s="514">
        <f t="shared" si="23"/>
        <v>0</v>
      </c>
      <c r="S58" s="148"/>
      <c r="T58" s="148"/>
      <c r="U58" s="143"/>
    </row>
    <row r="59" spans="1:21" s="144" customFormat="1">
      <c r="A59" s="281" t="s">
        <v>154</v>
      </c>
      <c r="B59" s="146">
        <f t="shared" si="21"/>
        <v>0</v>
      </c>
      <c r="C59" s="147"/>
      <c r="D59" s="147"/>
      <c r="E59" s="147">
        <f t="shared" si="22"/>
        <v>0</v>
      </c>
      <c r="F59" s="147"/>
      <c r="G59" s="147"/>
      <c r="H59" s="147"/>
      <c r="I59" s="147"/>
      <c r="J59" s="147"/>
      <c r="K59" s="147"/>
      <c r="L59" s="147"/>
      <c r="M59" s="147"/>
      <c r="N59" s="147"/>
      <c r="O59" s="147"/>
      <c r="P59" s="147"/>
      <c r="Q59" s="147"/>
      <c r="R59" s="514">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4">
        <f t="shared" si="23"/>
        <v>0</v>
      </c>
      <c r="S60" s="148"/>
      <c r="T60" s="148"/>
      <c r="U60" s="143"/>
    </row>
    <row r="61" spans="1:21" s="144" customFormat="1">
      <c r="A61" s="1138" t="s">
        <v>2761</v>
      </c>
      <c r="B61" s="146">
        <f t="shared" si="21"/>
        <v>100000</v>
      </c>
      <c r="C61" s="147">
        <v>100000</v>
      </c>
      <c r="D61" s="147"/>
      <c r="E61" s="147">
        <f t="shared" si="22"/>
        <v>100000</v>
      </c>
      <c r="F61" s="147"/>
      <c r="G61" s="147"/>
      <c r="H61" s="147"/>
      <c r="I61" s="147"/>
      <c r="J61" s="147"/>
      <c r="K61" s="147"/>
      <c r="L61" s="147"/>
      <c r="M61" s="147"/>
      <c r="N61" s="147"/>
      <c r="O61" s="147"/>
      <c r="P61" s="147"/>
      <c r="Q61" s="147"/>
      <c r="R61" s="514">
        <f t="shared" si="23"/>
        <v>100000</v>
      </c>
      <c r="S61" s="148"/>
      <c r="T61" s="148"/>
      <c r="U61" s="143"/>
    </row>
    <row r="62" spans="1:21" s="144" customFormat="1" ht="13.7" customHeight="1">
      <c r="A62" s="149" t="s">
        <v>300</v>
      </c>
      <c r="B62" s="146">
        <f>SUM(C62:D62)</f>
        <v>511476</v>
      </c>
      <c r="C62" s="146">
        <f t="shared" ref="C62:R62" si="24">SUM(C56:C61)</f>
        <v>511476</v>
      </c>
      <c r="D62" s="146">
        <f t="shared" si="24"/>
        <v>0</v>
      </c>
      <c r="E62" s="146">
        <f t="shared" si="24"/>
        <v>511476</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0">
        <f t="shared" si="24"/>
        <v>511476</v>
      </c>
      <c r="S62" s="148"/>
      <c r="T62" s="148"/>
      <c r="U62" s="143"/>
    </row>
    <row r="63" spans="1:21" s="144" customFormat="1">
      <c r="A63" s="154" t="s">
        <v>301</v>
      </c>
      <c r="B63" s="146">
        <f t="shared" ref="B63:R63" si="25">SUM(B8+B11+B13+B14+B15+B26+B27+B38+B42+B43+B54+B62)</f>
        <v>42635189</v>
      </c>
      <c r="C63" s="146">
        <f t="shared" si="25"/>
        <v>42635189</v>
      </c>
      <c r="D63" s="146">
        <f t="shared" si="25"/>
        <v>0</v>
      </c>
      <c r="E63" s="146">
        <f t="shared" si="25"/>
        <v>34355091</v>
      </c>
      <c r="F63" s="146">
        <f t="shared" si="25"/>
        <v>8280098</v>
      </c>
      <c r="G63" s="146">
        <f t="shared" si="25"/>
        <v>0</v>
      </c>
      <c r="H63" s="146">
        <f t="shared" si="25"/>
        <v>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0">
        <f t="shared" si="25"/>
        <v>42635189</v>
      </c>
      <c r="S63" s="146">
        <f>SUM(S10+S13+S14+S15+S26+S27+S38+S42+S43+S54)</f>
        <v>40672481</v>
      </c>
      <c r="T63" s="146">
        <f>SUM(T11+T13+T14+T15+T26+T27+T38+T42+T43+T54)</f>
        <v>0</v>
      </c>
      <c r="U63" s="143"/>
    </row>
    <row r="64" spans="1:21" s="144" customFormat="1" ht="24">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 t="shared" ref="E65:E69" si="26">C65-SUM(F65:K65)</f>
        <v>0</v>
      </c>
      <c r="F65" s="147">
        <f>C65</f>
        <v>100000</v>
      </c>
      <c r="G65" s="147"/>
      <c r="H65" s="147"/>
      <c r="I65" s="147"/>
      <c r="J65" s="147"/>
      <c r="K65" s="147"/>
      <c r="L65" s="147"/>
      <c r="M65" s="147"/>
      <c r="N65" s="147"/>
      <c r="O65" s="147"/>
      <c r="P65" s="147"/>
      <c r="Q65" s="147"/>
      <c r="R65" s="514">
        <f>SUM(E65:Q65)</f>
        <v>100000</v>
      </c>
      <c r="S65" s="147">
        <f t="shared" ref="S65:S69" si="27">C65</f>
        <v>100000</v>
      </c>
      <c r="T65" s="147"/>
      <c r="U65" s="143"/>
    </row>
    <row r="66" spans="1:21" s="144" customFormat="1" ht="24" customHeight="1">
      <c r="A66" s="281" t="s">
        <v>1627</v>
      </c>
      <c r="B66" s="146">
        <f>SUM(C66+D66)</f>
        <v>0</v>
      </c>
      <c r="C66" s="147"/>
      <c r="D66" s="147"/>
      <c r="E66" s="147">
        <f t="shared" si="26"/>
        <v>0</v>
      </c>
      <c r="F66" s="147"/>
      <c r="G66" s="147"/>
      <c r="H66" s="147"/>
      <c r="I66" s="147"/>
      <c r="J66" s="147"/>
      <c r="K66" s="147"/>
      <c r="L66" s="147"/>
      <c r="M66" s="147"/>
      <c r="N66" s="147"/>
      <c r="O66" s="147"/>
      <c r="P66" s="147"/>
      <c r="Q66" s="147"/>
      <c r="R66" s="514">
        <f>SUM(E66:Q66)</f>
        <v>0</v>
      </c>
      <c r="S66" s="147">
        <f t="shared" si="27"/>
        <v>0</v>
      </c>
      <c r="T66" s="147"/>
      <c r="U66" s="143"/>
    </row>
    <row r="67" spans="1:21" s="144" customFormat="1" ht="24" customHeight="1">
      <c r="A67" s="281" t="s">
        <v>1628</v>
      </c>
      <c r="B67" s="146">
        <f>SUM(C67+D67)</f>
        <v>350000</v>
      </c>
      <c r="C67" s="147">
        <v>350000</v>
      </c>
      <c r="D67" s="147"/>
      <c r="E67" s="147">
        <f t="shared" si="26"/>
        <v>0</v>
      </c>
      <c r="F67" s="147">
        <v>350000</v>
      </c>
      <c r="G67" s="147"/>
      <c r="H67" s="147"/>
      <c r="I67" s="147"/>
      <c r="J67" s="147"/>
      <c r="K67" s="147"/>
      <c r="L67" s="147"/>
      <c r="M67" s="147"/>
      <c r="N67" s="147"/>
      <c r="O67" s="147"/>
      <c r="P67" s="147"/>
      <c r="Q67" s="147"/>
      <c r="R67" s="514">
        <f>SUM(E67:Q67)</f>
        <v>350000</v>
      </c>
      <c r="S67" s="147">
        <f t="shared" si="27"/>
        <v>350000</v>
      </c>
      <c r="T67" s="147"/>
      <c r="U67" s="143"/>
    </row>
    <row r="68" spans="1:21" s="144" customFormat="1" ht="12" customHeight="1">
      <c r="A68" s="281" t="s">
        <v>1634</v>
      </c>
      <c r="B68" s="146">
        <f>SUM(C68+D68)</f>
        <v>0</v>
      </c>
      <c r="C68" s="147"/>
      <c r="D68" s="147"/>
      <c r="E68" s="147">
        <f t="shared" si="26"/>
        <v>0</v>
      </c>
      <c r="F68" s="147"/>
      <c r="G68" s="147"/>
      <c r="H68" s="147"/>
      <c r="I68" s="147"/>
      <c r="J68" s="147"/>
      <c r="K68" s="147"/>
      <c r="L68" s="147"/>
      <c r="M68" s="147"/>
      <c r="N68" s="147"/>
      <c r="O68" s="147"/>
      <c r="P68" s="147"/>
      <c r="Q68" s="147"/>
      <c r="R68" s="514">
        <f>SUM(E68:Q68)</f>
        <v>0</v>
      </c>
      <c r="S68" s="147">
        <f t="shared" si="27"/>
        <v>0</v>
      </c>
      <c r="T68" s="147"/>
      <c r="U68" s="143"/>
    </row>
    <row r="69" spans="1:21" s="144" customFormat="1">
      <c r="A69" s="1138" t="s">
        <v>34</v>
      </c>
      <c r="B69" s="146">
        <f>SUM(C69+D69)</f>
        <v>0</v>
      </c>
      <c r="C69" s="147"/>
      <c r="D69" s="147"/>
      <c r="E69" s="147">
        <f t="shared" si="26"/>
        <v>0</v>
      </c>
      <c r="F69" s="147"/>
      <c r="G69" s="147"/>
      <c r="H69" s="147"/>
      <c r="I69" s="147"/>
      <c r="J69" s="147"/>
      <c r="K69" s="147"/>
      <c r="L69" s="147"/>
      <c r="M69" s="147"/>
      <c r="N69" s="147"/>
      <c r="O69" s="147"/>
      <c r="P69" s="147"/>
      <c r="Q69" s="147"/>
      <c r="R69" s="514">
        <f>SUM(E69:Q69)</f>
        <v>0</v>
      </c>
      <c r="S69" s="147">
        <f t="shared" si="27"/>
        <v>0</v>
      </c>
      <c r="T69" s="147"/>
      <c r="U69" s="143"/>
    </row>
    <row r="70" spans="1:21" s="144" customFormat="1">
      <c r="A70" s="149" t="s">
        <v>1631</v>
      </c>
      <c r="B70" s="146">
        <f>SUM(C70:D70)</f>
        <v>450000</v>
      </c>
      <c r="C70" s="146">
        <f>SUM(C65:C69)</f>
        <v>450000</v>
      </c>
      <c r="D70" s="146">
        <f>SUM(D65:D69)</f>
        <v>0</v>
      </c>
      <c r="E70" s="146">
        <f t="shared" ref="E70:T70" si="28">SUM(E65:E69)</f>
        <v>0</v>
      </c>
      <c r="F70" s="146">
        <f t="shared" si="28"/>
        <v>450000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0">
        <f t="shared" si="28"/>
        <v>450000</v>
      </c>
      <c r="S70" s="150">
        <f t="shared" si="28"/>
        <v>450000</v>
      </c>
      <c r="T70" s="150">
        <f t="shared" si="28"/>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29">C72-SUM(F72:K72)</f>
        <v>0</v>
      </c>
      <c r="F72" s="147"/>
      <c r="G72" s="147"/>
      <c r="H72" s="147"/>
      <c r="I72" s="147"/>
      <c r="J72" s="147"/>
      <c r="K72" s="147"/>
      <c r="L72" s="147"/>
      <c r="M72" s="147"/>
      <c r="N72" s="147"/>
      <c r="O72" s="147"/>
      <c r="P72" s="147"/>
      <c r="Q72" s="147"/>
      <c r="R72" s="514">
        <f>SUM(E72:Q72)</f>
        <v>0</v>
      </c>
      <c r="S72" s="148"/>
      <c r="T72" s="148"/>
      <c r="U72" s="143"/>
    </row>
    <row r="73" spans="1:21" s="144" customFormat="1">
      <c r="A73" s="145" t="s">
        <v>603</v>
      </c>
      <c r="B73" s="146">
        <f>SUM(C73+D73)</f>
        <v>0</v>
      </c>
      <c r="C73" s="147"/>
      <c r="D73" s="147"/>
      <c r="E73" s="147">
        <f t="shared" si="29"/>
        <v>0</v>
      </c>
      <c r="F73" s="147"/>
      <c r="G73" s="147"/>
      <c r="H73" s="147"/>
      <c r="I73" s="147"/>
      <c r="J73" s="147"/>
      <c r="K73" s="147"/>
      <c r="L73" s="147"/>
      <c r="M73" s="147"/>
      <c r="N73" s="147"/>
      <c r="O73" s="147"/>
      <c r="P73" s="147"/>
      <c r="Q73" s="147"/>
      <c r="R73" s="514">
        <f>SUM(E73:Q73)</f>
        <v>0</v>
      </c>
      <c r="S73" s="148"/>
      <c r="T73" s="148"/>
      <c r="U73" s="143"/>
    </row>
    <row r="74" spans="1:21" s="144" customFormat="1">
      <c r="A74" s="448" t="s">
        <v>983</v>
      </c>
      <c r="B74" s="146">
        <f>SUM(C74+D74)</f>
        <v>0</v>
      </c>
      <c r="C74" s="147"/>
      <c r="D74" s="147"/>
      <c r="E74" s="147">
        <f t="shared" si="29"/>
        <v>0</v>
      </c>
      <c r="F74" s="147"/>
      <c r="G74" s="147"/>
      <c r="H74" s="147"/>
      <c r="I74" s="147"/>
      <c r="J74" s="147"/>
      <c r="K74" s="147"/>
      <c r="L74" s="147"/>
      <c r="M74" s="147"/>
      <c r="N74" s="147"/>
      <c r="O74" s="147"/>
      <c r="P74" s="147"/>
      <c r="Q74" s="147"/>
      <c r="R74" s="514">
        <f>SUM(E74:Q74)</f>
        <v>0</v>
      </c>
      <c r="S74" s="148"/>
      <c r="T74" s="148"/>
      <c r="U74" s="143"/>
    </row>
    <row r="75" spans="1:21" s="144" customFormat="1">
      <c r="A75" s="145" t="s">
        <v>604</v>
      </c>
      <c r="B75" s="146">
        <f>SUM(C75+D75)</f>
        <v>489776</v>
      </c>
      <c r="C75" s="147">
        <f>Application!AC895</f>
        <v>489776</v>
      </c>
      <c r="D75" s="147"/>
      <c r="E75" s="147">
        <f t="shared" si="29"/>
        <v>489776</v>
      </c>
      <c r="F75" s="147"/>
      <c r="G75" s="147"/>
      <c r="H75" s="147"/>
      <c r="I75" s="147"/>
      <c r="J75" s="147"/>
      <c r="K75" s="147"/>
      <c r="L75" s="147"/>
      <c r="M75" s="147"/>
      <c r="N75" s="147"/>
      <c r="O75" s="147"/>
      <c r="P75" s="147"/>
      <c r="Q75" s="147"/>
      <c r="R75" s="514">
        <f>SUM(E75:Q75)</f>
        <v>489776</v>
      </c>
      <c r="S75" s="148"/>
      <c r="T75" s="148"/>
      <c r="U75" s="143"/>
    </row>
    <row r="76" spans="1:21" s="144" customFormat="1">
      <c r="A76" s="1138" t="s">
        <v>34</v>
      </c>
      <c r="B76" s="146">
        <f>SUM(C76+D76)</f>
        <v>0</v>
      </c>
      <c r="C76" s="147"/>
      <c r="D76" s="147"/>
      <c r="E76" s="147">
        <f t="shared" si="29"/>
        <v>0</v>
      </c>
      <c r="F76" s="147"/>
      <c r="G76" s="147"/>
      <c r="H76" s="147"/>
      <c r="I76" s="147"/>
      <c r="J76" s="147"/>
      <c r="K76" s="147"/>
      <c r="L76" s="147"/>
      <c r="M76" s="147"/>
      <c r="N76" s="147"/>
      <c r="O76" s="147"/>
      <c r="P76" s="147"/>
      <c r="Q76" s="147"/>
      <c r="R76" s="514">
        <f>SUM(E76:Q76)</f>
        <v>0</v>
      </c>
      <c r="S76" s="148"/>
      <c r="T76" s="148"/>
      <c r="U76" s="143"/>
    </row>
    <row r="77" spans="1:21" s="144" customFormat="1">
      <c r="A77" s="149" t="s">
        <v>605</v>
      </c>
      <c r="B77" s="146">
        <f>SUM(C77:D77)</f>
        <v>489776</v>
      </c>
      <c r="C77" s="146">
        <f>SUM(C72:C76)</f>
        <v>489776</v>
      </c>
      <c r="D77" s="146">
        <f>SUM(D72:D76)</f>
        <v>0</v>
      </c>
      <c r="E77" s="146">
        <f t="shared" ref="E77:Q77" si="30">SUM(E72:E76)</f>
        <v>489776</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0">
        <f>SUM(R72:R76)</f>
        <v>489776</v>
      </c>
      <c r="S77" s="148"/>
      <c r="T77" s="148"/>
      <c r="U77" s="143"/>
    </row>
    <row r="78" spans="1:21" s="144" customFormat="1">
      <c r="A78" s="141" t="s">
        <v>1207</v>
      </c>
      <c r="B78" s="151"/>
      <c r="C78" s="151"/>
      <c r="D78" s="151"/>
      <c r="E78" s="151"/>
      <c r="F78" s="151"/>
      <c r="G78" s="151"/>
      <c r="H78" s="151"/>
      <c r="I78" s="151"/>
      <c r="J78" s="151"/>
      <c r="K78" s="151"/>
      <c r="L78" s="151"/>
      <c r="M78" s="151"/>
      <c r="N78" s="151"/>
      <c r="O78" s="151"/>
      <c r="P78" s="151"/>
      <c r="Q78" s="151"/>
      <c r="R78" s="341"/>
      <c r="S78" s="151"/>
      <c r="T78" s="151"/>
      <c r="U78" s="143"/>
    </row>
    <row r="79" spans="1:21" s="144" customFormat="1">
      <c r="A79" s="281" t="s">
        <v>1209</v>
      </c>
      <c r="B79" s="146">
        <f>SUM(C79:D79)</f>
        <v>2561652</v>
      </c>
      <c r="C79" s="147">
        <f>883462+1678190</f>
        <v>2561652</v>
      </c>
      <c r="D79" s="147"/>
      <c r="E79" s="147">
        <f t="shared" ref="E79:E80" si="31">C79-SUM(F79:K79)</f>
        <v>1678190</v>
      </c>
      <c r="F79" s="147">
        <v>883462</v>
      </c>
      <c r="G79" s="147"/>
      <c r="H79" s="147"/>
      <c r="I79" s="147"/>
      <c r="J79" s="147"/>
      <c r="K79" s="147"/>
      <c r="L79" s="147"/>
      <c r="M79" s="147"/>
      <c r="N79" s="147"/>
      <c r="O79" s="147"/>
      <c r="P79" s="147"/>
      <c r="Q79" s="147"/>
      <c r="R79" s="514">
        <f>SUM(E79:Q79)</f>
        <v>2561652</v>
      </c>
      <c r="S79" s="147">
        <f t="shared" ref="S79" si="32">C79</f>
        <v>2561652</v>
      </c>
      <c r="T79" s="147"/>
      <c r="U79" s="143"/>
    </row>
    <row r="80" spans="1:21" s="144" customFormat="1">
      <c r="A80" s="281" t="s">
        <v>58</v>
      </c>
      <c r="B80" s="146">
        <f>SUM(C80:D80)</f>
        <v>484028</v>
      </c>
      <c r="C80" s="147">
        <v>484028</v>
      </c>
      <c r="D80" s="147"/>
      <c r="E80" s="147">
        <f t="shared" si="31"/>
        <v>0</v>
      </c>
      <c r="F80" s="147">
        <f>C80</f>
        <v>484028</v>
      </c>
      <c r="G80" s="147"/>
      <c r="H80" s="147"/>
      <c r="I80" s="147"/>
      <c r="J80" s="147"/>
      <c r="K80" s="147"/>
      <c r="L80" s="147"/>
      <c r="M80" s="147"/>
      <c r="N80" s="147"/>
      <c r="O80" s="147"/>
      <c r="P80" s="147"/>
      <c r="Q80" s="147"/>
      <c r="R80" s="514">
        <f>SUM(E80:Q80)</f>
        <v>484028</v>
      </c>
      <c r="S80" s="147">
        <f>C80-72720</f>
        <v>411308</v>
      </c>
      <c r="T80" s="147"/>
      <c r="U80" s="143"/>
    </row>
    <row r="81" spans="1:21" s="144" customFormat="1">
      <c r="A81" s="149" t="s">
        <v>1206</v>
      </c>
      <c r="B81" s="146">
        <f>SUM(C81:D81)</f>
        <v>3045680</v>
      </c>
      <c r="C81" s="507">
        <f>SUM(C79:C80)</f>
        <v>3045680</v>
      </c>
      <c r="D81" s="507">
        <f t="shared" ref="D81:T81" si="33">SUM(D79:D80)</f>
        <v>0</v>
      </c>
      <c r="E81" s="507">
        <f t="shared" si="33"/>
        <v>1678190</v>
      </c>
      <c r="F81" s="507">
        <f t="shared" si="33"/>
        <v>1367490</v>
      </c>
      <c r="G81" s="507">
        <f t="shared" si="33"/>
        <v>0</v>
      </c>
      <c r="H81" s="507">
        <f t="shared" si="33"/>
        <v>0</v>
      </c>
      <c r="I81" s="507">
        <f t="shared" si="33"/>
        <v>0</v>
      </c>
      <c r="J81" s="507">
        <f t="shared" si="33"/>
        <v>0</v>
      </c>
      <c r="K81" s="507">
        <f t="shared" si="33"/>
        <v>0</v>
      </c>
      <c r="L81" s="507">
        <f t="shared" si="33"/>
        <v>0</v>
      </c>
      <c r="M81" s="507">
        <f t="shared" si="33"/>
        <v>0</v>
      </c>
      <c r="N81" s="507">
        <f t="shared" si="33"/>
        <v>0</v>
      </c>
      <c r="O81" s="507">
        <f t="shared" si="33"/>
        <v>0</v>
      </c>
      <c r="P81" s="507">
        <f t="shared" si="33"/>
        <v>0</v>
      </c>
      <c r="Q81" s="507">
        <f t="shared" si="33"/>
        <v>0</v>
      </c>
      <c r="R81" s="507">
        <f t="shared" si="33"/>
        <v>3045680</v>
      </c>
      <c r="S81" s="507">
        <f t="shared" si="33"/>
        <v>2972960</v>
      </c>
      <c r="T81" s="507">
        <f t="shared" si="33"/>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1"/>
      <c r="S82" s="151"/>
      <c r="T82" s="151"/>
      <c r="U82" s="143"/>
    </row>
    <row r="83" spans="1:21" s="144" customFormat="1" ht="13.7" customHeight="1">
      <c r="A83" s="145" t="s">
        <v>2046</v>
      </c>
      <c r="B83" s="146">
        <f t="shared" ref="B83:B95" si="34">SUM(C83+D83)</f>
        <v>230503</v>
      </c>
      <c r="C83" s="147">
        <v>230503</v>
      </c>
      <c r="D83" s="147"/>
      <c r="E83" s="147">
        <f t="shared" ref="E83:E95" si="35">C83-SUM(F83:K83)</f>
        <v>0</v>
      </c>
      <c r="F83" s="147">
        <f>C83-SUM(G83:K83)</f>
        <v>230503</v>
      </c>
      <c r="G83" s="147"/>
      <c r="H83" s="147"/>
      <c r="I83" s="147"/>
      <c r="J83" s="147"/>
      <c r="K83" s="147"/>
      <c r="L83" s="147"/>
      <c r="M83" s="147"/>
      <c r="N83" s="147"/>
      <c r="O83" s="147"/>
      <c r="P83" s="147"/>
      <c r="Q83" s="147"/>
      <c r="R83" s="514">
        <f t="shared" ref="R83:R95" si="36">SUM(E83:Q83)</f>
        <v>230503</v>
      </c>
      <c r="S83" s="148"/>
      <c r="T83" s="148"/>
      <c r="U83" s="143"/>
    </row>
    <row r="84" spans="1:21" s="144" customFormat="1">
      <c r="A84" s="145" t="s">
        <v>766</v>
      </c>
      <c r="B84" s="146">
        <f t="shared" si="34"/>
        <v>40000</v>
      </c>
      <c r="C84" s="147">
        <v>40000</v>
      </c>
      <c r="D84" s="147"/>
      <c r="E84" s="147">
        <f t="shared" si="35"/>
        <v>0</v>
      </c>
      <c r="F84" s="147">
        <v>40000</v>
      </c>
      <c r="G84" s="147"/>
      <c r="H84" s="147"/>
      <c r="I84" s="147"/>
      <c r="J84" s="147"/>
      <c r="K84" s="147"/>
      <c r="L84" s="147"/>
      <c r="M84" s="147"/>
      <c r="N84" s="147"/>
      <c r="O84" s="147"/>
      <c r="P84" s="147"/>
      <c r="Q84" s="147"/>
      <c r="R84" s="514">
        <f t="shared" si="36"/>
        <v>40000</v>
      </c>
      <c r="S84" s="147">
        <f t="shared" ref="S84:S87" si="37">C84</f>
        <v>40000</v>
      </c>
      <c r="T84" s="147"/>
      <c r="U84" s="143"/>
    </row>
    <row r="85" spans="1:21" s="144" customFormat="1">
      <c r="A85" s="145" t="s">
        <v>767</v>
      </c>
      <c r="B85" s="146">
        <f t="shared" si="34"/>
        <v>1255882</v>
      </c>
      <c r="C85" s="147">
        <f>778435+5447+472000</f>
        <v>1255882</v>
      </c>
      <c r="D85" s="147"/>
      <c r="E85" s="147">
        <f t="shared" si="35"/>
        <v>1003619</v>
      </c>
      <c r="F85" s="147">
        <v>159867</v>
      </c>
      <c r="G85" s="147"/>
      <c r="H85" s="147">
        <f>70651+1894-8595-135+1623-14+26975-3</f>
        <v>92396</v>
      </c>
      <c r="I85" s="147"/>
      <c r="J85" s="147"/>
      <c r="K85" s="147"/>
      <c r="L85" s="147"/>
      <c r="M85" s="147"/>
      <c r="N85" s="147"/>
      <c r="O85" s="147"/>
      <c r="P85" s="147"/>
      <c r="Q85" s="147"/>
      <c r="R85" s="514">
        <f t="shared" si="36"/>
        <v>1255882</v>
      </c>
      <c r="S85" s="147">
        <f t="shared" si="37"/>
        <v>1255882</v>
      </c>
      <c r="T85" s="147"/>
      <c r="U85" s="143"/>
    </row>
    <row r="86" spans="1:21" s="144" customFormat="1">
      <c r="A86" s="145" t="s">
        <v>768</v>
      </c>
      <c r="B86" s="146">
        <f t="shared" si="34"/>
        <v>2476718</v>
      </c>
      <c r="C86" s="147">
        <f>3732600-C85</f>
        <v>2476718</v>
      </c>
      <c r="D86" s="147"/>
      <c r="E86" s="147">
        <f t="shared" si="35"/>
        <v>0</v>
      </c>
      <c r="F86" s="147">
        <f>C86</f>
        <v>2476718</v>
      </c>
      <c r="G86" s="147"/>
      <c r="H86" s="147"/>
      <c r="I86" s="147"/>
      <c r="J86" s="147"/>
      <c r="K86" s="147"/>
      <c r="L86" s="147"/>
      <c r="M86" s="147"/>
      <c r="N86" s="147"/>
      <c r="O86" s="147"/>
      <c r="P86" s="147"/>
      <c r="Q86" s="147"/>
      <c r="R86" s="514">
        <f t="shared" si="36"/>
        <v>2476718</v>
      </c>
      <c r="S86" s="147">
        <f t="shared" si="37"/>
        <v>2476718</v>
      </c>
      <c r="T86" s="147"/>
      <c r="U86" s="143"/>
    </row>
    <row r="87" spans="1:21" s="144" customFormat="1">
      <c r="A87" s="145" t="s">
        <v>769</v>
      </c>
      <c r="B87" s="146">
        <f t="shared" si="34"/>
        <v>0</v>
      </c>
      <c r="C87" s="147"/>
      <c r="D87" s="147"/>
      <c r="E87" s="147">
        <f t="shared" si="35"/>
        <v>0</v>
      </c>
      <c r="F87" s="147"/>
      <c r="G87" s="147"/>
      <c r="H87" s="147"/>
      <c r="I87" s="147"/>
      <c r="J87" s="147"/>
      <c r="K87" s="147"/>
      <c r="L87" s="147"/>
      <c r="M87" s="147"/>
      <c r="N87" s="147"/>
      <c r="O87" s="147"/>
      <c r="P87" s="147"/>
      <c r="Q87" s="147"/>
      <c r="R87" s="514">
        <f t="shared" si="36"/>
        <v>0</v>
      </c>
      <c r="S87" s="147">
        <f t="shared" si="37"/>
        <v>0</v>
      </c>
      <c r="T87" s="147"/>
      <c r="U87" s="143"/>
    </row>
    <row r="88" spans="1:21" s="144" customFormat="1">
      <c r="A88" s="145" t="s">
        <v>770</v>
      </c>
      <c r="B88" s="146">
        <f t="shared" si="34"/>
        <v>331324</v>
      </c>
      <c r="C88" s="147">
        <v>331324</v>
      </c>
      <c r="D88" s="147"/>
      <c r="E88" s="147">
        <f t="shared" si="35"/>
        <v>0</v>
      </c>
      <c r="F88" s="147">
        <v>315324</v>
      </c>
      <c r="G88" s="147">
        <v>16000</v>
      </c>
      <c r="H88" s="147"/>
      <c r="I88" s="147"/>
      <c r="J88" s="147"/>
      <c r="K88" s="147"/>
      <c r="L88" s="147"/>
      <c r="M88" s="147"/>
      <c r="N88" s="147"/>
      <c r="O88" s="147"/>
      <c r="P88" s="147"/>
      <c r="Q88" s="147"/>
      <c r="R88" s="514">
        <f t="shared" si="36"/>
        <v>331324</v>
      </c>
      <c r="S88" s="148"/>
      <c r="T88" s="148"/>
      <c r="U88" s="143"/>
    </row>
    <row r="89" spans="1:21" s="144" customFormat="1">
      <c r="A89" s="145" t="s">
        <v>771</v>
      </c>
      <c r="B89" s="146">
        <f t="shared" si="34"/>
        <v>300000</v>
      </c>
      <c r="C89" s="147">
        <f>300000</f>
        <v>300000</v>
      </c>
      <c r="D89" s="147"/>
      <c r="E89" s="147">
        <f t="shared" si="35"/>
        <v>0</v>
      </c>
      <c r="F89" s="147">
        <f>C89-SUM(G89:K89)</f>
        <v>0</v>
      </c>
      <c r="G89" s="147">
        <v>300000</v>
      </c>
      <c r="H89" s="147"/>
      <c r="I89" s="147"/>
      <c r="J89" s="147"/>
      <c r="K89" s="147"/>
      <c r="L89" s="147"/>
      <c r="M89" s="147"/>
      <c r="N89" s="147"/>
      <c r="O89" s="147"/>
      <c r="P89" s="147"/>
      <c r="Q89" s="147"/>
      <c r="R89" s="514">
        <f t="shared" si="36"/>
        <v>300000</v>
      </c>
      <c r="S89" s="147">
        <f t="shared" ref="S89:S93" si="38">C89</f>
        <v>300000</v>
      </c>
      <c r="T89" s="147"/>
      <c r="U89" s="143"/>
    </row>
    <row r="90" spans="1:21" s="144" customFormat="1">
      <c r="A90" s="145" t="s">
        <v>772</v>
      </c>
      <c r="B90" s="146">
        <f t="shared" si="34"/>
        <v>14000</v>
      </c>
      <c r="C90" s="147">
        <v>14000</v>
      </c>
      <c r="D90" s="147"/>
      <c r="E90" s="147">
        <f t="shared" si="35"/>
        <v>0</v>
      </c>
      <c r="F90" s="147"/>
      <c r="G90" s="1266">
        <v>14000</v>
      </c>
      <c r="H90" s="147"/>
      <c r="I90" s="147"/>
      <c r="J90" s="147"/>
      <c r="K90" s="147"/>
      <c r="L90" s="147"/>
      <c r="M90" s="147"/>
      <c r="N90" s="147"/>
      <c r="O90" s="147"/>
      <c r="P90" s="147"/>
      <c r="Q90" s="147"/>
      <c r="R90" s="514">
        <f t="shared" si="36"/>
        <v>14000</v>
      </c>
      <c r="S90" s="147">
        <f t="shared" si="38"/>
        <v>14000</v>
      </c>
      <c r="T90" s="147"/>
      <c r="U90" s="143"/>
    </row>
    <row r="91" spans="1:21" s="144" customFormat="1">
      <c r="A91" s="145" t="s">
        <v>371</v>
      </c>
      <c r="B91" s="146">
        <f t="shared" si="34"/>
        <v>220000</v>
      </c>
      <c r="C91" s="147">
        <f>120000+100000</f>
        <v>220000</v>
      </c>
      <c r="D91" s="147"/>
      <c r="E91" s="147">
        <f t="shared" si="35"/>
        <v>0</v>
      </c>
      <c r="F91" s="147">
        <f>C91-SUM(G91:K91)</f>
        <v>0</v>
      </c>
      <c r="G91" s="1266">
        <v>120000</v>
      </c>
      <c r="H91" s="147">
        <v>100000</v>
      </c>
      <c r="I91" s="147"/>
      <c r="J91" s="147"/>
      <c r="K91" s="147"/>
      <c r="L91" s="147"/>
      <c r="M91" s="147"/>
      <c r="N91" s="147"/>
      <c r="O91" s="147"/>
      <c r="P91" s="147"/>
      <c r="Q91" s="147"/>
      <c r="R91" s="514">
        <f t="shared" si="36"/>
        <v>220000</v>
      </c>
      <c r="S91" s="147">
        <f t="shared" si="38"/>
        <v>220000</v>
      </c>
      <c r="T91" s="147"/>
      <c r="U91" s="143"/>
    </row>
    <row r="92" spans="1:21" s="144" customFormat="1">
      <c r="A92" s="281" t="s">
        <v>1208</v>
      </c>
      <c r="B92" s="146">
        <f t="shared" si="34"/>
        <v>0</v>
      </c>
      <c r="C92" s="147"/>
      <c r="D92" s="147"/>
      <c r="E92" s="147">
        <f t="shared" si="35"/>
        <v>0</v>
      </c>
      <c r="F92" s="147"/>
      <c r="G92" s="147"/>
      <c r="H92" s="147"/>
      <c r="I92" s="147"/>
      <c r="J92" s="147"/>
      <c r="K92" s="147"/>
      <c r="L92" s="147"/>
      <c r="M92" s="147"/>
      <c r="N92" s="147"/>
      <c r="O92" s="147"/>
      <c r="P92" s="147"/>
      <c r="Q92" s="147"/>
      <c r="R92" s="514">
        <f t="shared" si="36"/>
        <v>0</v>
      </c>
      <c r="S92" s="147">
        <f t="shared" si="38"/>
        <v>0</v>
      </c>
      <c r="T92" s="147"/>
      <c r="U92" s="143"/>
    </row>
    <row r="93" spans="1:21" s="144" customFormat="1">
      <c r="A93" s="1138" t="s">
        <v>2762</v>
      </c>
      <c r="B93" s="146">
        <f t="shared" si="34"/>
        <v>80000</v>
      </c>
      <c r="C93" s="147">
        <v>80000</v>
      </c>
      <c r="D93" s="147"/>
      <c r="E93" s="147">
        <f t="shared" si="35"/>
        <v>0</v>
      </c>
      <c r="F93" s="147"/>
      <c r="G93" s="147"/>
      <c r="H93" s="147">
        <v>80000</v>
      </c>
      <c r="I93" s="147"/>
      <c r="J93" s="147"/>
      <c r="K93" s="147"/>
      <c r="L93" s="147"/>
      <c r="M93" s="147"/>
      <c r="N93" s="147"/>
      <c r="O93" s="147"/>
      <c r="P93" s="147"/>
      <c r="Q93" s="147"/>
      <c r="R93" s="514">
        <f t="shared" si="36"/>
        <v>80000</v>
      </c>
      <c r="S93" s="147">
        <f t="shared" si="38"/>
        <v>80000</v>
      </c>
      <c r="T93" s="147"/>
      <c r="U93" s="143"/>
    </row>
    <row r="94" spans="1:21" s="144" customFormat="1">
      <c r="A94" s="1138" t="s">
        <v>2781</v>
      </c>
      <c r="B94" s="146">
        <f t="shared" si="34"/>
        <v>72000</v>
      </c>
      <c r="C94" s="147">
        <v>72000</v>
      </c>
      <c r="D94" s="147"/>
      <c r="E94" s="147">
        <f t="shared" si="35"/>
        <v>0</v>
      </c>
      <c r="F94" s="147"/>
      <c r="G94" s="147"/>
      <c r="H94" s="147">
        <f>72000-I94</f>
        <v>72000</v>
      </c>
      <c r="I94" s="147"/>
      <c r="J94" s="147"/>
      <c r="K94" s="147"/>
      <c r="L94" s="147"/>
      <c r="M94" s="147"/>
      <c r="N94" s="147"/>
      <c r="O94" s="147"/>
      <c r="P94" s="147"/>
      <c r="Q94" s="147"/>
      <c r="R94" s="514">
        <f t="shared" si="36"/>
        <v>72000</v>
      </c>
      <c r="S94" s="147">
        <v>0</v>
      </c>
      <c r="T94" s="147"/>
      <c r="U94" s="143"/>
    </row>
    <row r="95" spans="1:21" s="144" customFormat="1">
      <c r="A95" s="1138" t="s">
        <v>34</v>
      </c>
      <c r="B95" s="146">
        <f t="shared" si="34"/>
        <v>0</v>
      </c>
      <c r="C95" s="147"/>
      <c r="D95" s="147"/>
      <c r="E95" s="147">
        <f t="shared" si="35"/>
        <v>0</v>
      </c>
      <c r="F95" s="147"/>
      <c r="G95" s="147"/>
      <c r="H95" s="147"/>
      <c r="I95" s="147"/>
      <c r="J95" s="147"/>
      <c r="K95" s="147"/>
      <c r="L95" s="147"/>
      <c r="M95" s="147"/>
      <c r="N95" s="147"/>
      <c r="O95" s="147"/>
      <c r="P95" s="147"/>
      <c r="Q95" s="147"/>
      <c r="R95" s="514">
        <f t="shared" si="36"/>
        <v>0</v>
      </c>
      <c r="S95" s="147"/>
      <c r="T95" s="147"/>
      <c r="U95" s="143"/>
    </row>
    <row r="96" spans="1:21" s="144" customFormat="1">
      <c r="A96" s="149" t="s">
        <v>773</v>
      </c>
      <c r="B96" s="146">
        <f>SUM(C96:D96)</f>
        <v>5020427</v>
      </c>
      <c r="C96" s="146">
        <f t="shared" ref="C96:R96" si="39">SUM(C83:C95)</f>
        <v>5020427</v>
      </c>
      <c r="D96" s="146">
        <f t="shared" si="39"/>
        <v>0</v>
      </c>
      <c r="E96" s="146">
        <f t="shared" si="39"/>
        <v>1003619</v>
      </c>
      <c r="F96" s="146">
        <f t="shared" si="39"/>
        <v>3222412</v>
      </c>
      <c r="G96" s="146">
        <f t="shared" si="39"/>
        <v>450000</v>
      </c>
      <c r="H96" s="146">
        <f t="shared" si="39"/>
        <v>344396</v>
      </c>
      <c r="I96" s="146">
        <f t="shared" si="39"/>
        <v>0</v>
      </c>
      <c r="J96" s="146">
        <f t="shared" si="39"/>
        <v>0</v>
      </c>
      <c r="K96" s="146">
        <f t="shared" si="39"/>
        <v>0</v>
      </c>
      <c r="L96" s="146">
        <f t="shared" si="39"/>
        <v>0</v>
      </c>
      <c r="M96" s="146">
        <f t="shared" si="39"/>
        <v>0</v>
      </c>
      <c r="N96" s="146">
        <f t="shared" si="39"/>
        <v>0</v>
      </c>
      <c r="O96" s="146">
        <f t="shared" si="39"/>
        <v>0</v>
      </c>
      <c r="P96" s="146">
        <f t="shared" si="39"/>
        <v>0</v>
      </c>
      <c r="Q96" s="146">
        <f t="shared" si="39"/>
        <v>0</v>
      </c>
      <c r="R96" s="340">
        <f t="shared" si="39"/>
        <v>5020427</v>
      </c>
      <c r="S96" s="150">
        <f>SUM(S84:S87,S89:S95)</f>
        <v>4386600</v>
      </c>
      <c r="T96" s="146">
        <f>SUM(T84:T87,T89:T95)</f>
        <v>0</v>
      </c>
      <c r="U96" s="143"/>
    </row>
    <row r="97" spans="1:21" s="144" customFormat="1">
      <c r="A97" s="149" t="s">
        <v>774</v>
      </c>
      <c r="B97" s="146">
        <f>SUM(C97:D97)</f>
        <v>51641072</v>
      </c>
      <c r="C97" s="146">
        <f t="shared" ref="C97:R97" si="40">SUM(C63+C70+C77+C81+C96)</f>
        <v>51641072</v>
      </c>
      <c r="D97" s="146">
        <f t="shared" si="40"/>
        <v>0</v>
      </c>
      <c r="E97" s="146">
        <f t="shared" si="40"/>
        <v>37526676</v>
      </c>
      <c r="F97" s="146">
        <f t="shared" si="40"/>
        <v>13320000</v>
      </c>
      <c r="G97" s="146">
        <f t="shared" si="40"/>
        <v>450000</v>
      </c>
      <c r="H97" s="146">
        <f t="shared" si="40"/>
        <v>344396</v>
      </c>
      <c r="I97" s="146">
        <f t="shared" si="40"/>
        <v>0</v>
      </c>
      <c r="J97" s="146">
        <f t="shared" si="40"/>
        <v>0</v>
      </c>
      <c r="K97" s="146">
        <f t="shared" si="40"/>
        <v>0</v>
      </c>
      <c r="L97" s="146">
        <f t="shared" si="40"/>
        <v>0</v>
      </c>
      <c r="M97" s="146">
        <f t="shared" si="40"/>
        <v>0</v>
      </c>
      <c r="N97" s="146">
        <f t="shared" si="40"/>
        <v>0</v>
      </c>
      <c r="O97" s="146">
        <f t="shared" si="40"/>
        <v>0</v>
      </c>
      <c r="P97" s="146">
        <f t="shared" si="40"/>
        <v>0</v>
      </c>
      <c r="Q97" s="146">
        <f t="shared" si="40"/>
        <v>0</v>
      </c>
      <c r="R97" s="146">
        <f t="shared" si="40"/>
        <v>51641072</v>
      </c>
      <c r="S97" s="146">
        <f>SUM(S63+S70+S81+S96)</f>
        <v>48482041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6500000</v>
      </c>
      <c r="C99" s="971">
        <v>6500000</v>
      </c>
      <c r="D99" s="971"/>
      <c r="E99" s="971">
        <f t="shared" ref="E99:E103" si="41">C99-SUM(F99:K99)</f>
        <v>500000</v>
      </c>
      <c r="F99" s="147">
        <v>1800000</v>
      </c>
      <c r="G99" s="147">
        <v>700000</v>
      </c>
      <c r="H99" s="147"/>
      <c r="I99" s="147">
        <v>3500000</v>
      </c>
      <c r="J99" s="147"/>
      <c r="K99" s="147"/>
      <c r="L99" s="147"/>
      <c r="M99" s="147"/>
      <c r="N99" s="147"/>
      <c r="O99" s="147"/>
      <c r="P99" s="147"/>
      <c r="Q99" s="147"/>
      <c r="R99" s="514">
        <f>SUM(E99:Q99)</f>
        <v>6500000</v>
      </c>
      <c r="S99" s="147">
        <f t="shared" ref="S99:S103" si="42">C99</f>
        <v>6500000</v>
      </c>
      <c r="T99" s="147"/>
      <c r="U99" s="143"/>
    </row>
    <row r="100" spans="1:21" s="144" customFormat="1">
      <c r="A100" s="281" t="s">
        <v>1632</v>
      </c>
      <c r="B100" s="146">
        <f>SUM(C100+D100)</f>
        <v>0</v>
      </c>
      <c r="C100" s="147"/>
      <c r="D100" s="147"/>
      <c r="E100" s="147">
        <f t="shared" si="41"/>
        <v>0</v>
      </c>
      <c r="F100" s="147"/>
      <c r="G100" s="147"/>
      <c r="H100" s="147"/>
      <c r="I100" s="147"/>
      <c r="J100" s="147"/>
      <c r="K100" s="147"/>
      <c r="L100" s="147"/>
      <c r="M100" s="147"/>
      <c r="N100" s="147"/>
      <c r="O100" s="147"/>
      <c r="P100" s="147"/>
      <c r="Q100" s="147"/>
      <c r="R100" s="514">
        <f>SUM(E100:Q100)</f>
        <v>0</v>
      </c>
      <c r="S100" s="147">
        <f t="shared" si="42"/>
        <v>0</v>
      </c>
      <c r="T100" s="147"/>
      <c r="U100" s="143"/>
    </row>
    <row r="101" spans="1:21" s="144" customFormat="1" ht="12" customHeight="1">
      <c r="A101" s="145" t="s">
        <v>777</v>
      </c>
      <c r="B101" s="146">
        <f>SUM(C101+D101)</f>
        <v>0</v>
      </c>
      <c r="C101" s="147"/>
      <c r="D101" s="147"/>
      <c r="E101" s="147">
        <f t="shared" si="41"/>
        <v>0</v>
      </c>
      <c r="F101" s="147"/>
      <c r="G101" s="147"/>
      <c r="H101" s="147"/>
      <c r="I101" s="147"/>
      <c r="J101" s="147"/>
      <c r="K101" s="147"/>
      <c r="L101" s="147"/>
      <c r="M101" s="147"/>
      <c r="N101" s="147"/>
      <c r="O101" s="147"/>
      <c r="P101" s="147"/>
      <c r="Q101" s="147"/>
      <c r="R101" s="514">
        <f>SUM(E101:Q101)</f>
        <v>0</v>
      </c>
      <c r="S101" s="147">
        <f t="shared" si="42"/>
        <v>0</v>
      </c>
      <c r="T101" s="147"/>
      <c r="U101" s="143"/>
    </row>
    <row r="102" spans="1:21" s="144" customFormat="1">
      <c r="A102" s="281" t="s">
        <v>1633</v>
      </c>
      <c r="B102" s="146">
        <f>SUM(C102+D102)</f>
        <v>0</v>
      </c>
      <c r="C102" s="147"/>
      <c r="D102" s="147"/>
      <c r="E102" s="147">
        <f t="shared" si="41"/>
        <v>0</v>
      </c>
      <c r="F102" s="147"/>
      <c r="G102" s="147"/>
      <c r="H102" s="147"/>
      <c r="I102" s="147"/>
      <c r="J102" s="147"/>
      <c r="K102" s="147"/>
      <c r="L102" s="147"/>
      <c r="M102" s="147"/>
      <c r="N102" s="147"/>
      <c r="O102" s="147"/>
      <c r="P102" s="147"/>
      <c r="Q102" s="147"/>
      <c r="R102" s="514">
        <f>SUM(E102:Q102)</f>
        <v>0</v>
      </c>
      <c r="S102" s="147">
        <f t="shared" si="42"/>
        <v>0</v>
      </c>
      <c r="T102" s="147"/>
      <c r="U102" s="143"/>
    </row>
    <row r="103" spans="1:21" s="144" customFormat="1">
      <c r="A103" s="1138" t="s">
        <v>34</v>
      </c>
      <c r="B103" s="146">
        <f>SUM(C103+D103)</f>
        <v>0</v>
      </c>
      <c r="C103" s="147"/>
      <c r="D103" s="147"/>
      <c r="E103" s="147">
        <f t="shared" si="41"/>
        <v>0</v>
      </c>
      <c r="F103" s="147"/>
      <c r="G103" s="147"/>
      <c r="H103" s="147"/>
      <c r="I103" s="147"/>
      <c r="J103" s="147"/>
      <c r="K103" s="147"/>
      <c r="L103" s="147"/>
      <c r="M103" s="147"/>
      <c r="N103" s="147"/>
      <c r="O103" s="147"/>
      <c r="P103" s="147"/>
      <c r="Q103" s="147"/>
      <c r="R103" s="514">
        <f>SUM(E103:Q103)</f>
        <v>0</v>
      </c>
      <c r="S103" s="147">
        <f t="shared" si="42"/>
        <v>0</v>
      </c>
      <c r="T103" s="147"/>
      <c r="U103" s="143"/>
    </row>
    <row r="104" spans="1:21" s="144" customFormat="1">
      <c r="A104" s="149" t="s">
        <v>778</v>
      </c>
      <c r="B104" s="146">
        <f>SUM(C104:D104)</f>
        <v>6500000</v>
      </c>
      <c r="C104" s="146">
        <f>SUM(C99:C103)</f>
        <v>6500000</v>
      </c>
      <c r="D104" s="146">
        <f t="shared" ref="D104:T104" si="43">SUM(D99:D103)</f>
        <v>0</v>
      </c>
      <c r="E104" s="146">
        <f t="shared" si="43"/>
        <v>500000</v>
      </c>
      <c r="F104" s="146">
        <f t="shared" si="43"/>
        <v>1800000</v>
      </c>
      <c r="G104" s="146">
        <f t="shared" si="43"/>
        <v>700000</v>
      </c>
      <c r="H104" s="146">
        <f t="shared" si="43"/>
        <v>0</v>
      </c>
      <c r="I104" s="146">
        <f t="shared" si="43"/>
        <v>3500000</v>
      </c>
      <c r="J104" s="146">
        <f t="shared" si="43"/>
        <v>0</v>
      </c>
      <c r="K104" s="146">
        <f t="shared" si="43"/>
        <v>0</v>
      </c>
      <c r="L104" s="146">
        <f t="shared" si="43"/>
        <v>0</v>
      </c>
      <c r="M104" s="146">
        <f t="shared" si="43"/>
        <v>0</v>
      </c>
      <c r="N104" s="146">
        <f t="shared" si="43"/>
        <v>0</v>
      </c>
      <c r="O104" s="146">
        <f t="shared" si="43"/>
        <v>0</v>
      </c>
      <c r="P104" s="146">
        <f t="shared" si="43"/>
        <v>0</v>
      </c>
      <c r="Q104" s="146">
        <f t="shared" si="43"/>
        <v>0</v>
      </c>
      <c r="R104" s="340">
        <f t="shared" si="43"/>
        <v>6500000</v>
      </c>
      <c r="S104" s="150">
        <f t="shared" si="43"/>
        <v>6500000</v>
      </c>
      <c r="T104" s="150">
        <f t="shared" si="43"/>
        <v>0</v>
      </c>
      <c r="U104" s="143"/>
    </row>
    <row r="105" spans="1:21" s="144" customFormat="1">
      <c r="A105" s="149" t="s">
        <v>779</v>
      </c>
      <c r="B105" s="150">
        <f>SUM(C105:D105)</f>
        <v>58141072</v>
      </c>
      <c r="C105" s="150">
        <f t="shared" ref="C105:R105" si="44">SUM(C97+C104)</f>
        <v>58141072</v>
      </c>
      <c r="D105" s="150">
        <f t="shared" si="44"/>
        <v>0</v>
      </c>
      <c r="E105" s="150">
        <f t="shared" si="44"/>
        <v>38026676</v>
      </c>
      <c r="F105" s="150">
        <f t="shared" si="44"/>
        <v>15120000</v>
      </c>
      <c r="G105" s="150">
        <f t="shared" si="44"/>
        <v>1150000</v>
      </c>
      <c r="H105" s="150">
        <f t="shared" si="44"/>
        <v>344396</v>
      </c>
      <c r="I105" s="150">
        <f t="shared" si="44"/>
        <v>3500000</v>
      </c>
      <c r="J105" s="150">
        <f t="shared" si="44"/>
        <v>0</v>
      </c>
      <c r="K105" s="150">
        <f t="shared" si="44"/>
        <v>0</v>
      </c>
      <c r="L105" s="150">
        <f t="shared" si="44"/>
        <v>0</v>
      </c>
      <c r="M105" s="150">
        <f t="shared" si="44"/>
        <v>0</v>
      </c>
      <c r="N105" s="150">
        <f t="shared" si="44"/>
        <v>0</v>
      </c>
      <c r="O105" s="150">
        <f t="shared" si="44"/>
        <v>0</v>
      </c>
      <c r="P105" s="150">
        <f t="shared" si="44"/>
        <v>0</v>
      </c>
      <c r="Q105" s="150">
        <f t="shared" si="44"/>
        <v>0</v>
      </c>
      <c r="R105" s="340">
        <f t="shared" si="44"/>
        <v>58141072</v>
      </c>
      <c r="S105" s="150">
        <f>S97+S104</f>
        <v>54982041</v>
      </c>
      <c r="T105" s="150">
        <f>T97+T104</f>
        <v>0</v>
      </c>
      <c r="U105" s="143"/>
    </row>
    <row r="106" spans="1:21">
      <c r="A106" s="512"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54982041</v>
      </c>
      <c r="T107" s="150">
        <f>T105+T106</f>
        <v>0</v>
      </c>
    </row>
    <row r="108" spans="1:21" s="189" customFormat="1">
      <c r="A108" s="162" t="s">
        <v>876</v>
      </c>
      <c r="B108" s="157"/>
      <c r="C108" s="157"/>
      <c r="D108" s="157"/>
      <c r="E108" s="299">
        <f>Application!AO648</f>
        <v>38026676</v>
      </c>
      <c r="F108" s="299">
        <f>Application!AO635</f>
        <v>15120000</v>
      </c>
      <c r="G108" s="299">
        <f>Application!AO636</f>
        <v>1150000</v>
      </c>
      <c r="H108" s="299">
        <f>Application!AO637</f>
        <v>344396</v>
      </c>
      <c r="I108" s="299">
        <f>Application!AO638</f>
        <v>3500000</v>
      </c>
      <c r="J108" s="299">
        <f>Application!AO639</f>
        <v>0</v>
      </c>
      <c r="K108" s="299">
        <f>Application!AO640</f>
        <v>0</v>
      </c>
      <c r="L108" s="299">
        <f>Application!AO641</f>
        <v>0</v>
      </c>
      <c r="M108" s="299">
        <f>Application!AO642</f>
        <v>0</v>
      </c>
      <c r="N108" s="299">
        <f>Application!AO643</f>
        <v>0</v>
      </c>
      <c r="O108" s="299">
        <f>Application!AO644</f>
        <v>0</v>
      </c>
      <c r="P108" s="299">
        <f>Application!AO645</f>
        <v>0</v>
      </c>
      <c r="Q108" s="299">
        <f>Application!AO646</f>
        <v>0</v>
      </c>
      <c r="R108" s="158"/>
      <c r="S108" s="158"/>
      <c r="T108" s="158"/>
      <c r="U108" s="188"/>
    </row>
    <row r="109" spans="1:21" ht="10.3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0"/>
      <c r="B112" s="157"/>
      <c r="C112" s="157"/>
      <c r="D112" s="157"/>
    </row>
    <row r="113" spans="1:21">
      <c r="A113" s="156" t="s">
        <v>1016</v>
      </c>
      <c r="B113" s="157"/>
      <c r="C113" s="157"/>
      <c r="D113" s="157"/>
    </row>
    <row r="114" spans="1:21">
      <c r="A114" s="156" t="s">
        <v>2047</v>
      </c>
      <c r="B114" s="157"/>
      <c r="C114" s="157"/>
      <c r="D114" s="157"/>
    </row>
    <row r="115" spans="1:21" ht="12" customHeight="1">
      <c r="A115" s="310"/>
      <c r="B115" s="157"/>
      <c r="C115" s="157"/>
      <c r="D115" s="157"/>
    </row>
    <row r="116" spans="1:21">
      <c r="A116" s="343" t="s">
        <v>1019</v>
      </c>
      <c r="B116" s="157"/>
      <c r="C116" s="157"/>
      <c r="D116" s="157"/>
    </row>
    <row r="117" spans="1:21">
      <c r="A117" s="343" t="s">
        <v>1220</v>
      </c>
      <c r="B117" s="157"/>
      <c r="C117" s="157"/>
      <c r="D117" s="157"/>
    </row>
    <row r="118" spans="1:21">
      <c r="A118" s="343" t="s">
        <v>1018</v>
      </c>
      <c r="B118" s="157"/>
      <c r="C118" s="157"/>
      <c r="D118" s="157"/>
    </row>
    <row r="119" spans="1:21">
      <c r="A119" s="343" t="s">
        <v>1020</v>
      </c>
      <c r="B119" s="157"/>
      <c r="C119" s="157"/>
      <c r="D119" s="157"/>
    </row>
    <row r="120" spans="1:21" ht="12" customHeight="1">
      <c r="A120" s="342"/>
      <c r="B120" s="157"/>
      <c r="C120" s="157"/>
      <c r="D120" s="157"/>
    </row>
    <row r="121" spans="1:21" ht="15.75">
      <c r="A121" s="336" t="s">
        <v>1002</v>
      </c>
      <c r="B121" s="157"/>
      <c r="C121" s="157"/>
      <c r="D121" s="157"/>
    </row>
    <row r="122" spans="1:21">
      <c r="A122" s="323" t="s">
        <v>986</v>
      </c>
      <c r="B122" s="322"/>
      <c r="C122" s="322"/>
      <c r="D122" s="2139" t="s">
        <v>987</v>
      </c>
      <c r="E122" s="2139"/>
      <c r="F122" s="2139"/>
      <c r="G122" s="322"/>
      <c r="H122" s="322"/>
      <c r="I122" s="322"/>
      <c r="J122" s="322"/>
      <c r="K122" s="322"/>
      <c r="L122" s="322"/>
      <c r="M122" s="322"/>
      <c r="N122" s="322"/>
      <c r="O122" s="322"/>
      <c r="P122" s="322"/>
      <c r="Q122" s="322"/>
      <c r="R122" s="322"/>
      <c r="S122" s="322"/>
      <c r="T122" s="322"/>
      <c r="U122" s="324"/>
    </row>
    <row r="123" spans="1:21">
      <c r="A123" s="322" t="s">
        <v>988</v>
      </c>
      <c r="B123" s="331"/>
      <c r="C123" s="322"/>
      <c r="D123" s="2141" t="s">
        <v>1221</v>
      </c>
      <c r="E123" s="2045"/>
      <c r="F123" s="2045"/>
      <c r="G123" s="2045"/>
      <c r="H123" s="2045"/>
      <c r="I123" s="2045"/>
      <c r="J123" s="2045"/>
      <c r="K123" s="2045"/>
      <c r="L123" s="2045"/>
      <c r="M123" s="2045"/>
      <c r="N123" s="2045"/>
      <c r="O123" s="2045"/>
      <c r="P123" s="2045"/>
      <c r="Q123" s="2045"/>
      <c r="R123" s="2045"/>
      <c r="S123" s="2045"/>
      <c r="T123" s="322"/>
      <c r="U123" s="324"/>
    </row>
    <row r="124" spans="1:21" ht="12.75">
      <c r="A124" s="117" t="s">
        <v>989</v>
      </c>
      <c r="B124" s="331"/>
      <c r="C124" s="117"/>
      <c r="D124" s="2045"/>
      <c r="E124" s="2045"/>
      <c r="F124" s="2045"/>
      <c r="G124" s="2045"/>
      <c r="H124" s="2045"/>
      <c r="I124" s="2045"/>
      <c r="J124" s="2045"/>
      <c r="K124" s="2045"/>
      <c r="L124" s="2045"/>
      <c r="M124" s="2045"/>
      <c r="N124" s="2045"/>
      <c r="O124" s="2045"/>
      <c r="P124" s="2045"/>
      <c r="Q124" s="2045"/>
      <c r="R124" s="2045"/>
      <c r="S124" s="2045"/>
      <c r="T124" s="322"/>
      <c r="U124" s="324"/>
    </row>
    <row r="125" spans="1:21" ht="12.75">
      <c r="A125" s="117" t="s">
        <v>990</v>
      </c>
      <c r="B125" s="331"/>
      <c r="C125" s="117"/>
      <c r="D125" s="2045"/>
      <c r="E125" s="2045"/>
      <c r="F125" s="2045"/>
      <c r="G125" s="2045"/>
      <c r="H125" s="2045"/>
      <c r="I125" s="2045"/>
      <c r="J125" s="2045"/>
      <c r="K125" s="2045"/>
      <c r="L125" s="2045"/>
      <c r="M125" s="2045"/>
      <c r="N125" s="2045"/>
      <c r="O125" s="2045"/>
      <c r="P125" s="2045"/>
      <c r="Q125" s="2045"/>
      <c r="R125" s="2045"/>
      <c r="S125" s="2045"/>
      <c r="T125" s="322"/>
      <c r="U125" s="324"/>
    </row>
    <row r="126" spans="1:21" ht="12.75">
      <c r="A126" s="117" t="s">
        <v>991</v>
      </c>
      <c r="B126" s="331"/>
      <c r="C126" s="117"/>
      <c r="D126" s="116"/>
      <c r="E126" s="116"/>
      <c r="F126" s="116"/>
      <c r="G126" s="116"/>
      <c r="H126" s="116"/>
      <c r="I126" s="116"/>
      <c r="J126" s="116"/>
      <c r="K126" s="116"/>
      <c r="L126" s="116"/>
      <c r="M126" s="116"/>
      <c r="N126" s="116"/>
      <c r="O126" s="117"/>
      <c r="P126" s="117"/>
      <c r="Q126" s="117"/>
      <c r="R126" s="117"/>
      <c r="S126" s="117"/>
      <c r="T126" s="322"/>
      <c r="U126" s="324"/>
    </row>
    <row r="127" spans="1:21" ht="12.75">
      <c r="A127" s="117" t="s">
        <v>992</v>
      </c>
      <c r="B127" s="331"/>
      <c r="C127" s="117"/>
      <c r="D127" s="116"/>
      <c r="E127" s="116"/>
      <c r="F127" s="116"/>
      <c r="G127" s="116"/>
      <c r="H127" s="116"/>
      <c r="I127" s="116"/>
      <c r="J127" s="116"/>
      <c r="K127" s="116"/>
      <c r="L127" s="116"/>
      <c r="M127" s="116"/>
      <c r="N127" s="116"/>
      <c r="O127" s="117"/>
      <c r="P127" s="117"/>
      <c r="Q127" s="117"/>
      <c r="R127" s="117"/>
      <c r="S127" s="117"/>
      <c r="T127" s="322"/>
      <c r="U127" s="324"/>
    </row>
    <row r="128" spans="1:21" ht="12.75">
      <c r="A128" s="117" t="s">
        <v>993</v>
      </c>
      <c r="B128" s="331"/>
      <c r="C128" s="117"/>
      <c r="D128" s="2136"/>
      <c r="E128" s="2136"/>
      <c r="F128" s="2136"/>
      <c r="G128" s="2136"/>
      <c r="H128" s="2136"/>
      <c r="I128" s="117"/>
      <c r="J128" s="2137"/>
      <c r="K128" s="2137"/>
      <c r="L128" s="117"/>
      <c r="M128" s="117"/>
      <c r="N128" s="117"/>
      <c r="O128" s="117"/>
      <c r="P128" s="117"/>
      <c r="Q128" s="117"/>
      <c r="R128" s="117"/>
      <c r="S128" s="117"/>
      <c r="T128" s="322"/>
      <c r="U128" s="324"/>
    </row>
    <row r="129" spans="1:21" ht="12.75">
      <c r="A129" s="117" t="s">
        <v>299</v>
      </c>
      <c r="B129" s="331"/>
      <c r="C129" s="117"/>
      <c r="D129" s="2138" t="s">
        <v>994</v>
      </c>
      <c r="E129" s="2138"/>
      <c r="F129" s="2138"/>
      <c r="G129" s="2138"/>
      <c r="H129" s="2138"/>
      <c r="I129" s="117"/>
      <c r="J129" s="117" t="s">
        <v>995</v>
      </c>
      <c r="K129" s="117"/>
      <c r="L129" s="117"/>
      <c r="M129" s="117"/>
      <c r="N129" s="117"/>
      <c r="O129" s="117"/>
      <c r="P129" s="117"/>
      <c r="Q129" s="117"/>
      <c r="R129" s="117"/>
      <c r="S129" s="117"/>
      <c r="T129" s="322"/>
      <c r="U129" s="324"/>
    </row>
    <row r="130" spans="1:21" ht="12" customHeight="1">
      <c r="A130" s="117"/>
      <c r="B130" s="330"/>
      <c r="C130" s="117"/>
      <c r="D130" s="117"/>
      <c r="E130" s="117"/>
      <c r="F130" s="117"/>
      <c r="G130" s="117"/>
      <c r="H130" s="117"/>
      <c r="I130" s="117"/>
      <c r="J130" s="117"/>
      <c r="K130" s="117"/>
      <c r="L130" s="117"/>
      <c r="M130" s="117"/>
      <c r="N130" s="117"/>
      <c r="O130" s="117"/>
      <c r="P130" s="117"/>
      <c r="Q130" s="117"/>
      <c r="R130" s="117"/>
      <c r="S130" s="117"/>
      <c r="T130" s="322"/>
      <c r="U130" s="324"/>
    </row>
    <row r="131" spans="1:21" ht="12.75">
      <c r="A131" s="333" t="s">
        <v>996</v>
      </c>
      <c r="B131" s="332">
        <f>SUM(B123:B129)</f>
        <v>0</v>
      </c>
      <c r="C131" s="117"/>
      <c r="D131" s="2075"/>
      <c r="E131" s="2075"/>
      <c r="F131" s="2075"/>
      <c r="G131" s="2075"/>
      <c r="H131" s="2075"/>
      <c r="I131" s="117"/>
      <c r="J131" s="2075"/>
      <c r="K131" s="2075"/>
      <c r="L131" s="2075"/>
      <c r="M131" s="2075"/>
      <c r="N131" s="117"/>
      <c r="O131" s="117"/>
      <c r="P131" s="117"/>
      <c r="Q131" s="117"/>
      <c r="R131" s="117"/>
      <c r="S131" s="117"/>
      <c r="T131" s="322"/>
      <c r="U131" s="324"/>
    </row>
    <row r="132" spans="1:21" ht="12" customHeight="1">
      <c r="A132" s="334"/>
      <c r="B132" s="117"/>
      <c r="C132" s="117"/>
      <c r="D132" s="2142" t="s">
        <v>997</v>
      </c>
      <c r="E132" s="2142"/>
      <c r="F132" s="2142"/>
      <c r="G132" s="2142"/>
      <c r="H132" s="2142"/>
      <c r="I132" s="117"/>
      <c r="J132" s="2142" t="s">
        <v>998</v>
      </c>
      <c r="K132" s="2142"/>
      <c r="L132" s="2142"/>
      <c r="M132" s="2142"/>
      <c r="N132" s="117"/>
      <c r="O132" s="117"/>
      <c r="P132" s="117"/>
      <c r="Q132" s="117"/>
      <c r="R132" s="117"/>
      <c r="S132" s="117"/>
      <c r="T132" s="322"/>
      <c r="U132" s="324"/>
    </row>
    <row r="133" spans="1:21" ht="12" customHeight="1">
      <c r="A133" s="334"/>
      <c r="B133" s="117"/>
      <c r="C133" s="117"/>
      <c r="D133" s="117"/>
      <c r="E133" s="117"/>
      <c r="F133" s="117"/>
      <c r="G133" s="117"/>
      <c r="H133" s="117"/>
      <c r="I133" s="117"/>
      <c r="J133" s="117"/>
      <c r="K133" s="117"/>
      <c r="L133" s="117"/>
      <c r="M133" s="117"/>
      <c r="N133" s="117"/>
      <c r="O133" s="117"/>
      <c r="P133" s="117"/>
      <c r="Q133" s="117"/>
      <c r="R133" s="117"/>
      <c r="S133" s="117"/>
      <c r="T133" s="322"/>
      <c r="U133" s="324"/>
    </row>
    <row r="134" spans="1:21" ht="12.75">
      <c r="A134" s="91" t="s">
        <v>999</v>
      </c>
      <c r="B134" s="117"/>
      <c r="C134" s="117"/>
      <c r="D134" s="117"/>
      <c r="E134" s="117"/>
      <c r="F134" s="117"/>
      <c r="G134" s="117"/>
      <c r="H134" s="117"/>
      <c r="I134" s="117"/>
      <c r="J134" s="117"/>
      <c r="K134" s="117"/>
      <c r="L134" s="117"/>
      <c r="M134" s="117"/>
      <c r="N134" s="117"/>
      <c r="O134" s="117"/>
      <c r="P134" s="117"/>
      <c r="Q134" s="117"/>
      <c r="R134" s="117"/>
      <c r="S134" s="117"/>
      <c r="T134" s="322"/>
      <c r="U134" s="324"/>
    </row>
    <row r="135" spans="1:21" ht="12.75">
      <c r="A135" s="310" t="s">
        <v>1000</v>
      </c>
      <c r="B135" s="117"/>
      <c r="C135" s="117"/>
      <c r="D135" s="117"/>
      <c r="E135" s="117"/>
      <c r="F135" s="117"/>
      <c r="G135" s="117"/>
      <c r="H135" s="117"/>
      <c r="I135" s="117"/>
      <c r="J135" s="117"/>
      <c r="K135" s="117"/>
      <c r="L135" s="117"/>
      <c r="M135" s="117"/>
      <c r="N135" s="335"/>
      <c r="O135" s="117"/>
      <c r="P135" s="117"/>
      <c r="Q135" s="117"/>
      <c r="R135" s="117"/>
      <c r="S135" s="117"/>
      <c r="T135" s="322"/>
      <c r="U135" s="324"/>
    </row>
    <row r="136" spans="1:21" ht="12" customHeight="1">
      <c r="A136" s="334"/>
      <c r="B136" s="117"/>
      <c r="C136" s="117"/>
      <c r="D136" s="117"/>
      <c r="E136" s="117"/>
      <c r="F136" s="117"/>
      <c r="G136" s="117"/>
      <c r="H136" s="117"/>
      <c r="I136" s="117"/>
      <c r="J136" s="117"/>
      <c r="K136" s="117"/>
      <c r="L136" s="117"/>
      <c r="M136" s="117"/>
      <c r="N136" s="117"/>
      <c r="O136" s="117"/>
      <c r="P136" s="117"/>
      <c r="Q136" s="117"/>
      <c r="R136" s="117"/>
      <c r="S136" s="117"/>
      <c r="T136" s="328"/>
      <c r="U136" s="329"/>
    </row>
    <row r="137" spans="1:21" ht="12.75">
      <c r="A137" s="334"/>
      <c r="B137" s="117"/>
      <c r="C137" s="117"/>
      <c r="D137" s="117"/>
      <c r="E137" s="117"/>
      <c r="F137" s="117"/>
      <c r="G137" s="117"/>
      <c r="H137" s="117"/>
      <c r="I137" s="117"/>
      <c r="J137" s="117"/>
      <c r="K137" s="117"/>
      <c r="L137" s="117"/>
      <c r="M137" s="117"/>
      <c r="N137" s="117"/>
      <c r="O137" s="117"/>
      <c r="P137" s="117"/>
      <c r="Q137" s="117"/>
      <c r="R137" s="117"/>
      <c r="S137" s="117"/>
      <c r="T137" s="328"/>
      <c r="U137" s="329"/>
    </row>
    <row r="138" spans="1:21" ht="12" customHeight="1">
      <c r="A138" s="2143"/>
      <c r="B138" s="2136"/>
      <c r="C138" s="2136"/>
      <c r="D138" s="326"/>
      <c r="E138" s="2137"/>
      <c r="F138" s="2137"/>
      <c r="G138" s="117"/>
      <c r="H138" s="117"/>
      <c r="I138" s="117"/>
      <c r="J138" s="117"/>
      <c r="K138" s="117"/>
      <c r="L138" s="117"/>
      <c r="M138" s="117"/>
      <c r="N138" s="117"/>
      <c r="O138" s="117"/>
      <c r="P138" s="117"/>
      <c r="Q138" s="117"/>
      <c r="R138" s="117"/>
      <c r="S138" s="117"/>
      <c r="T138" s="328"/>
      <c r="U138" s="329"/>
    </row>
    <row r="139" spans="1:21" ht="12.75">
      <c r="A139" s="2140" t="s">
        <v>1001</v>
      </c>
      <c r="B139" s="2140"/>
      <c r="C139" s="2140"/>
      <c r="D139" s="326"/>
      <c r="E139" s="117" t="s">
        <v>995</v>
      </c>
      <c r="F139" s="117"/>
      <c r="G139" s="117"/>
      <c r="H139" s="117"/>
      <c r="I139" s="117"/>
      <c r="J139" s="117"/>
      <c r="K139" s="117"/>
      <c r="L139" s="117"/>
      <c r="M139" s="117"/>
      <c r="N139" s="117"/>
      <c r="O139" s="117"/>
      <c r="P139" s="117"/>
      <c r="Q139" s="117"/>
      <c r="R139" s="117"/>
      <c r="S139" s="117"/>
      <c r="T139" s="328"/>
      <c r="U139" s="329"/>
    </row>
    <row r="140" spans="1:21" ht="12.75">
      <c r="A140" s="334"/>
      <c r="B140" s="117"/>
      <c r="C140" s="117"/>
      <c r="D140" s="326"/>
      <c r="E140" s="117"/>
      <c r="F140" s="117"/>
      <c r="G140" s="117"/>
      <c r="H140" s="117"/>
      <c r="I140" s="117"/>
      <c r="J140" s="117"/>
      <c r="K140" s="117"/>
      <c r="L140" s="117"/>
      <c r="M140" s="117"/>
      <c r="N140" s="117"/>
      <c r="O140" s="117"/>
      <c r="P140" s="117"/>
      <c r="Q140" s="117"/>
      <c r="R140" s="117"/>
      <c r="S140" s="117"/>
      <c r="T140" s="325"/>
      <c r="U140" s="327"/>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7" priority="8">
      <formula>AND(B25&gt;0,OR(A25="",A25="Other: (Specify)"))</formula>
    </cfRule>
  </conditionalFormatting>
  <conditionalFormatting sqref="A37">
    <cfRule type="expression" dxfId="66" priority="7">
      <formula>AND(B37&gt;0,OR(A37="",A37="Other: (Specify)"))</formula>
    </cfRule>
  </conditionalFormatting>
  <conditionalFormatting sqref="A53">
    <cfRule type="expression" dxfId="65" priority="6">
      <formula>AND(B53&gt;0,OR(A53="",A53="Other: (Specify)"))</formula>
    </cfRule>
  </conditionalFormatting>
  <conditionalFormatting sqref="A61">
    <cfRule type="expression" dxfId="64" priority="5">
      <formula>AND(B61&gt;0,OR(A61="",A61="Other: (Specify)"))</formula>
    </cfRule>
  </conditionalFormatting>
  <conditionalFormatting sqref="A69">
    <cfRule type="expression" dxfId="63" priority="4">
      <formula>AND(B69&gt;0,OR(A69="",A69="Other: (Specify)"))</formula>
    </cfRule>
  </conditionalFormatting>
  <conditionalFormatting sqref="A76">
    <cfRule type="expression" dxfId="62" priority="3">
      <formula>AND(B76&gt;0,OR(A76="",A76="Other: (Specify)"))</formula>
    </cfRule>
  </conditionalFormatting>
  <conditionalFormatting sqref="A93:A95">
    <cfRule type="expression" dxfId="61" priority="2">
      <formula>AND(B93&gt;0,OR(A93="",A93="Other: (Specify)"))</formula>
    </cfRule>
  </conditionalFormatting>
  <conditionalFormatting sqref="A103">
    <cfRule type="expression" dxfId="60" priority="1">
      <formula>AND(B103&gt;0,OR(A103="",A103="Other: (Specify)"))</formula>
    </cfRule>
  </conditionalFormatting>
  <conditionalFormatting sqref="C10">
    <cfRule type="expression" dxfId="59" priority="85">
      <formula>"(S10+T10)&gt;C10 "</formula>
    </cfRule>
  </conditionalFormatting>
  <conditionalFormatting sqref="E105:Q105">
    <cfRule type="cellIs" dxfId="58" priority="208" stopIfTrue="1" operator="notEqual">
      <formula>E$108</formula>
    </cfRule>
  </conditionalFormatting>
  <conditionalFormatting sqref="R4:R15">
    <cfRule type="cellIs" dxfId="57"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6"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5"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4"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3"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2"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1"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0"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9" priority="213" stopIfTrue="1" operator="notEqual">
      <formula>$B79</formula>
    </cfRule>
  </conditionalFormatting>
  <conditionalFormatting sqref="R83:R96">
    <cfRule type="cellIs" dxfId="48"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7" priority="210" stopIfTrue="1" operator="notEqual">
      <formula>$B99</formula>
    </cfRule>
  </conditionalFormatting>
  <conditionalFormatting sqref="R104:R105">
    <cfRule type="cellIs" priority="211" stopIfTrue="1" operator="notEqual">
      <formula>$B104</formula>
    </cfRule>
  </conditionalFormatting>
  <conditionalFormatting sqref="S10 S89:S95">
    <cfRule type="expression" dxfId="46" priority="253" stopIfTrue="1">
      <formula>(S10+T10)&gt;C10</formula>
    </cfRule>
  </conditionalFormatting>
  <conditionalFormatting sqref="S13:S14">
    <cfRule type="expression" dxfId="45" priority="202" stopIfTrue="1">
      <formula>(S13+T13)&gt;C13</formula>
    </cfRule>
  </conditionalFormatting>
  <conditionalFormatting sqref="S17:S25">
    <cfRule type="expression" dxfId="44" priority="186" stopIfTrue="1">
      <formula>(S17+T17)&gt;C17</formula>
    </cfRule>
  </conditionalFormatting>
  <conditionalFormatting sqref="S27">
    <cfRule type="expression" dxfId="43" priority="179" stopIfTrue="1">
      <formula>(S27+T27)&gt;C27</formula>
    </cfRule>
  </conditionalFormatting>
  <conditionalFormatting sqref="S29:S37">
    <cfRule type="expression" dxfId="42" priority="169" stopIfTrue="1">
      <formula>(S29+T29)&gt;C29</formula>
    </cfRule>
  </conditionalFormatting>
  <conditionalFormatting sqref="S40:S41">
    <cfRule type="expression" dxfId="41" priority="160" stopIfTrue="1">
      <formula>(S40+T40)&gt;C40</formula>
    </cfRule>
  </conditionalFormatting>
  <conditionalFormatting sqref="S43">
    <cfRule type="expression" dxfId="40" priority="157" stopIfTrue="1">
      <formula>(S43+T43)&gt;C43</formula>
    </cfRule>
  </conditionalFormatting>
  <conditionalFormatting sqref="S45:S53">
    <cfRule type="expression" dxfId="39" priority="142" stopIfTrue="1">
      <formula>(S45+T45)&gt;C45</formula>
    </cfRule>
  </conditionalFormatting>
  <conditionalFormatting sqref="S65:S69">
    <cfRule type="expression" dxfId="38" priority="131" stopIfTrue="1">
      <formula>(S65+T65)&gt;C65</formula>
    </cfRule>
  </conditionalFormatting>
  <conditionalFormatting sqref="S79:S80">
    <cfRule type="expression" dxfId="37" priority="127" stopIfTrue="1">
      <formula>(S79+T79)&gt;C79</formula>
    </cfRule>
  </conditionalFormatting>
  <conditionalFormatting sqref="S84:S87">
    <cfRule type="expression" dxfId="36" priority="121" stopIfTrue="1">
      <formula>(S84+T84)&gt;C84</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T89:T95">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G92 B1:XFD90 B93:XFD1048576 B91:F92 H91:XFD92"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0" workbookViewId="0">
      <selection activeCell="F29" sqref="F29"/>
    </sheetView>
  </sheetViews>
  <sheetFormatPr defaultColWidth="0" defaultRowHeight="12" zeroHeight="1"/>
  <cols>
    <col min="1" max="1" width="32.5703125" style="395" customWidth="1"/>
    <col min="2" max="3" width="12.140625" style="391" customWidth="1"/>
    <col min="4" max="6" width="12.85546875" style="391" customWidth="1"/>
    <col min="7" max="9" width="12.140625" style="391" customWidth="1"/>
    <col min="10" max="10" width="12.140625" style="392" customWidth="1"/>
    <col min="11" max="11" width="8.85546875" style="393" hidden="1" customWidth="1"/>
    <col min="12" max="21" width="8.85546875" style="391" hidden="1" customWidth="1"/>
    <col min="22" max="23" width="0" style="391" hidden="1"/>
    <col min="24" max="256" width="8.85546875" style="391" hidden="1"/>
    <col min="257" max="257" width="32.5703125" style="391" hidden="1" customWidth="1"/>
    <col min="258" max="259" width="12.140625" style="391" hidden="1" customWidth="1"/>
    <col min="260" max="260" width="12.85546875" style="391" hidden="1" customWidth="1"/>
    <col min="261" max="266" width="12.140625" style="391" hidden="1" customWidth="1"/>
    <col min="267" max="277" width="8.85546875" style="391" hidden="1" customWidth="1"/>
    <col min="278" max="512" width="8.85546875" style="391" hidden="1"/>
    <col min="513" max="513" width="32.5703125" style="391" hidden="1" customWidth="1"/>
    <col min="514" max="515" width="12.140625" style="391" hidden="1" customWidth="1"/>
    <col min="516" max="516" width="12.85546875" style="391" hidden="1" customWidth="1"/>
    <col min="517" max="522" width="12.140625" style="391" hidden="1" customWidth="1"/>
    <col min="523" max="533" width="8.85546875" style="391" hidden="1" customWidth="1"/>
    <col min="534" max="768" width="8.85546875" style="391" hidden="1"/>
    <col min="769" max="769" width="32.5703125" style="391" hidden="1" customWidth="1"/>
    <col min="770" max="771" width="12.140625" style="391" hidden="1" customWidth="1"/>
    <col min="772" max="772" width="12.85546875" style="391" hidden="1" customWidth="1"/>
    <col min="773" max="778" width="12.140625" style="391" hidden="1" customWidth="1"/>
    <col min="779" max="789" width="8.85546875" style="391" hidden="1" customWidth="1"/>
    <col min="790" max="1024" width="8.85546875" style="391" hidden="1"/>
    <col min="1025" max="1025" width="32.5703125" style="391" hidden="1" customWidth="1"/>
    <col min="1026" max="1027" width="12.140625" style="391" hidden="1" customWidth="1"/>
    <col min="1028" max="1028" width="12.85546875" style="391" hidden="1" customWidth="1"/>
    <col min="1029" max="1034" width="12.140625" style="391" hidden="1" customWidth="1"/>
    <col min="1035" max="1045" width="8.85546875" style="391" hidden="1" customWidth="1"/>
    <col min="1046" max="1280" width="8.85546875" style="391" hidden="1"/>
    <col min="1281" max="1281" width="32.5703125" style="391" hidden="1" customWidth="1"/>
    <col min="1282" max="1283" width="12.140625" style="391" hidden="1" customWidth="1"/>
    <col min="1284" max="1284" width="12.85546875" style="391" hidden="1" customWidth="1"/>
    <col min="1285" max="1290" width="12.140625" style="391" hidden="1" customWidth="1"/>
    <col min="1291" max="1301" width="8.85546875" style="391" hidden="1" customWidth="1"/>
    <col min="1302" max="1536" width="8.85546875" style="391" hidden="1"/>
    <col min="1537" max="1537" width="32.5703125" style="391" hidden="1" customWidth="1"/>
    <col min="1538" max="1539" width="12.140625" style="391" hidden="1" customWidth="1"/>
    <col min="1540" max="1540" width="12.85546875" style="391" hidden="1" customWidth="1"/>
    <col min="1541" max="1546" width="12.140625" style="391" hidden="1" customWidth="1"/>
    <col min="1547" max="1557" width="8.85546875" style="391" hidden="1" customWidth="1"/>
    <col min="1558" max="1792" width="8.85546875" style="391" hidden="1"/>
    <col min="1793" max="1793" width="32.5703125" style="391" hidden="1" customWidth="1"/>
    <col min="1794" max="1795" width="12.140625" style="391" hidden="1" customWidth="1"/>
    <col min="1796" max="1796" width="12.85546875" style="391" hidden="1" customWidth="1"/>
    <col min="1797" max="1802" width="12.140625" style="391" hidden="1" customWidth="1"/>
    <col min="1803" max="1813" width="8.85546875" style="391" hidden="1" customWidth="1"/>
    <col min="1814" max="2048" width="8.85546875" style="391" hidden="1"/>
    <col min="2049" max="2049" width="32.5703125" style="391" hidden="1" customWidth="1"/>
    <col min="2050" max="2051" width="12.140625" style="391" hidden="1" customWidth="1"/>
    <col min="2052" max="2052" width="12.85546875" style="391" hidden="1" customWidth="1"/>
    <col min="2053" max="2058" width="12.140625" style="391" hidden="1" customWidth="1"/>
    <col min="2059" max="2069" width="8.85546875" style="391" hidden="1" customWidth="1"/>
    <col min="2070" max="2304" width="8.85546875" style="391" hidden="1"/>
    <col min="2305" max="2305" width="32.5703125" style="391" hidden="1" customWidth="1"/>
    <col min="2306" max="2307" width="12.140625" style="391" hidden="1" customWidth="1"/>
    <col min="2308" max="2308" width="12.85546875" style="391" hidden="1" customWidth="1"/>
    <col min="2309" max="2314" width="12.140625" style="391" hidden="1" customWidth="1"/>
    <col min="2315" max="2325" width="8.85546875" style="391" hidden="1" customWidth="1"/>
    <col min="2326" max="2560" width="8.85546875" style="391" hidden="1"/>
    <col min="2561" max="2561" width="32.5703125" style="391" hidden="1" customWidth="1"/>
    <col min="2562" max="2563" width="12.140625" style="391" hidden="1" customWidth="1"/>
    <col min="2564" max="2564" width="12.85546875" style="391" hidden="1" customWidth="1"/>
    <col min="2565" max="2570" width="12.140625" style="391" hidden="1" customWidth="1"/>
    <col min="2571" max="2581" width="8.85546875" style="391" hidden="1" customWidth="1"/>
    <col min="2582" max="2816" width="8.85546875" style="391" hidden="1"/>
    <col min="2817" max="2817" width="32.5703125" style="391" hidden="1" customWidth="1"/>
    <col min="2818" max="2819" width="12.140625" style="391" hidden="1" customWidth="1"/>
    <col min="2820" max="2820" width="12.85546875" style="391" hidden="1" customWidth="1"/>
    <col min="2821" max="2826" width="12.140625" style="391" hidden="1" customWidth="1"/>
    <col min="2827" max="2837" width="8.85546875" style="391" hidden="1" customWidth="1"/>
    <col min="2838" max="3072" width="8.85546875" style="391" hidden="1"/>
    <col min="3073" max="3073" width="32.5703125" style="391" hidden="1" customWidth="1"/>
    <col min="3074" max="3075" width="12.140625" style="391" hidden="1" customWidth="1"/>
    <col min="3076" max="3076" width="12.85546875" style="391" hidden="1" customWidth="1"/>
    <col min="3077" max="3082" width="12.140625" style="391" hidden="1" customWidth="1"/>
    <col min="3083" max="3093" width="8.85546875" style="391" hidden="1" customWidth="1"/>
    <col min="3094" max="3328" width="8.85546875" style="391" hidden="1"/>
    <col min="3329" max="3329" width="32.5703125" style="391" hidden="1" customWidth="1"/>
    <col min="3330" max="3331" width="12.140625" style="391" hidden="1" customWidth="1"/>
    <col min="3332" max="3332" width="12.85546875" style="391" hidden="1" customWidth="1"/>
    <col min="3333" max="3338" width="12.140625" style="391" hidden="1" customWidth="1"/>
    <col min="3339" max="3349" width="8.85546875" style="391" hidden="1" customWidth="1"/>
    <col min="3350" max="3584" width="8.85546875" style="391" hidden="1"/>
    <col min="3585" max="3585" width="32.5703125" style="391" hidden="1" customWidth="1"/>
    <col min="3586" max="3587" width="12.140625" style="391" hidden="1" customWidth="1"/>
    <col min="3588" max="3588" width="12.85546875" style="391" hidden="1" customWidth="1"/>
    <col min="3589" max="3594" width="12.140625" style="391" hidden="1" customWidth="1"/>
    <col min="3595" max="3605" width="8.85546875" style="391" hidden="1" customWidth="1"/>
    <col min="3606" max="3840" width="8.85546875" style="391" hidden="1"/>
    <col min="3841" max="3841" width="32.5703125" style="391" hidden="1" customWidth="1"/>
    <col min="3842" max="3843" width="12.140625" style="391" hidden="1" customWidth="1"/>
    <col min="3844" max="3844" width="12.85546875" style="391" hidden="1" customWidth="1"/>
    <col min="3845" max="3850" width="12.140625" style="391" hidden="1" customWidth="1"/>
    <col min="3851" max="3861" width="8.85546875" style="391" hidden="1" customWidth="1"/>
    <col min="3862" max="4096" width="8.85546875" style="391" hidden="1"/>
    <col min="4097" max="4097" width="32.5703125" style="391" hidden="1" customWidth="1"/>
    <col min="4098" max="4099" width="12.140625" style="391" hidden="1" customWidth="1"/>
    <col min="4100" max="4100" width="12.85546875" style="391" hidden="1" customWidth="1"/>
    <col min="4101" max="4106" width="12.140625" style="391" hidden="1" customWidth="1"/>
    <col min="4107" max="4117" width="8.85546875" style="391" hidden="1" customWidth="1"/>
    <col min="4118" max="4352" width="8.85546875" style="391" hidden="1"/>
    <col min="4353" max="4353" width="32.5703125" style="391" hidden="1" customWidth="1"/>
    <col min="4354" max="4355" width="12.140625" style="391" hidden="1" customWidth="1"/>
    <col min="4356" max="4356" width="12.85546875" style="391" hidden="1" customWidth="1"/>
    <col min="4357" max="4362" width="12.140625" style="391" hidden="1" customWidth="1"/>
    <col min="4363" max="4373" width="8.85546875" style="391" hidden="1" customWidth="1"/>
    <col min="4374" max="4608" width="8.85546875" style="391" hidden="1"/>
    <col min="4609" max="4609" width="32.5703125" style="391" hidden="1" customWidth="1"/>
    <col min="4610" max="4611" width="12.140625" style="391" hidden="1" customWidth="1"/>
    <col min="4612" max="4612" width="12.85546875" style="391" hidden="1" customWidth="1"/>
    <col min="4613" max="4618" width="12.140625" style="391" hidden="1" customWidth="1"/>
    <col min="4619" max="4629" width="8.85546875" style="391" hidden="1" customWidth="1"/>
    <col min="4630" max="4864" width="8.85546875" style="391" hidden="1"/>
    <col min="4865" max="4865" width="32.5703125" style="391" hidden="1" customWidth="1"/>
    <col min="4866" max="4867" width="12.140625" style="391" hidden="1" customWidth="1"/>
    <col min="4868" max="4868" width="12.85546875" style="391" hidden="1" customWidth="1"/>
    <col min="4869" max="4874" width="12.140625" style="391" hidden="1" customWidth="1"/>
    <col min="4875" max="4885" width="8.85546875" style="391" hidden="1" customWidth="1"/>
    <col min="4886" max="5120" width="8.85546875" style="391" hidden="1"/>
    <col min="5121" max="5121" width="32.5703125" style="391" hidden="1" customWidth="1"/>
    <col min="5122" max="5123" width="12.140625" style="391" hidden="1" customWidth="1"/>
    <col min="5124" max="5124" width="12.85546875" style="391" hidden="1" customWidth="1"/>
    <col min="5125" max="5130" width="12.140625" style="391" hidden="1" customWidth="1"/>
    <col min="5131" max="5141" width="8.85546875" style="391" hidden="1" customWidth="1"/>
    <col min="5142" max="5376" width="8.85546875" style="391" hidden="1"/>
    <col min="5377" max="5377" width="32.5703125" style="391" hidden="1" customWidth="1"/>
    <col min="5378" max="5379" width="12.140625" style="391" hidden="1" customWidth="1"/>
    <col min="5380" max="5380" width="12.85546875" style="391" hidden="1" customWidth="1"/>
    <col min="5381" max="5386" width="12.140625" style="391" hidden="1" customWidth="1"/>
    <col min="5387" max="5397" width="8.85546875" style="391" hidden="1" customWidth="1"/>
    <col min="5398" max="5632" width="8.85546875" style="391" hidden="1"/>
    <col min="5633" max="5633" width="32.5703125" style="391" hidden="1" customWidth="1"/>
    <col min="5634" max="5635" width="12.140625" style="391" hidden="1" customWidth="1"/>
    <col min="5636" max="5636" width="12.85546875" style="391" hidden="1" customWidth="1"/>
    <col min="5637" max="5642" width="12.140625" style="391" hidden="1" customWidth="1"/>
    <col min="5643" max="5653" width="8.85546875" style="391" hidden="1" customWidth="1"/>
    <col min="5654" max="5888" width="8.85546875" style="391" hidden="1"/>
    <col min="5889" max="5889" width="32.5703125" style="391" hidden="1" customWidth="1"/>
    <col min="5890" max="5891" width="12.140625" style="391" hidden="1" customWidth="1"/>
    <col min="5892" max="5892" width="12.85546875" style="391" hidden="1" customWidth="1"/>
    <col min="5893" max="5898" width="12.140625" style="391" hidden="1" customWidth="1"/>
    <col min="5899" max="5909" width="8.85546875" style="391" hidden="1" customWidth="1"/>
    <col min="5910" max="6144" width="8.85546875" style="391" hidden="1"/>
    <col min="6145" max="6145" width="32.5703125" style="391" hidden="1" customWidth="1"/>
    <col min="6146" max="6147" width="12.140625" style="391" hidden="1" customWidth="1"/>
    <col min="6148" max="6148" width="12.85546875" style="391" hidden="1" customWidth="1"/>
    <col min="6149" max="6154" width="12.140625" style="391" hidden="1" customWidth="1"/>
    <col min="6155" max="6165" width="8.85546875" style="391" hidden="1" customWidth="1"/>
    <col min="6166" max="6400" width="8.85546875" style="391" hidden="1"/>
    <col min="6401" max="6401" width="32.5703125" style="391" hidden="1" customWidth="1"/>
    <col min="6402" max="6403" width="12.140625" style="391" hidden="1" customWidth="1"/>
    <col min="6404" max="6404" width="12.85546875" style="391" hidden="1" customWidth="1"/>
    <col min="6405" max="6410" width="12.140625" style="391" hidden="1" customWidth="1"/>
    <col min="6411" max="6421" width="8.85546875" style="391" hidden="1" customWidth="1"/>
    <col min="6422" max="6656" width="8.85546875" style="391" hidden="1"/>
    <col min="6657" max="6657" width="32.5703125" style="391" hidden="1" customWidth="1"/>
    <col min="6658" max="6659" width="12.140625" style="391" hidden="1" customWidth="1"/>
    <col min="6660" max="6660" width="12.85546875" style="391" hidden="1" customWidth="1"/>
    <col min="6661" max="6666" width="12.140625" style="391" hidden="1" customWidth="1"/>
    <col min="6667" max="6677" width="8.85546875" style="391" hidden="1" customWidth="1"/>
    <col min="6678" max="6912" width="8.85546875" style="391" hidden="1"/>
    <col min="6913" max="6913" width="32.5703125" style="391" hidden="1" customWidth="1"/>
    <col min="6914" max="6915" width="12.140625" style="391" hidden="1" customWidth="1"/>
    <col min="6916" max="6916" width="12.85546875" style="391" hidden="1" customWidth="1"/>
    <col min="6917" max="6922" width="12.140625" style="391" hidden="1" customWidth="1"/>
    <col min="6923" max="6933" width="8.85546875" style="391" hidden="1" customWidth="1"/>
    <col min="6934" max="7168" width="8.85546875" style="391" hidden="1"/>
    <col min="7169" max="7169" width="32.5703125" style="391" hidden="1" customWidth="1"/>
    <col min="7170" max="7171" width="12.140625" style="391" hidden="1" customWidth="1"/>
    <col min="7172" max="7172" width="12.85546875" style="391" hidden="1" customWidth="1"/>
    <col min="7173" max="7178" width="12.140625" style="391" hidden="1" customWidth="1"/>
    <col min="7179" max="7189" width="8.85546875" style="391" hidden="1" customWidth="1"/>
    <col min="7190" max="7424" width="8.85546875" style="391" hidden="1"/>
    <col min="7425" max="7425" width="32.5703125" style="391" hidden="1" customWidth="1"/>
    <col min="7426" max="7427" width="12.140625" style="391" hidden="1" customWidth="1"/>
    <col min="7428" max="7428" width="12.85546875" style="391" hidden="1" customWidth="1"/>
    <col min="7429" max="7434" width="12.140625" style="391" hidden="1" customWidth="1"/>
    <col min="7435" max="7445" width="8.85546875" style="391" hidden="1" customWidth="1"/>
    <col min="7446" max="7680" width="8.85546875" style="391" hidden="1"/>
    <col min="7681" max="7681" width="32.5703125" style="391" hidden="1" customWidth="1"/>
    <col min="7682" max="7683" width="12.140625" style="391" hidden="1" customWidth="1"/>
    <col min="7684" max="7684" width="12.85546875" style="391" hidden="1" customWidth="1"/>
    <col min="7685" max="7690" width="12.140625" style="391" hidden="1" customWidth="1"/>
    <col min="7691" max="7701" width="8.85546875" style="391" hidden="1" customWidth="1"/>
    <col min="7702" max="7936" width="8.85546875" style="391" hidden="1"/>
    <col min="7937" max="7937" width="32.5703125" style="391" hidden="1" customWidth="1"/>
    <col min="7938" max="7939" width="12.140625" style="391" hidden="1" customWidth="1"/>
    <col min="7940" max="7940" width="12.85546875" style="391" hidden="1" customWidth="1"/>
    <col min="7941" max="7946" width="12.140625" style="391" hidden="1" customWidth="1"/>
    <col min="7947" max="7957" width="8.85546875" style="391" hidden="1" customWidth="1"/>
    <col min="7958" max="8192" width="8.85546875" style="391" hidden="1"/>
    <col min="8193" max="8193" width="32.5703125" style="391" hidden="1" customWidth="1"/>
    <col min="8194" max="8195" width="12.140625" style="391" hidden="1" customWidth="1"/>
    <col min="8196" max="8196" width="12.85546875" style="391" hidden="1" customWidth="1"/>
    <col min="8197" max="8202" width="12.140625" style="391" hidden="1" customWidth="1"/>
    <col min="8203" max="8213" width="8.85546875" style="391" hidden="1" customWidth="1"/>
    <col min="8214" max="8448" width="8.85546875" style="391" hidden="1"/>
    <col min="8449" max="8449" width="32.5703125" style="391" hidden="1" customWidth="1"/>
    <col min="8450" max="8451" width="12.140625" style="391" hidden="1" customWidth="1"/>
    <col min="8452" max="8452" width="12.85546875" style="391" hidden="1" customWidth="1"/>
    <col min="8453" max="8458" width="12.140625" style="391" hidden="1" customWidth="1"/>
    <col min="8459" max="8469" width="8.85546875" style="391" hidden="1" customWidth="1"/>
    <col min="8470" max="8704" width="8.85546875" style="391" hidden="1"/>
    <col min="8705" max="8705" width="32.5703125" style="391" hidden="1" customWidth="1"/>
    <col min="8706" max="8707" width="12.140625" style="391" hidden="1" customWidth="1"/>
    <col min="8708" max="8708" width="12.85546875" style="391" hidden="1" customWidth="1"/>
    <col min="8709" max="8714" width="12.140625" style="391" hidden="1" customWidth="1"/>
    <col min="8715" max="8725" width="8.85546875" style="391" hidden="1" customWidth="1"/>
    <col min="8726" max="8960" width="8.85546875" style="391" hidden="1"/>
    <col min="8961" max="8961" width="32.5703125" style="391" hidden="1" customWidth="1"/>
    <col min="8962" max="8963" width="12.140625" style="391" hidden="1" customWidth="1"/>
    <col min="8964" max="8964" width="12.85546875" style="391" hidden="1" customWidth="1"/>
    <col min="8965" max="8970" width="12.140625" style="391" hidden="1" customWidth="1"/>
    <col min="8971" max="8981" width="8.85546875" style="391" hidden="1" customWidth="1"/>
    <col min="8982" max="9216" width="8.85546875" style="391" hidden="1"/>
    <col min="9217" max="9217" width="32.5703125" style="391" hidden="1" customWidth="1"/>
    <col min="9218" max="9219" width="12.140625" style="391" hidden="1" customWidth="1"/>
    <col min="9220" max="9220" width="12.85546875" style="391" hidden="1" customWidth="1"/>
    <col min="9221" max="9226" width="12.140625" style="391" hidden="1" customWidth="1"/>
    <col min="9227" max="9237" width="8.85546875" style="391" hidden="1" customWidth="1"/>
    <col min="9238" max="9472" width="8.85546875" style="391" hidden="1"/>
    <col min="9473" max="9473" width="32.5703125" style="391" hidden="1" customWidth="1"/>
    <col min="9474" max="9475" width="12.140625" style="391" hidden="1" customWidth="1"/>
    <col min="9476" max="9476" width="12.85546875" style="391" hidden="1" customWidth="1"/>
    <col min="9477" max="9482" width="12.140625" style="391" hidden="1" customWidth="1"/>
    <col min="9483" max="9493" width="8.85546875" style="391" hidden="1" customWidth="1"/>
    <col min="9494" max="9728" width="8.85546875" style="391" hidden="1"/>
    <col min="9729" max="9729" width="32.5703125" style="391" hidden="1" customWidth="1"/>
    <col min="9730" max="9731" width="12.140625" style="391" hidden="1" customWidth="1"/>
    <col min="9732" max="9732" width="12.85546875" style="391" hidden="1" customWidth="1"/>
    <col min="9733" max="9738" width="12.140625" style="391" hidden="1" customWidth="1"/>
    <col min="9739" max="9749" width="8.85546875" style="391" hidden="1" customWidth="1"/>
    <col min="9750" max="9984" width="8.85546875" style="391" hidden="1"/>
    <col min="9985" max="9985" width="32.5703125" style="391" hidden="1" customWidth="1"/>
    <col min="9986" max="9987" width="12.140625" style="391" hidden="1" customWidth="1"/>
    <col min="9988" max="9988" width="12.85546875" style="391" hidden="1" customWidth="1"/>
    <col min="9989" max="9994" width="12.140625" style="391" hidden="1" customWidth="1"/>
    <col min="9995" max="10005" width="8.85546875" style="391" hidden="1" customWidth="1"/>
    <col min="10006" max="10240" width="8.85546875" style="391" hidden="1"/>
    <col min="10241" max="10241" width="32.5703125" style="391" hidden="1" customWidth="1"/>
    <col min="10242" max="10243" width="12.140625" style="391" hidden="1" customWidth="1"/>
    <col min="10244" max="10244" width="12.85546875" style="391" hidden="1" customWidth="1"/>
    <col min="10245" max="10250" width="12.140625" style="391" hidden="1" customWidth="1"/>
    <col min="10251" max="10261" width="8.85546875" style="391" hidden="1" customWidth="1"/>
    <col min="10262" max="10496" width="8.85546875" style="391" hidden="1"/>
    <col min="10497" max="10497" width="32.5703125" style="391" hidden="1" customWidth="1"/>
    <col min="10498" max="10499" width="12.140625" style="391" hidden="1" customWidth="1"/>
    <col min="10500" max="10500" width="12.85546875" style="391" hidden="1" customWidth="1"/>
    <col min="10501" max="10506" width="12.140625" style="391" hidden="1" customWidth="1"/>
    <col min="10507" max="10517" width="8.85546875" style="391" hidden="1" customWidth="1"/>
    <col min="10518" max="10752" width="8.85546875" style="391" hidden="1"/>
    <col min="10753" max="10753" width="32.5703125" style="391" hidden="1" customWidth="1"/>
    <col min="10754" max="10755" width="12.140625" style="391" hidden="1" customWidth="1"/>
    <col min="10756" max="10756" width="12.85546875" style="391" hidden="1" customWidth="1"/>
    <col min="10757" max="10762" width="12.140625" style="391" hidden="1" customWidth="1"/>
    <col min="10763" max="10773" width="8.85546875" style="391" hidden="1" customWidth="1"/>
    <col min="10774" max="11008" width="8.85546875" style="391" hidden="1"/>
    <col min="11009" max="11009" width="32.5703125" style="391" hidden="1" customWidth="1"/>
    <col min="11010" max="11011" width="12.140625" style="391" hidden="1" customWidth="1"/>
    <col min="11012" max="11012" width="12.85546875" style="391" hidden="1" customWidth="1"/>
    <col min="11013" max="11018" width="12.140625" style="391" hidden="1" customWidth="1"/>
    <col min="11019" max="11029" width="8.85546875" style="391" hidden="1" customWidth="1"/>
    <col min="11030" max="11264" width="8.85546875" style="391" hidden="1"/>
    <col min="11265" max="11265" width="32.5703125" style="391" hidden="1" customWidth="1"/>
    <col min="11266" max="11267" width="12.140625" style="391" hidden="1" customWidth="1"/>
    <col min="11268" max="11268" width="12.85546875" style="391" hidden="1" customWidth="1"/>
    <col min="11269" max="11274" width="12.140625" style="391" hidden="1" customWidth="1"/>
    <col min="11275" max="11285" width="8.85546875" style="391" hidden="1" customWidth="1"/>
    <col min="11286" max="11520" width="8.85546875" style="391" hidden="1"/>
    <col min="11521" max="11521" width="32.5703125" style="391" hidden="1" customWidth="1"/>
    <col min="11522" max="11523" width="12.140625" style="391" hidden="1" customWidth="1"/>
    <col min="11524" max="11524" width="12.85546875" style="391" hidden="1" customWidth="1"/>
    <col min="11525" max="11530" width="12.140625" style="391" hidden="1" customWidth="1"/>
    <col min="11531" max="11541" width="8.85546875" style="391" hidden="1" customWidth="1"/>
    <col min="11542" max="11776" width="8.85546875" style="391" hidden="1"/>
    <col min="11777" max="11777" width="32.5703125" style="391" hidden="1" customWidth="1"/>
    <col min="11778" max="11779" width="12.140625" style="391" hidden="1" customWidth="1"/>
    <col min="11780" max="11780" width="12.85546875" style="391" hidden="1" customWidth="1"/>
    <col min="11781" max="11786" width="12.140625" style="391" hidden="1" customWidth="1"/>
    <col min="11787" max="11797" width="8.85546875" style="391" hidden="1" customWidth="1"/>
    <col min="11798" max="12032" width="8.85546875" style="391" hidden="1"/>
    <col min="12033" max="12033" width="32.5703125" style="391" hidden="1" customWidth="1"/>
    <col min="12034" max="12035" width="12.140625" style="391" hidden="1" customWidth="1"/>
    <col min="12036" max="12036" width="12.85546875" style="391" hidden="1" customWidth="1"/>
    <col min="12037" max="12042" width="12.140625" style="391" hidden="1" customWidth="1"/>
    <col min="12043" max="12053" width="8.85546875" style="391" hidden="1" customWidth="1"/>
    <col min="12054" max="12288" width="8.85546875" style="391" hidden="1"/>
    <col min="12289" max="12289" width="32.5703125" style="391" hidden="1" customWidth="1"/>
    <col min="12290" max="12291" width="12.140625" style="391" hidden="1" customWidth="1"/>
    <col min="12292" max="12292" width="12.85546875" style="391" hidden="1" customWidth="1"/>
    <col min="12293" max="12298" width="12.140625" style="391" hidden="1" customWidth="1"/>
    <col min="12299" max="12309" width="8.85546875" style="391" hidden="1" customWidth="1"/>
    <col min="12310" max="12544" width="8.85546875" style="391" hidden="1"/>
    <col min="12545" max="12545" width="32.5703125" style="391" hidden="1" customWidth="1"/>
    <col min="12546" max="12547" width="12.140625" style="391" hidden="1" customWidth="1"/>
    <col min="12548" max="12548" width="12.85546875" style="391" hidden="1" customWidth="1"/>
    <col min="12549" max="12554" width="12.140625" style="391" hidden="1" customWidth="1"/>
    <col min="12555" max="12565" width="8.85546875" style="391" hidden="1" customWidth="1"/>
    <col min="12566" max="12800" width="8.85546875" style="391" hidden="1"/>
    <col min="12801" max="12801" width="32.5703125" style="391" hidden="1" customWidth="1"/>
    <col min="12802" max="12803" width="12.140625" style="391" hidden="1" customWidth="1"/>
    <col min="12804" max="12804" width="12.85546875" style="391" hidden="1" customWidth="1"/>
    <col min="12805" max="12810" width="12.140625" style="391" hidden="1" customWidth="1"/>
    <col min="12811" max="12821" width="8.85546875" style="391" hidden="1" customWidth="1"/>
    <col min="12822" max="13056" width="8.85546875" style="391" hidden="1"/>
    <col min="13057" max="13057" width="32.5703125" style="391" hidden="1" customWidth="1"/>
    <col min="13058" max="13059" width="12.140625" style="391" hidden="1" customWidth="1"/>
    <col min="13060" max="13060" width="12.85546875" style="391" hidden="1" customWidth="1"/>
    <col min="13061" max="13066" width="12.140625" style="391" hidden="1" customWidth="1"/>
    <col min="13067" max="13077" width="8.85546875" style="391" hidden="1" customWidth="1"/>
    <col min="13078" max="13312" width="8.85546875" style="391" hidden="1"/>
    <col min="13313" max="13313" width="32.5703125" style="391" hidden="1" customWidth="1"/>
    <col min="13314" max="13315" width="12.140625" style="391" hidden="1" customWidth="1"/>
    <col min="13316" max="13316" width="12.85546875" style="391" hidden="1" customWidth="1"/>
    <col min="13317" max="13322" width="12.140625" style="391" hidden="1" customWidth="1"/>
    <col min="13323" max="13333" width="8.85546875" style="391" hidden="1" customWidth="1"/>
    <col min="13334" max="13568" width="8.85546875" style="391" hidden="1"/>
    <col min="13569" max="13569" width="32.5703125" style="391" hidden="1" customWidth="1"/>
    <col min="13570" max="13571" width="12.140625" style="391" hidden="1" customWidth="1"/>
    <col min="13572" max="13572" width="12.85546875" style="391" hidden="1" customWidth="1"/>
    <col min="13573" max="13578" width="12.140625" style="391" hidden="1" customWidth="1"/>
    <col min="13579" max="13589" width="8.85546875" style="391" hidden="1" customWidth="1"/>
    <col min="13590" max="13824" width="8.85546875" style="391" hidden="1"/>
    <col min="13825" max="13825" width="32.5703125" style="391" hidden="1" customWidth="1"/>
    <col min="13826" max="13827" width="12.140625" style="391" hidden="1" customWidth="1"/>
    <col min="13828" max="13828" width="12.85546875" style="391" hidden="1" customWidth="1"/>
    <col min="13829" max="13834" width="12.140625" style="391" hidden="1" customWidth="1"/>
    <col min="13835" max="13845" width="8.85546875" style="391" hidden="1" customWidth="1"/>
    <col min="13846" max="14080" width="8.85546875" style="391" hidden="1"/>
    <col min="14081" max="14081" width="32.5703125" style="391" hidden="1" customWidth="1"/>
    <col min="14082" max="14083" width="12.140625" style="391" hidden="1" customWidth="1"/>
    <col min="14084" max="14084" width="12.85546875" style="391" hidden="1" customWidth="1"/>
    <col min="14085" max="14090" width="12.140625" style="391" hidden="1" customWidth="1"/>
    <col min="14091" max="14101" width="8.85546875" style="391" hidden="1" customWidth="1"/>
    <col min="14102" max="14336" width="8.85546875" style="391" hidden="1"/>
    <col min="14337" max="14337" width="32.5703125" style="391" hidden="1" customWidth="1"/>
    <col min="14338" max="14339" width="12.140625" style="391" hidden="1" customWidth="1"/>
    <col min="14340" max="14340" width="12.85546875" style="391" hidden="1" customWidth="1"/>
    <col min="14341" max="14346" width="12.140625" style="391" hidden="1" customWidth="1"/>
    <col min="14347" max="14357" width="8.85546875" style="391" hidden="1" customWidth="1"/>
    <col min="14358" max="14592" width="8.85546875" style="391" hidden="1"/>
    <col min="14593" max="14593" width="32.5703125" style="391" hidden="1" customWidth="1"/>
    <col min="14594" max="14595" width="12.140625" style="391" hidden="1" customWidth="1"/>
    <col min="14596" max="14596" width="12.85546875" style="391" hidden="1" customWidth="1"/>
    <col min="14597" max="14602" width="12.140625" style="391" hidden="1" customWidth="1"/>
    <col min="14603" max="14613" width="8.85546875" style="391" hidden="1" customWidth="1"/>
    <col min="14614" max="14848" width="8.85546875" style="391" hidden="1"/>
    <col min="14849" max="14849" width="32.5703125" style="391" hidden="1" customWidth="1"/>
    <col min="14850" max="14851" width="12.140625" style="391" hidden="1" customWidth="1"/>
    <col min="14852" max="14852" width="12.85546875" style="391" hidden="1" customWidth="1"/>
    <col min="14853" max="14858" width="12.140625" style="391" hidden="1" customWidth="1"/>
    <col min="14859" max="14869" width="8.85546875" style="391" hidden="1" customWidth="1"/>
    <col min="14870" max="15104" width="8.85546875" style="391" hidden="1"/>
    <col min="15105" max="15105" width="32.5703125" style="391" hidden="1" customWidth="1"/>
    <col min="15106" max="15107" width="12.140625" style="391" hidden="1" customWidth="1"/>
    <col min="15108" max="15108" width="12.85546875" style="391" hidden="1" customWidth="1"/>
    <col min="15109" max="15114" width="12.140625" style="391" hidden="1" customWidth="1"/>
    <col min="15115" max="15125" width="8.85546875" style="391" hidden="1" customWidth="1"/>
    <col min="15126" max="15360" width="8.85546875" style="391" hidden="1"/>
    <col min="15361" max="15361" width="32.5703125" style="391" hidden="1" customWidth="1"/>
    <col min="15362" max="15363" width="12.140625" style="391" hidden="1" customWidth="1"/>
    <col min="15364" max="15364" width="12.85546875" style="391" hidden="1" customWidth="1"/>
    <col min="15365" max="15370" width="12.140625" style="391" hidden="1" customWidth="1"/>
    <col min="15371" max="15381" width="8.85546875" style="391" hidden="1" customWidth="1"/>
    <col min="15382" max="15616" width="8.85546875" style="391" hidden="1"/>
    <col min="15617" max="15617" width="32.5703125" style="391" hidden="1" customWidth="1"/>
    <col min="15618" max="15619" width="12.140625" style="391" hidden="1" customWidth="1"/>
    <col min="15620" max="15620" width="12.85546875" style="391" hidden="1" customWidth="1"/>
    <col min="15621" max="15626" width="12.140625" style="391" hidden="1" customWidth="1"/>
    <col min="15627" max="15637" width="8.85546875" style="391" hidden="1" customWidth="1"/>
    <col min="15638" max="15872" width="8.85546875" style="391" hidden="1"/>
    <col min="15873" max="15873" width="32.5703125" style="391" hidden="1" customWidth="1"/>
    <col min="15874" max="15875" width="12.140625" style="391" hidden="1" customWidth="1"/>
    <col min="15876" max="15876" width="12.85546875" style="391" hidden="1" customWidth="1"/>
    <col min="15877" max="15882" width="12.140625" style="391" hidden="1" customWidth="1"/>
    <col min="15883" max="15893" width="8.85546875" style="391" hidden="1" customWidth="1"/>
    <col min="15894" max="16128" width="8.85546875" style="391" hidden="1"/>
    <col min="16129" max="16129" width="32.5703125" style="391" hidden="1" customWidth="1"/>
    <col min="16130" max="16131" width="12.140625" style="391" hidden="1" customWidth="1"/>
    <col min="16132" max="16132" width="12.85546875" style="391" hidden="1" customWidth="1"/>
    <col min="16133" max="16138" width="12.140625" style="391" hidden="1" customWidth="1"/>
    <col min="16139" max="16149" width="8.85546875" style="391" hidden="1" customWidth="1"/>
    <col min="16150" max="16384" width="8.85546875" style="391" hidden="1"/>
  </cols>
  <sheetData>
    <row r="1" spans="1:11" s="354" customFormat="1" ht="12.75">
      <c r="A1" s="2146" t="s">
        <v>1224</v>
      </c>
      <c r="B1" s="2147"/>
      <c r="C1" s="2147"/>
      <c r="D1" s="2147"/>
      <c r="E1" s="2147"/>
      <c r="F1" s="2147"/>
      <c r="G1" s="2147"/>
      <c r="H1" s="2147"/>
      <c r="I1" s="2147"/>
      <c r="J1" s="2148"/>
      <c r="K1" s="353"/>
    </row>
    <row r="2" spans="1:11" s="399" customFormat="1" ht="72">
      <c r="A2" s="396"/>
      <c r="B2" s="397" t="s">
        <v>1024</v>
      </c>
      <c r="C2" s="397" t="s">
        <v>1226</v>
      </c>
      <c r="D2" s="397" t="s">
        <v>1227</v>
      </c>
      <c r="E2" s="397" t="s">
        <v>1155</v>
      </c>
      <c r="F2" s="397" t="s">
        <v>1228</v>
      </c>
      <c r="G2" s="397" t="s">
        <v>1229</v>
      </c>
      <c r="H2" s="397" t="s">
        <v>1025</v>
      </c>
      <c r="I2" s="397" t="s">
        <v>1230</v>
      </c>
      <c r="J2" s="397" t="s">
        <v>1231</v>
      </c>
      <c r="K2" s="398"/>
    </row>
    <row r="3" spans="1:11" s="358" customFormat="1">
      <c r="A3" s="355" t="s">
        <v>26</v>
      </c>
      <c r="B3" s="356"/>
      <c r="C3" s="356"/>
      <c r="D3" s="356"/>
      <c r="E3" s="356"/>
      <c r="F3" s="356"/>
      <c r="G3" s="356"/>
      <c r="H3" s="356"/>
      <c r="I3" s="356"/>
      <c r="J3" s="356"/>
      <c r="K3" s="357"/>
    </row>
    <row r="4" spans="1:11" s="358" customFormat="1">
      <c r="A4" s="362" t="s">
        <v>27</v>
      </c>
      <c r="B4" s="359">
        <f>'Sources and Uses Budget'!C4</f>
        <v>1</v>
      </c>
      <c r="C4" s="360">
        <f>B4</f>
        <v>1</v>
      </c>
      <c r="D4" s="360"/>
      <c r="E4" s="361"/>
      <c r="F4" s="361"/>
      <c r="G4" s="361"/>
      <c r="H4" s="361"/>
      <c r="I4" s="361"/>
      <c r="J4" s="361"/>
      <c r="K4" s="357"/>
    </row>
    <row r="5" spans="1:11" s="358" customFormat="1">
      <c r="A5" s="362" t="s">
        <v>28</v>
      </c>
      <c r="B5" s="359">
        <f>'Sources and Uses Budget'!C5</f>
        <v>0</v>
      </c>
      <c r="C5" s="360"/>
      <c r="D5" s="360"/>
      <c r="E5" s="361"/>
      <c r="F5" s="361"/>
      <c r="G5" s="361"/>
      <c r="H5" s="361"/>
      <c r="I5" s="361"/>
      <c r="J5" s="361"/>
      <c r="K5" s="357"/>
    </row>
    <row r="6" spans="1:11" s="358" customFormat="1">
      <c r="A6" s="362" t="s">
        <v>29</v>
      </c>
      <c r="B6" s="359">
        <f>'Sources and Uses Budget'!C6</f>
        <v>0</v>
      </c>
      <c r="C6" s="360"/>
      <c r="D6" s="360"/>
      <c r="E6" s="361"/>
      <c r="F6" s="361"/>
      <c r="G6" s="361"/>
      <c r="H6" s="361"/>
      <c r="I6" s="361"/>
      <c r="J6" s="361"/>
      <c r="K6" s="357"/>
    </row>
    <row r="7" spans="1:11" s="358" customFormat="1">
      <c r="A7" s="362" t="s">
        <v>97</v>
      </c>
      <c r="B7" s="359">
        <f>'Sources and Uses Budget'!C7</f>
        <v>0</v>
      </c>
      <c r="C7" s="360"/>
      <c r="D7" s="360"/>
      <c r="E7" s="361"/>
      <c r="F7" s="361"/>
      <c r="G7" s="361"/>
      <c r="H7" s="361"/>
      <c r="I7" s="361"/>
      <c r="J7" s="361"/>
      <c r="K7" s="357"/>
    </row>
    <row r="8" spans="1:11" s="358" customFormat="1">
      <c r="A8" s="363" t="s">
        <v>592</v>
      </c>
      <c r="B8" s="359">
        <f>'Sources and Uses Budget'!C8</f>
        <v>1</v>
      </c>
      <c r="C8" s="359">
        <f>SUM(C4:C7)</f>
        <v>1</v>
      </c>
      <c r="D8" s="359">
        <f>SUM(D4:D7)</f>
        <v>0</v>
      </c>
      <c r="E8" s="361"/>
      <c r="F8" s="361"/>
      <c r="G8" s="361"/>
      <c r="H8" s="361"/>
      <c r="I8" s="361"/>
      <c r="J8" s="361"/>
      <c r="K8" s="357"/>
    </row>
    <row r="9" spans="1:11" s="358" customFormat="1">
      <c r="A9" s="362" t="s">
        <v>593</v>
      </c>
      <c r="B9" s="359">
        <f>'Sources and Uses Budget'!C9</f>
        <v>0</v>
      </c>
      <c r="C9" s="360"/>
      <c r="D9" s="360"/>
      <c r="E9" s="361"/>
      <c r="F9" s="361"/>
      <c r="G9" s="361"/>
      <c r="H9" s="359">
        <f>'Sources and Uses Budget'!T9</f>
        <v>0</v>
      </c>
      <c r="I9" s="360"/>
      <c r="J9" s="360"/>
      <c r="K9" s="357"/>
    </row>
    <row r="10" spans="1:11" s="358" customFormat="1">
      <c r="A10" s="362" t="s">
        <v>594</v>
      </c>
      <c r="B10" s="359">
        <f>'Sources and Uses Budget'!C10</f>
        <v>0</v>
      </c>
      <c r="C10" s="360"/>
      <c r="D10" s="360"/>
      <c r="E10" s="359">
        <f>'Sources and Uses Budget'!S10</f>
        <v>0</v>
      </c>
      <c r="F10" s="360"/>
      <c r="G10" s="360"/>
      <c r="H10" s="359">
        <f>'Sources and Uses Budget'!T10</f>
        <v>0</v>
      </c>
      <c r="I10" s="360"/>
      <c r="J10" s="360"/>
      <c r="K10" s="357"/>
    </row>
    <row r="11" spans="1:11" s="358" customFormat="1">
      <c r="A11" s="363" t="s">
        <v>595</v>
      </c>
      <c r="B11" s="359">
        <f>'Sources and Uses Budget'!C11</f>
        <v>0</v>
      </c>
      <c r="C11" s="359">
        <f>SUM(C9:C10)</f>
        <v>0</v>
      </c>
      <c r="D11" s="359">
        <f>SUM(D9:D10)</f>
        <v>0</v>
      </c>
      <c r="E11" s="361"/>
      <c r="F11" s="361"/>
      <c r="G11" s="361"/>
      <c r="H11" s="359">
        <f>'Sources and Uses Budget'!T11</f>
        <v>0</v>
      </c>
      <c r="I11" s="359">
        <f>SUM(I9:I10)</f>
        <v>0</v>
      </c>
      <c r="J11" s="359">
        <f>SUM(J9:J10)</f>
        <v>0</v>
      </c>
      <c r="K11" s="357"/>
    </row>
    <row r="12" spans="1:11" s="358" customFormat="1">
      <c r="A12" s="363" t="s">
        <v>84</v>
      </c>
      <c r="B12" s="359">
        <f>'Sources and Uses Budget'!C12</f>
        <v>1</v>
      </c>
      <c r="C12" s="359">
        <f>SUM(C8+C11)</f>
        <v>1</v>
      </c>
      <c r="D12" s="359">
        <f>SUM(D8+D11)</f>
        <v>0</v>
      </c>
      <c r="E12" s="361"/>
      <c r="F12" s="361"/>
      <c r="G12" s="361"/>
      <c r="H12" s="361"/>
      <c r="I12" s="361"/>
      <c r="J12" s="361"/>
      <c r="K12" s="357"/>
    </row>
    <row r="13" spans="1:11" s="358" customFormat="1">
      <c r="A13" s="364" t="s">
        <v>899</v>
      </c>
      <c r="B13" s="359">
        <f>'Sources and Uses Budget'!C13</f>
        <v>65000</v>
      </c>
      <c r="C13" s="360">
        <f>B13</f>
        <v>65000</v>
      </c>
      <c r="D13" s="360"/>
      <c r="E13" s="359">
        <f>'Sources and Uses Budget'!S13</f>
        <v>50000</v>
      </c>
      <c r="F13" s="360">
        <f>E13</f>
        <v>50000</v>
      </c>
      <c r="G13" s="360"/>
      <c r="H13" s="359">
        <f>'Sources and Uses Budget'!T13</f>
        <v>0</v>
      </c>
      <c r="I13" s="360"/>
      <c r="J13" s="360"/>
      <c r="K13" s="357"/>
    </row>
    <row r="14" spans="1:11" s="358" customFormat="1" ht="24">
      <c r="A14" s="362" t="s">
        <v>900</v>
      </c>
      <c r="B14" s="359">
        <f>'Sources and Uses Budget'!C14</f>
        <v>0</v>
      </c>
      <c r="C14" s="360"/>
      <c r="D14" s="360"/>
      <c r="E14" s="359">
        <f>'Sources and Uses Budget'!S14</f>
        <v>0</v>
      </c>
      <c r="F14" s="360"/>
      <c r="G14" s="360"/>
      <c r="H14" s="359">
        <f>'Sources and Uses Budget'!T14</f>
        <v>0</v>
      </c>
      <c r="I14" s="360"/>
      <c r="J14" s="360"/>
      <c r="K14" s="357"/>
    </row>
    <row r="15" spans="1:11" s="358" customFormat="1">
      <c r="A15" s="362" t="s">
        <v>1158</v>
      </c>
      <c r="B15" s="359">
        <f>'Sources and Uses Budget'!C15</f>
        <v>0</v>
      </c>
      <c r="C15" s="360"/>
      <c r="D15" s="360"/>
      <c r="E15" s="361">
        <f>'Sources and Uses Budget'!S15</f>
        <v>0</v>
      </c>
      <c r="F15" s="361"/>
      <c r="G15" s="361"/>
      <c r="H15" s="361">
        <f>'Sources and Uses Budget'!T15</f>
        <v>0</v>
      </c>
      <c r="I15" s="361"/>
      <c r="J15" s="361"/>
      <c r="K15" s="357"/>
    </row>
    <row r="16" spans="1:11" s="358" customFormat="1">
      <c r="A16" s="355" t="s">
        <v>596</v>
      </c>
      <c r="B16" s="356"/>
      <c r="C16" s="356"/>
      <c r="D16" s="356"/>
      <c r="E16" s="356"/>
      <c r="F16" s="356"/>
      <c r="G16" s="356"/>
      <c r="H16" s="356"/>
      <c r="I16" s="356"/>
      <c r="J16" s="356"/>
      <c r="K16" s="357"/>
    </row>
    <row r="17" spans="1:11" s="358" customFormat="1">
      <c r="A17" s="362" t="s">
        <v>597</v>
      </c>
      <c r="B17" s="359">
        <f>'Sources and Uses Budget'!C17</f>
        <v>0</v>
      </c>
      <c r="C17" s="360"/>
      <c r="D17" s="360"/>
      <c r="E17" s="359">
        <f>'Sources and Uses Budget'!S17</f>
        <v>0</v>
      </c>
      <c r="F17" s="360"/>
      <c r="G17" s="360"/>
      <c r="H17" s="359">
        <f>'Sources and Uses Budget'!T17</f>
        <v>0</v>
      </c>
      <c r="I17" s="360"/>
      <c r="J17" s="360"/>
      <c r="K17" s="357"/>
    </row>
    <row r="18" spans="1:11" s="358" customFormat="1">
      <c r="A18" s="362" t="s">
        <v>598</v>
      </c>
      <c r="B18" s="359">
        <f>'Sources and Uses Budget'!C18</f>
        <v>0</v>
      </c>
      <c r="C18" s="360"/>
      <c r="D18" s="360"/>
      <c r="E18" s="359">
        <f>'Sources and Uses Budget'!S18</f>
        <v>0</v>
      </c>
      <c r="F18" s="360"/>
      <c r="G18" s="360"/>
      <c r="H18" s="359">
        <f>'Sources and Uses Budget'!T18</f>
        <v>0</v>
      </c>
      <c r="I18" s="360"/>
      <c r="J18" s="360"/>
      <c r="K18" s="357"/>
    </row>
    <row r="19" spans="1:11" s="358" customFormat="1">
      <c r="A19" s="362" t="s">
        <v>599</v>
      </c>
      <c r="B19" s="359">
        <f>'Sources and Uses Budget'!C19</f>
        <v>0</v>
      </c>
      <c r="C19" s="360"/>
      <c r="D19" s="360"/>
      <c r="E19" s="359">
        <f>'Sources and Uses Budget'!S19</f>
        <v>0</v>
      </c>
      <c r="F19" s="360"/>
      <c r="G19" s="360"/>
      <c r="H19" s="359">
        <f>'Sources and Uses Budget'!T19</f>
        <v>0</v>
      </c>
      <c r="I19" s="360"/>
      <c r="J19" s="360"/>
      <c r="K19" s="357"/>
    </row>
    <row r="20" spans="1:11" s="358" customFormat="1">
      <c r="A20" s="362" t="s">
        <v>137</v>
      </c>
      <c r="B20" s="359">
        <f>'Sources and Uses Budget'!C20</f>
        <v>0</v>
      </c>
      <c r="C20" s="360"/>
      <c r="D20" s="360"/>
      <c r="E20" s="359">
        <f>'Sources and Uses Budget'!S20</f>
        <v>0</v>
      </c>
      <c r="F20" s="360"/>
      <c r="G20" s="360"/>
      <c r="H20" s="359">
        <f>'Sources and Uses Budget'!T20</f>
        <v>0</v>
      </c>
      <c r="I20" s="360"/>
      <c r="J20" s="360"/>
      <c r="K20" s="357"/>
    </row>
    <row r="21" spans="1:11" s="358" customFormat="1">
      <c r="A21" s="362" t="s">
        <v>138</v>
      </c>
      <c r="B21" s="359">
        <f>'Sources and Uses Budget'!C21</f>
        <v>0</v>
      </c>
      <c r="C21" s="360"/>
      <c r="D21" s="360"/>
      <c r="E21" s="359">
        <f>'Sources and Uses Budget'!S21</f>
        <v>0</v>
      </c>
      <c r="F21" s="360"/>
      <c r="G21" s="360"/>
      <c r="H21" s="359">
        <f>'Sources and Uses Budget'!T21</f>
        <v>0</v>
      </c>
      <c r="I21" s="360"/>
      <c r="J21" s="360"/>
      <c r="K21" s="357"/>
    </row>
    <row r="22" spans="1:11" s="358" customFormat="1">
      <c r="A22" s="362" t="s">
        <v>139</v>
      </c>
      <c r="B22" s="359">
        <f>'Sources and Uses Budget'!C22</f>
        <v>0</v>
      </c>
      <c r="C22" s="360"/>
      <c r="D22" s="360"/>
      <c r="E22" s="359">
        <f>'Sources and Uses Budget'!S22</f>
        <v>0</v>
      </c>
      <c r="F22" s="360"/>
      <c r="G22" s="360"/>
      <c r="H22" s="359">
        <f>'Sources and Uses Budget'!T22</f>
        <v>0</v>
      </c>
      <c r="I22" s="360"/>
      <c r="J22" s="360"/>
      <c r="K22" s="357"/>
    </row>
    <row r="23" spans="1:11" s="358" customFormat="1">
      <c r="A23" s="362" t="s">
        <v>140</v>
      </c>
      <c r="B23" s="359">
        <f>'Sources and Uses Budget'!C23</f>
        <v>0</v>
      </c>
      <c r="C23" s="360"/>
      <c r="D23" s="360"/>
      <c r="E23" s="359">
        <f>'Sources and Uses Budget'!S23</f>
        <v>0</v>
      </c>
      <c r="F23" s="360"/>
      <c r="G23" s="360"/>
      <c r="H23" s="359">
        <f>'Sources and Uses Budget'!T23</f>
        <v>0</v>
      </c>
      <c r="I23" s="360"/>
      <c r="J23" s="360"/>
      <c r="K23" s="357"/>
    </row>
    <row r="24" spans="1:11" s="358" customFormat="1">
      <c r="A24" s="506" t="s">
        <v>1626</v>
      </c>
      <c r="B24" s="359">
        <f>'Sources and Uses Budget'!C24</f>
        <v>0</v>
      </c>
      <c r="C24" s="360"/>
      <c r="D24" s="360"/>
      <c r="E24" s="359">
        <f>'Sources and Uses Budget'!S24</f>
        <v>0</v>
      </c>
      <c r="F24" s="360"/>
      <c r="G24" s="360"/>
      <c r="H24" s="359">
        <f>'Sources and Uses Budget'!T24</f>
        <v>0</v>
      </c>
      <c r="I24" s="360"/>
      <c r="J24" s="360"/>
      <c r="K24" s="357"/>
    </row>
    <row r="25" spans="1:11" s="358" customFormat="1">
      <c r="A25" s="362" t="str">
        <f>'Sources and Uses Budget'!$A25</f>
        <v>Other: (Specify)</v>
      </c>
      <c r="B25" s="359">
        <f>'Sources and Uses Budget'!C25</f>
        <v>0</v>
      </c>
      <c r="C25" s="360"/>
      <c r="D25" s="360"/>
      <c r="E25" s="359">
        <f>'Sources and Uses Budget'!S25</f>
        <v>0</v>
      </c>
      <c r="F25" s="360"/>
      <c r="G25" s="360"/>
      <c r="H25" s="359">
        <f>'Sources and Uses Budget'!T25</f>
        <v>0</v>
      </c>
      <c r="I25" s="360"/>
      <c r="J25" s="360"/>
      <c r="K25" s="357"/>
    </row>
    <row r="26" spans="1:11" s="358" customFormat="1">
      <c r="A26" s="363" t="s">
        <v>133</v>
      </c>
      <c r="B26" s="359">
        <f>'Sources and Uses Budget'!C26</f>
        <v>0</v>
      </c>
      <c r="C26" s="359">
        <f>SUM(C17:C25)</f>
        <v>0</v>
      </c>
      <c r="D26" s="359">
        <f>SUM(D17:D25)</f>
        <v>0</v>
      </c>
      <c r="E26" s="359">
        <f>'Sources and Uses Budget'!S26</f>
        <v>0</v>
      </c>
      <c r="F26" s="365">
        <f>SUM(F17:F25)</f>
        <v>0</v>
      </c>
      <c r="G26" s="365">
        <f>SUM(G17:G25)</f>
        <v>0</v>
      </c>
      <c r="H26" s="359">
        <f>'Sources and Uses Budget'!T26</f>
        <v>0</v>
      </c>
      <c r="I26" s="365">
        <f>SUM(I17:I25)</f>
        <v>0</v>
      </c>
      <c r="J26" s="365">
        <f>SUM(J17:J25)</f>
        <v>0</v>
      </c>
      <c r="K26" s="357"/>
    </row>
    <row r="27" spans="1:11" s="358" customFormat="1">
      <c r="A27" s="363" t="s">
        <v>141</v>
      </c>
      <c r="B27" s="359">
        <f>'Sources and Uses Budget'!C27</f>
        <v>0</v>
      </c>
      <c r="C27" s="360"/>
      <c r="D27" s="360"/>
      <c r="E27" s="359">
        <f>'Sources and Uses Budget'!S27</f>
        <v>0</v>
      </c>
      <c r="F27" s="360"/>
      <c r="G27" s="360"/>
      <c r="H27" s="359">
        <f>'Sources and Uses Budget'!T27</f>
        <v>0</v>
      </c>
      <c r="I27" s="360"/>
      <c r="J27" s="360"/>
      <c r="K27" s="357"/>
    </row>
    <row r="28" spans="1:11" s="358" customFormat="1">
      <c r="A28" s="355" t="s">
        <v>142</v>
      </c>
      <c r="B28" s="356"/>
      <c r="C28" s="356"/>
      <c r="D28" s="356"/>
      <c r="E28" s="356"/>
      <c r="F28" s="356"/>
      <c r="G28" s="356"/>
      <c r="H28" s="356"/>
      <c r="I28" s="356"/>
      <c r="J28" s="356"/>
      <c r="K28" s="357"/>
    </row>
    <row r="29" spans="1:11" s="358" customFormat="1">
      <c r="A29" s="145" t="s">
        <v>597</v>
      </c>
      <c r="B29" s="359">
        <f>'Sources and Uses Budget'!C29</f>
        <v>2356000</v>
      </c>
      <c r="C29" s="360">
        <f t="shared" ref="C29:C37" si="0">B29</f>
        <v>2356000</v>
      </c>
      <c r="D29" s="360"/>
      <c r="E29" s="359">
        <f>'Sources and Uses Budget'!S29</f>
        <v>2356000</v>
      </c>
      <c r="F29" s="360">
        <f>E29</f>
        <v>2356000</v>
      </c>
      <c r="G29" s="360"/>
      <c r="H29" s="359">
        <f>'Sources and Uses Budget'!T29</f>
        <v>0</v>
      </c>
      <c r="I29" s="360"/>
      <c r="J29" s="360"/>
      <c r="K29" s="357"/>
    </row>
    <row r="30" spans="1:11" s="358" customFormat="1">
      <c r="A30" s="145" t="s">
        <v>598</v>
      </c>
      <c r="B30" s="359">
        <f>'Sources and Uses Budget'!C30</f>
        <v>27092718</v>
      </c>
      <c r="C30" s="360">
        <f t="shared" si="0"/>
        <v>27092718</v>
      </c>
      <c r="D30" s="360"/>
      <c r="E30" s="359">
        <f>'Sources and Uses Budget'!S30</f>
        <v>27092718</v>
      </c>
      <c r="F30" s="360">
        <f>E30</f>
        <v>27092718</v>
      </c>
      <c r="G30" s="360"/>
      <c r="H30" s="359">
        <f>'Sources and Uses Budget'!T30</f>
        <v>0</v>
      </c>
      <c r="I30" s="360"/>
      <c r="J30" s="360"/>
      <c r="K30" s="357"/>
    </row>
    <row r="31" spans="1:11" s="358" customFormat="1">
      <c r="A31" s="145" t="s">
        <v>599</v>
      </c>
      <c r="B31" s="359">
        <f>'Sources and Uses Budget'!C31</f>
        <v>2210000</v>
      </c>
      <c r="C31" s="360">
        <f t="shared" si="0"/>
        <v>2210000</v>
      </c>
      <c r="D31" s="360"/>
      <c r="E31" s="359">
        <f>'Sources and Uses Budget'!S31</f>
        <v>2210000</v>
      </c>
      <c r="F31" s="360">
        <f t="shared" ref="F31:F37" si="1">E31</f>
        <v>2210000</v>
      </c>
      <c r="G31" s="360"/>
      <c r="H31" s="359">
        <f>'Sources and Uses Budget'!T31</f>
        <v>0</v>
      </c>
      <c r="I31" s="360"/>
      <c r="J31" s="360"/>
      <c r="K31" s="357"/>
    </row>
    <row r="32" spans="1:11" s="358" customFormat="1">
      <c r="A32" s="145" t="s">
        <v>137</v>
      </c>
      <c r="B32" s="359">
        <f>'Sources and Uses Budget'!C32</f>
        <v>1000000</v>
      </c>
      <c r="C32" s="360">
        <f t="shared" si="0"/>
        <v>1000000</v>
      </c>
      <c r="D32" s="360"/>
      <c r="E32" s="359">
        <f>'Sources and Uses Budget'!S32</f>
        <v>1000000</v>
      </c>
      <c r="F32" s="360">
        <f t="shared" si="1"/>
        <v>1000000</v>
      </c>
      <c r="G32" s="360"/>
      <c r="H32" s="359">
        <f>'Sources and Uses Budget'!T32</f>
        <v>0</v>
      </c>
      <c r="I32" s="360"/>
      <c r="J32" s="360"/>
      <c r="K32" s="357"/>
    </row>
    <row r="33" spans="1:11" s="358" customFormat="1">
      <c r="A33" s="145" t="s">
        <v>138</v>
      </c>
      <c r="B33" s="359">
        <f>'Sources and Uses Budget'!C33</f>
        <v>658576</v>
      </c>
      <c r="C33" s="360">
        <f t="shared" si="0"/>
        <v>658576</v>
      </c>
      <c r="D33" s="360"/>
      <c r="E33" s="359">
        <f>'Sources and Uses Budget'!S33</f>
        <v>658576</v>
      </c>
      <c r="F33" s="360">
        <f t="shared" si="1"/>
        <v>658576</v>
      </c>
      <c r="G33" s="360"/>
      <c r="H33" s="359">
        <f>'Sources and Uses Budget'!T33</f>
        <v>0</v>
      </c>
      <c r="I33" s="360"/>
      <c r="J33" s="360"/>
      <c r="K33" s="357"/>
    </row>
    <row r="34" spans="1:11" s="358" customFormat="1">
      <c r="A34" s="145" t="s">
        <v>139</v>
      </c>
      <c r="B34" s="359">
        <f>'Sources and Uses Budget'!C34</f>
        <v>0</v>
      </c>
      <c r="C34" s="360">
        <f t="shared" si="0"/>
        <v>0</v>
      </c>
      <c r="D34" s="360"/>
      <c r="E34" s="359">
        <f>'Sources and Uses Budget'!S34</f>
        <v>0</v>
      </c>
      <c r="F34" s="360">
        <f t="shared" si="1"/>
        <v>0</v>
      </c>
      <c r="G34" s="360"/>
      <c r="H34" s="359">
        <f>'Sources and Uses Budget'!T34</f>
        <v>0</v>
      </c>
      <c r="I34" s="360"/>
      <c r="J34" s="360"/>
      <c r="K34" s="357"/>
    </row>
    <row r="35" spans="1:11" s="358" customFormat="1">
      <c r="A35" s="145" t="s">
        <v>140</v>
      </c>
      <c r="B35" s="359">
        <f>'Sources and Uses Budget'!C35</f>
        <v>382833</v>
      </c>
      <c r="C35" s="360">
        <f t="shared" si="0"/>
        <v>382833</v>
      </c>
      <c r="D35" s="360"/>
      <c r="E35" s="359">
        <f>'Sources and Uses Budget'!S35</f>
        <v>382833</v>
      </c>
      <c r="F35" s="360">
        <f t="shared" si="1"/>
        <v>382833</v>
      </c>
      <c r="G35" s="360"/>
      <c r="H35" s="359">
        <f>'Sources and Uses Budget'!T35</f>
        <v>0</v>
      </c>
      <c r="I35" s="360"/>
      <c r="J35" s="360"/>
      <c r="K35" s="357"/>
    </row>
    <row r="36" spans="1:11" s="358" customFormat="1">
      <c r="A36" s="506" t="s">
        <v>1626</v>
      </c>
      <c r="B36" s="359">
        <f>'Sources and Uses Budget'!C36</f>
        <v>240000</v>
      </c>
      <c r="C36" s="360">
        <f t="shared" si="0"/>
        <v>240000</v>
      </c>
      <c r="D36" s="360"/>
      <c r="E36" s="359">
        <f>'Sources and Uses Budget'!S36</f>
        <v>240000</v>
      </c>
      <c r="F36" s="360">
        <f t="shared" si="1"/>
        <v>240000</v>
      </c>
      <c r="G36" s="360"/>
      <c r="H36" s="359">
        <f>'Sources and Uses Budget'!T36</f>
        <v>0</v>
      </c>
      <c r="I36" s="360"/>
      <c r="J36" s="360"/>
      <c r="K36" s="357"/>
    </row>
    <row r="37" spans="1:11" s="358" customFormat="1">
      <c r="A37" s="362" t="str">
        <f>'Sources and Uses Budget'!$A37</f>
        <v>Other: Security</v>
      </c>
      <c r="B37" s="359">
        <f>'Sources and Uses Budget'!C37</f>
        <v>246500</v>
      </c>
      <c r="C37" s="360">
        <f t="shared" si="0"/>
        <v>246500</v>
      </c>
      <c r="D37" s="360"/>
      <c r="E37" s="359">
        <f>'Sources and Uses Budget'!S37</f>
        <v>246500</v>
      </c>
      <c r="F37" s="360">
        <f t="shared" si="1"/>
        <v>246500</v>
      </c>
      <c r="G37" s="360"/>
      <c r="H37" s="359">
        <f>'Sources and Uses Budget'!T37</f>
        <v>0</v>
      </c>
      <c r="I37" s="360"/>
      <c r="J37" s="360"/>
      <c r="K37" s="357"/>
    </row>
    <row r="38" spans="1:11" s="358" customFormat="1">
      <c r="A38" s="363" t="s">
        <v>143</v>
      </c>
      <c r="B38" s="359">
        <f>'Sources and Uses Budget'!C38</f>
        <v>34186627</v>
      </c>
      <c r="C38" s="359">
        <f>SUM(C29:C37)</f>
        <v>34186627</v>
      </c>
      <c r="D38" s="359">
        <f>SUM(D29:D37)</f>
        <v>0</v>
      </c>
      <c r="E38" s="359">
        <f>'Sources and Uses Budget'!S38</f>
        <v>34186627</v>
      </c>
      <c r="F38" s="365">
        <f>SUM(F29:F37)</f>
        <v>34186627</v>
      </c>
      <c r="G38" s="365">
        <f>SUM(G29:G37)</f>
        <v>0</v>
      </c>
      <c r="H38" s="359">
        <f>'Sources and Uses Budget'!T38</f>
        <v>0</v>
      </c>
      <c r="I38" s="365">
        <f>SUM(I29:I37)</f>
        <v>0</v>
      </c>
      <c r="J38" s="365">
        <f>SUM(J29:J37)</f>
        <v>0</v>
      </c>
      <c r="K38" s="357"/>
    </row>
    <row r="39" spans="1:11" s="358" customFormat="1">
      <c r="A39" s="355" t="s">
        <v>144</v>
      </c>
      <c r="B39" s="356"/>
      <c r="C39" s="356"/>
      <c r="D39" s="356"/>
      <c r="E39" s="356"/>
      <c r="F39" s="356"/>
      <c r="G39" s="356"/>
      <c r="H39" s="356"/>
      <c r="I39" s="356"/>
      <c r="J39" s="356"/>
      <c r="K39" s="357"/>
    </row>
    <row r="40" spans="1:11" s="358" customFormat="1">
      <c r="A40" s="362" t="s">
        <v>145</v>
      </c>
      <c r="B40" s="359">
        <f>'Sources and Uses Budget'!C40</f>
        <v>1600000</v>
      </c>
      <c r="C40" s="360">
        <f>B40</f>
        <v>1600000</v>
      </c>
      <c r="D40" s="360"/>
      <c r="E40" s="359">
        <f>'Sources and Uses Budget'!S40</f>
        <v>1600000</v>
      </c>
      <c r="F40" s="360">
        <f t="shared" ref="F40:F41" si="2">E40</f>
        <v>1600000</v>
      </c>
      <c r="G40" s="360"/>
      <c r="H40" s="359">
        <f>'Sources and Uses Budget'!T40</f>
        <v>0</v>
      </c>
      <c r="I40" s="360"/>
      <c r="J40" s="360"/>
      <c r="K40" s="357"/>
    </row>
    <row r="41" spans="1:11" s="358" customFormat="1">
      <c r="A41" s="362" t="s">
        <v>146</v>
      </c>
      <c r="B41" s="359">
        <f>'Sources and Uses Budget'!C41</f>
        <v>0</v>
      </c>
      <c r="C41" s="360"/>
      <c r="D41" s="360"/>
      <c r="E41" s="359">
        <f>'Sources and Uses Budget'!S41</f>
        <v>0</v>
      </c>
      <c r="F41" s="360">
        <f t="shared" si="2"/>
        <v>0</v>
      </c>
      <c r="G41" s="360"/>
      <c r="H41" s="359">
        <f>'Sources and Uses Budget'!T41</f>
        <v>0</v>
      </c>
      <c r="I41" s="360"/>
      <c r="J41" s="360"/>
      <c r="K41" s="357"/>
    </row>
    <row r="42" spans="1:11" s="358" customFormat="1">
      <c r="A42" s="363" t="s">
        <v>147</v>
      </c>
      <c r="B42" s="359">
        <f>'Sources and Uses Budget'!C42</f>
        <v>1600000</v>
      </c>
      <c r="C42" s="359">
        <f>SUM(C39:C41)</f>
        <v>1600000</v>
      </c>
      <c r="D42" s="359">
        <f>SUM(D39:D41)</f>
        <v>0</v>
      </c>
      <c r="E42" s="359">
        <f>'Sources and Uses Budget'!S42</f>
        <v>1600000</v>
      </c>
      <c r="F42" s="365">
        <f>SUM(F40:F41)</f>
        <v>1600000</v>
      </c>
      <c r="G42" s="365">
        <f>SUM(G40:G41)</f>
        <v>0</v>
      </c>
      <c r="H42" s="359">
        <f>'Sources and Uses Budget'!T42</f>
        <v>0</v>
      </c>
      <c r="I42" s="365">
        <f>SUM(I40:I41)</f>
        <v>0</v>
      </c>
      <c r="J42" s="365">
        <f>SUM(J40:J41)</f>
        <v>0</v>
      </c>
      <c r="K42" s="357"/>
    </row>
    <row r="43" spans="1:11" s="358" customFormat="1">
      <c r="A43" s="363" t="s">
        <v>148</v>
      </c>
      <c r="B43" s="359">
        <f>'Sources and Uses Budget'!C43</f>
        <v>300000</v>
      </c>
      <c r="C43" s="360">
        <f>B43</f>
        <v>300000</v>
      </c>
      <c r="D43" s="360"/>
      <c r="E43" s="359">
        <f>'Sources and Uses Budget'!S43</f>
        <v>300000</v>
      </c>
      <c r="F43" s="360">
        <v>300000</v>
      </c>
      <c r="G43" s="360"/>
      <c r="H43" s="359">
        <f>'Sources and Uses Budget'!T43</f>
        <v>0</v>
      </c>
      <c r="I43" s="360"/>
      <c r="J43" s="360"/>
      <c r="K43" s="357"/>
    </row>
    <row r="44" spans="1:11" s="358" customFormat="1">
      <c r="A44" s="355" t="s">
        <v>149</v>
      </c>
      <c r="B44" s="356"/>
      <c r="C44" s="356"/>
      <c r="D44" s="356"/>
      <c r="E44" s="356"/>
      <c r="F44" s="356"/>
      <c r="G44" s="356"/>
      <c r="H44" s="356"/>
      <c r="I44" s="356"/>
      <c r="J44" s="356"/>
      <c r="K44" s="357"/>
    </row>
    <row r="45" spans="1:11" s="358" customFormat="1">
      <c r="A45" s="362" t="s">
        <v>150</v>
      </c>
      <c r="B45" s="359">
        <f>'Sources and Uses Budget'!C45</f>
        <v>3340541</v>
      </c>
      <c r="C45" s="360">
        <f t="shared" ref="C45:C53" si="3">B45</f>
        <v>3340541</v>
      </c>
      <c r="D45" s="360"/>
      <c r="E45" s="359">
        <f>'Sources and Uses Budget'!S45</f>
        <v>2082423</v>
      </c>
      <c r="F45" s="360">
        <f t="shared" ref="F45:F53" si="4">E45</f>
        <v>2082423</v>
      </c>
      <c r="G45" s="360"/>
      <c r="H45" s="359">
        <f>'Sources and Uses Budget'!T45</f>
        <v>0</v>
      </c>
      <c r="I45" s="360"/>
      <c r="J45" s="360"/>
      <c r="K45" s="357"/>
    </row>
    <row r="46" spans="1:11" s="358" customFormat="1">
      <c r="A46" s="362" t="s">
        <v>151</v>
      </c>
      <c r="B46" s="359">
        <f>'Sources and Uses Budget'!C46</f>
        <v>392976</v>
      </c>
      <c r="C46" s="360">
        <f t="shared" si="3"/>
        <v>392976</v>
      </c>
      <c r="D46" s="360"/>
      <c r="E46" s="359">
        <f>'Sources and Uses Budget'!S46</f>
        <v>392976</v>
      </c>
      <c r="F46" s="360">
        <f t="shared" si="4"/>
        <v>392976</v>
      </c>
      <c r="G46" s="360"/>
      <c r="H46" s="359">
        <f>'Sources and Uses Budget'!T46</f>
        <v>0</v>
      </c>
      <c r="I46" s="360"/>
      <c r="J46" s="360"/>
      <c r="K46" s="357"/>
    </row>
    <row r="47" spans="1:11" s="358" customFormat="1" ht="12" customHeight="1">
      <c r="A47" s="362" t="s">
        <v>152</v>
      </c>
      <c r="B47" s="359">
        <f>'Sources and Uses Budget'!C47</f>
        <v>0</v>
      </c>
      <c r="C47" s="360">
        <f t="shared" si="3"/>
        <v>0</v>
      </c>
      <c r="D47" s="360"/>
      <c r="E47" s="359">
        <f>'Sources and Uses Budget'!S47</f>
        <v>0</v>
      </c>
      <c r="F47" s="360">
        <f t="shared" si="4"/>
        <v>0</v>
      </c>
      <c r="G47" s="360"/>
      <c r="H47" s="359">
        <f>'Sources and Uses Budget'!T47</f>
        <v>0</v>
      </c>
      <c r="I47" s="360"/>
      <c r="J47" s="360"/>
      <c r="K47" s="357"/>
    </row>
    <row r="48" spans="1:11" s="358" customFormat="1">
      <c r="A48" s="362" t="s">
        <v>153</v>
      </c>
      <c r="B48" s="359">
        <f>'Sources and Uses Budget'!C48</f>
        <v>172461</v>
      </c>
      <c r="C48" s="360">
        <f t="shared" si="3"/>
        <v>172461</v>
      </c>
      <c r="D48" s="360"/>
      <c r="E48" s="359">
        <f>'Sources and Uses Budget'!S48</f>
        <v>172461</v>
      </c>
      <c r="F48" s="360">
        <f t="shared" si="4"/>
        <v>172461</v>
      </c>
      <c r="G48" s="360"/>
      <c r="H48" s="359">
        <f>'Sources and Uses Budget'!T48</f>
        <v>0</v>
      </c>
      <c r="I48" s="360"/>
      <c r="J48" s="360"/>
      <c r="K48" s="357"/>
    </row>
    <row r="49" spans="1:11" s="358" customFormat="1">
      <c r="A49" s="281" t="s">
        <v>57</v>
      </c>
      <c r="B49" s="359">
        <f>'Sources and Uses Budget'!C49</f>
        <v>485752</v>
      </c>
      <c r="C49" s="360">
        <f t="shared" si="3"/>
        <v>485752</v>
      </c>
      <c r="D49" s="360"/>
      <c r="E49" s="359">
        <f>'Sources and Uses Budget'!S49</f>
        <v>322639</v>
      </c>
      <c r="F49" s="360">
        <f t="shared" si="4"/>
        <v>322639</v>
      </c>
      <c r="G49" s="360"/>
      <c r="H49" s="359">
        <f>'Sources and Uses Budget'!T49</f>
        <v>0</v>
      </c>
      <c r="I49" s="360"/>
      <c r="J49" s="360"/>
      <c r="K49" s="357"/>
    </row>
    <row r="50" spans="1:11" s="358" customFormat="1">
      <c r="A50" s="362" t="s">
        <v>156</v>
      </c>
      <c r="B50" s="359">
        <f>'Sources and Uses Budget'!C50</f>
        <v>75000</v>
      </c>
      <c r="C50" s="360">
        <f t="shared" si="3"/>
        <v>75000</v>
      </c>
      <c r="D50" s="360"/>
      <c r="E50" s="359">
        <f>'Sources and Uses Budget'!S50</f>
        <v>60000</v>
      </c>
      <c r="F50" s="360">
        <f t="shared" si="4"/>
        <v>60000</v>
      </c>
      <c r="G50" s="360"/>
      <c r="H50" s="359">
        <f>'Sources and Uses Budget'!T50</f>
        <v>0</v>
      </c>
      <c r="I50" s="360"/>
      <c r="J50" s="360"/>
      <c r="K50" s="357"/>
    </row>
    <row r="51" spans="1:11" s="358" customFormat="1">
      <c r="A51" s="362" t="s">
        <v>154</v>
      </c>
      <c r="B51" s="359">
        <f>'Sources and Uses Budget'!C51</f>
        <v>5355</v>
      </c>
      <c r="C51" s="360">
        <f t="shared" si="3"/>
        <v>5355</v>
      </c>
      <c r="D51" s="360"/>
      <c r="E51" s="359">
        <f>'Sources and Uses Budget'!S51</f>
        <v>5355</v>
      </c>
      <c r="F51" s="360">
        <f t="shared" si="4"/>
        <v>5355</v>
      </c>
      <c r="G51" s="360"/>
      <c r="H51" s="359">
        <f>'Sources and Uses Budget'!T51</f>
        <v>0</v>
      </c>
      <c r="I51" s="360"/>
      <c r="J51" s="360"/>
      <c r="K51" s="357"/>
    </row>
    <row r="52" spans="1:11" s="358" customFormat="1">
      <c r="A52" s="362" t="s">
        <v>155</v>
      </c>
      <c r="B52" s="359">
        <f>'Sources and Uses Budget'!C52</f>
        <v>1500000</v>
      </c>
      <c r="C52" s="360">
        <f t="shared" si="3"/>
        <v>1500000</v>
      </c>
      <c r="D52" s="360"/>
      <c r="E52" s="359">
        <f>'Sources and Uses Budget'!S52</f>
        <v>1500000</v>
      </c>
      <c r="F52" s="360">
        <f t="shared" si="4"/>
        <v>1500000</v>
      </c>
      <c r="G52" s="360"/>
      <c r="H52" s="359">
        <f>'Sources and Uses Budget'!T52</f>
        <v>0</v>
      </c>
      <c r="I52" s="360"/>
      <c r="J52" s="360"/>
      <c r="K52" s="357"/>
    </row>
    <row r="53" spans="1:11" s="358" customFormat="1">
      <c r="A53" s="362" t="str">
        <f>'Sources and Uses Budget'!$A53</f>
        <v>Third Party Reports</v>
      </c>
      <c r="B53" s="359">
        <f>'Sources and Uses Budget'!C53</f>
        <v>0</v>
      </c>
      <c r="C53" s="360">
        <f t="shared" si="3"/>
        <v>0</v>
      </c>
      <c r="D53" s="360"/>
      <c r="E53" s="359">
        <f>'Sources and Uses Budget'!S53</f>
        <v>0</v>
      </c>
      <c r="F53" s="360">
        <f t="shared" si="4"/>
        <v>0</v>
      </c>
      <c r="G53" s="360"/>
      <c r="H53" s="359">
        <f>'Sources and Uses Budget'!T53</f>
        <v>0</v>
      </c>
      <c r="I53" s="360"/>
      <c r="J53" s="360"/>
      <c r="K53" s="357"/>
    </row>
    <row r="54" spans="1:11" s="367" customFormat="1">
      <c r="A54" s="363" t="s">
        <v>157</v>
      </c>
      <c r="B54" s="359">
        <f>'Sources and Uses Budget'!C54</f>
        <v>5972085</v>
      </c>
      <c r="C54" s="365">
        <f>SUM(C45:C53)</f>
        <v>5972085</v>
      </c>
      <c r="D54" s="365">
        <f>SUM(D45:D53)</f>
        <v>0</v>
      </c>
      <c r="E54" s="359">
        <f>'Sources and Uses Budget'!S54</f>
        <v>4535854</v>
      </c>
      <c r="F54" s="365">
        <f>SUM(F45:F53)</f>
        <v>4535854</v>
      </c>
      <c r="G54" s="365">
        <f>SUM(G45:G53)</f>
        <v>0</v>
      </c>
      <c r="H54" s="359">
        <f>'Sources and Uses Budget'!T54</f>
        <v>0</v>
      </c>
      <c r="I54" s="365">
        <f>SUM(I45:I53)</f>
        <v>0</v>
      </c>
      <c r="J54" s="365">
        <f>SUM(J45:J53)</f>
        <v>0</v>
      </c>
      <c r="K54" s="366"/>
    </row>
    <row r="55" spans="1:11" s="358" customFormat="1">
      <c r="A55" s="355" t="s">
        <v>417</v>
      </c>
      <c r="B55" s="356"/>
      <c r="C55" s="356"/>
      <c r="D55" s="356"/>
      <c r="E55" s="356"/>
      <c r="F55" s="356"/>
      <c r="G55" s="356"/>
      <c r="H55" s="356"/>
      <c r="I55" s="356"/>
      <c r="J55" s="356"/>
      <c r="K55" s="357"/>
    </row>
    <row r="56" spans="1:11" s="358" customFormat="1">
      <c r="A56" s="362" t="s">
        <v>158</v>
      </c>
      <c r="B56" s="359">
        <f>'Sources and Uses Budget'!C56</f>
        <v>381476</v>
      </c>
      <c r="C56" s="360">
        <f t="shared" ref="C56:C61" si="5">B56</f>
        <v>381476</v>
      </c>
      <c r="D56" s="360"/>
      <c r="E56" s="361"/>
      <c r="F56" s="361"/>
      <c r="G56" s="361"/>
      <c r="H56" s="361"/>
      <c r="I56" s="361"/>
      <c r="J56" s="361"/>
      <c r="K56" s="357"/>
    </row>
    <row r="57" spans="1:11" s="358" customFormat="1" ht="12" customHeight="1">
      <c r="A57" s="362" t="s">
        <v>152</v>
      </c>
      <c r="B57" s="359">
        <f>'Sources and Uses Budget'!C57</f>
        <v>30000</v>
      </c>
      <c r="C57" s="360">
        <f t="shared" si="5"/>
        <v>30000</v>
      </c>
      <c r="D57" s="360"/>
      <c r="E57" s="361"/>
      <c r="F57" s="361"/>
      <c r="G57" s="361"/>
      <c r="H57" s="361"/>
      <c r="I57" s="361"/>
      <c r="J57" s="361"/>
      <c r="K57" s="357"/>
    </row>
    <row r="58" spans="1:11" s="358" customFormat="1">
      <c r="A58" s="362" t="s">
        <v>156</v>
      </c>
      <c r="B58" s="359">
        <f>'Sources and Uses Budget'!C58</f>
        <v>0</v>
      </c>
      <c r="C58" s="360">
        <f t="shared" si="5"/>
        <v>0</v>
      </c>
      <c r="D58" s="360"/>
      <c r="E58" s="361"/>
      <c r="F58" s="361"/>
      <c r="G58" s="361"/>
      <c r="H58" s="361"/>
      <c r="I58" s="361"/>
      <c r="J58" s="361"/>
      <c r="K58" s="357"/>
    </row>
    <row r="59" spans="1:11" s="358" customFormat="1">
      <c r="A59" s="362" t="s">
        <v>154</v>
      </c>
      <c r="B59" s="359">
        <f>'Sources and Uses Budget'!C59</f>
        <v>0</v>
      </c>
      <c r="C59" s="360">
        <f t="shared" si="5"/>
        <v>0</v>
      </c>
      <c r="D59" s="360"/>
      <c r="E59" s="361"/>
      <c r="F59" s="361"/>
      <c r="G59" s="361"/>
      <c r="H59" s="361"/>
      <c r="I59" s="361"/>
      <c r="J59" s="361"/>
      <c r="K59" s="357"/>
    </row>
    <row r="60" spans="1:11" s="358" customFormat="1">
      <c r="A60" s="362" t="s">
        <v>155</v>
      </c>
      <c r="B60" s="359">
        <f>'Sources and Uses Budget'!C60</f>
        <v>0</v>
      </c>
      <c r="C60" s="360">
        <f t="shared" si="5"/>
        <v>0</v>
      </c>
      <c r="D60" s="360"/>
      <c r="E60" s="361"/>
      <c r="F60" s="361"/>
      <c r="G60" s="361"/>
      <c r="H60" s="361"/>
      <c r="I60" s="361"/>
      <c r="J60" s="361"/>
      <c r="K60" s="357"/>
    </row>
    <row r="61" spans="1:11" s="358" customFormat="1">
      <c r="A61" s="362" t="str">
        <f>'Sources and Uses Budget'!$A61</f>
        <v>Other: Third Party Reports</v>
      </c>
      <c r="B61" s="359">
        <f>'Sources and Uses Budget'!C61</f>
        <v>100000</v>
      </c>
      <c r="C61" s="360">
        <f t="shared" si="5"/>
        <v>100000</v>
      </c>
      <c r="D61" s="360"/>
      <c r="E61" s="361"/>
      <c r="F61" s="361"/>
      <c r="G61" s="361"/>
      <c r="H61" s="361"/>
      <c r="I61" s="361"/>
      <c r="J61" s="361"/>
      <c r="K61" s="357"/>
    </row>
    <row r="62" spans="1:11" s="358" customFormat="1" ht="13.7" customHeight="1">
      <c r="A62" s="363" t="s">
        <v>300</v>
      </c>
      <c r="B62" s="359">
        <f>'Sources and Uses Budget'!C62</f>
        <v>511476</v>
      </c>
      <c r="C62" s="359">
        <f>SUM(C56:C61)</f>
        <v>511476</v>
      </c>
      <c r="D62" s="359">
        <f>SUM(D56:D61)</f>
        <v>0</v>
      </c>
      <c r="E62" s="361"/>
      <c r="F62" s="361"/>
      <c r="G62" s="361"/>
      <c r="H62" s="361"/>
      <c r="I62" s="361"/>
      <c r="J62" s="361"/>
      <c r="K62" s="357"/>
    </row>
    <row r="63" spans="1:11" s="358" customFormat="1">
      <c r="A63" s="368" t="s">
        <v>301</v>
      </c>
      <c r="B63" s="359">
        <f>'Sources and Uses Budget'!C63</f>
        <v>42635189</v>
      </c>
      <c r="C63" s="359">
        <f>SUM(C8+C11+C13+C14+C15+C26+C27+C38+C42+C43+C54+C62)</f>
        <v>42635189</v>
      </c>
      <c r="D63" s="359">
        <f>SUM(D8+D11+D13+D14+D15+D26+D27+D38+D42+D43+D54+D62)</f>
        <v>0</v>
      </c>
      <c r="E63" s="359">
        <f>'Sources and Uses Budget'!S63</f>
        <v>40672481</v>
      </c>
      <c r="F63" s="359">
        <f>SUM(F10+F13+F14+F15+F26+F27+F38+F42+F43+F54)</f>
        <v>40672481</v>
      </c>
      <c r="G63" s="359">
        <f>SUM(G10+G13+G14+G15+G26+G27+G38+G42+G43+G54)</f>
        <v>0</v>
      </c>
      <c r="H63" s="359">
        <f>'Sources and Uses Budget'!T63</f>
        <v>0</v>
      </c>
      <c r="I63" s="359">
        <f>SUM(I11+I13+I14+I15+I26+I27+I38+I42+I43+I54)</f>
        <v>0</v>
      </c>
      <c r="J63" s="359">
        <f>SUM(J11+J13+J14+J15+J26+J27+J38+J42+J43+J54)</f>
        <v>0</v>
      </c>
      <c r="K63" s="357"/>
    </row>
    <row r="64" spans="1:11" s="358" customFormat="1" ht="24">
      <c r="A64" s="141" t="s">
        <v>1630</v>
      </c>
      <c r="B64" s="356"/>
      <c r="C64" s="356"/>
      <c r="D64" s="356"/>
      <c r="E64" s="356"/>
      <c r="F64" s="356"/>
      <c r="G64" s="356"/>
      <c r="H64" s="356"/>
      <c r="I64" s="356"/>
      <c r="J64" s="356"/>
      <c r="K64" s="357"/>
    </row>
    <row r="65" spans="1:11" s="358" customFormat="1">
      <c r="A65" s="145" t="s">
        <v>170</v>
      </c>
      <c r="B65" s="359">
        <f>'Sources and Uses Budget'!C65</f>
        <v>100000</v>
      </c>
      <c r="C65" s="360">
        <f t="shared" ref="C65:C69" si="6">B65</f>
        <v>100000</v>
      </c>
      <c r="D65" s="360"/>
      <c r="E65" s="359">
        <f>'Sources and Uses Budget'!S65</f>
        <v>100000</v>
      </c>
      <c r="F65" s="360">
        <f t="shared" ref="F65:F69" si="7">E65</f>
        <v>100000</v>
      </c>
      <c r="G65" s="360"/>
      <c r="H65" s="359">
        <f>'Sources and Uses Budget'!T65</f>
        <v>0</v>
      </c>
      <c r="I65" s="360"/>
      <c r="J65" s="360"/>
      <c r="K65" s="357"/>
    </row>
    <row r="66" spans="1:11" s="358" customFormat="1" ht="24">
      <c r="A66" s="281" t="s">
        <v>1627</v>
      </c>
      <c r="B66" s="359">
        <f>'Sources and Uses Budget'!C66</f>
        <v>0</v>
      </c>
      <c r="C66" s="360">
        <f t="shared" si="6"/>
        <v>0</v>
      </c>
      <c r="D66" s="360"/>
      <c r="E66" s="359">
        <f>'Sources and Uses Budget'!S66</f>
        <v>0</v>
      </c>
      <c r="F66" s="360">
        <f t="shared" si="7"/>
        <v>0</v>
      </c>
      <c r="G66" s="360"/>
      <c r="H66" s="359">
        <f>'Sources and Uses Budget'!T66</f>
        <v>0</v>
      </c>
      <c r="I66" s="360"/>
      <c r="J66" s="360"/>
      <c r="K66" s="357"/>
    </row>
    <row r="67" spans="1:11" s="358" customFormat="1" ht="24">
      <c r="A67" s="281" t="s">
        <v>1628</v>
      </c>
      <c r="B67" s="359">
        <f>'Sources and Uses Budget'!C67</f>
        <v>350000</v>
      </c>
      <c r="C67" s="360">
        <f t="shared" si="6"/>
        <v>350000</v>
      </c>
      <c r="D67" s="360"/>
      <c r="E67" s="359">
        <f>'Sources and Uses Budget'!S67</f>
        <v>350000</v>
      </c>
      <c r="F67" s="360">
        <f t="shared" si="7"/>
        <v>350000</v>
      </c>
      <c r="G67" s="360"/>
      <c r="H67" s="359">
        <f>'Sources and Uses Budget'!T67</f>
        <v>0</v>
      </c>
      <c r="I67" s="360"/>
      <c r="J67" s="360"/>
      <c r="K67" s="357"/>
    </row>
    <row r="68" spans="1:11" s="358" customFormat="1">
      <c r="A68" s="281" t="s">
        <v>1634</v>
      </c>
      <c r="B68" s="359">
        <f>'Sources and Uses Budget'!C68</f>
        <v>0</v>
      </c>
      <c r="C68" s="360">
        <f t="shared" si="6"/>
        <v>0</v>
      </c>
      <c r="D68" s="360"/>
      <c r="E68" s="359">
        <f>'Sources and Uses Budget'!S68</f>
        <v>0</v>
      </c>
      <c r="F68" s="360">
        <f t="shared" si="7"/>
        <v>0</v>
      </c>
      <c r="G68" s="360"/>
      <c r="H68" s="359">
        <f>'Sources and Uses Budget'!T68</f>
        <v>0</v>
      </c>
      <c r="I68" s="360"/>
      <c r="J68" s="360"/>
      <c r="K68" s="357"/>
    </row>
    <row r="69" spans="1:11" s="358" customFormat="1">
      <c r="A69" s="362" t="str">
        <f>'Sources and Uses Budget'!$A69</f>
        <v>Other: (Specify)</v>
      </c>
      <c r="B69" s="359">
        <f>'Sources and Uses Budget'!C69</f>
        <v>0</v>
      </c>
      <c r="C69" s="360">
        <f t="shared" si="6"/>
        <v>0</v>
      </c>
      <c r="D69" s="360"/>
      <c r="E69" s="359">
        <f>'Sources and Uses Budget'!S69</f>
        <v>0</v>
      </c>
      <c r="F69" s="360">
        <f t="shared" si="7"/>
        <v>0</v>
      </c>
      <c r="G69" s="360"/>
      <c r="H69" s="359">
        <f>'Sources and Uses Budget'!T69</f>
        <v>0</v>
      </c>
      <c r="I69" s="360"/>
      <c r="J69" s="360"/>
      <c r="K69" s="357"/>
    </row>
    <row r="70" spans="1:11" s="358" customFormat="1">
      <c r="A70" s="363" t="s">
        <v>600</v>
      </c>
      <c r="B70" s="359">
        <f>'Sources and Uses Budget'!C70</f>
        <v>450000</v>
      </c>
      <c r="C70" s="359">
        <f>SUM(C64:C69)</f>
        <v>450000</v>
      </c>
      <c r="D70" s="359">
        <f>SUM(D64:D69)</f>
        <v>0</v>
      </c>
      <c r="E70" s="359">
        <f>'Sources and Uses Budget'!S70</f>
        <v>450000</v>
      </c>
      <c r="F70" s="365">
        <f>SUM(F65:F69)</f>
        <v>450000</v>
      </c>
      <c r="G70" s="365">
        <f>SUM(G65:G69)</f>
        <v>0</v>
      </c>
      <c r="H70" s="359">
        <f>'Sources and Uses Budget'!T70</f>
        <v>0</v>
      </c>
      <c r="I70" s="365">
        <f>SUM(I65:I69)</f>
        <v>0</v>
      </c>
      <c r="J70" s="365">
        <f>SUM(J65:J69)</f>
        <v>0</v>
      </c>
      <c r="K70" s="357"/>
    </row>
    <row r="71" spans="1:11" s="358" customFormat="1">
      <c r="A71" s="355" t="s">
        <v>601</v>
      </c>
      <c r="B71" s="356"/>
      <c r="C71" s="356"/>
      <c r="D71" s="356"/>
      <c r="E71" s="356"/>
      <c r="F71" s="356"/>
      <c r="G71" s="356"/>
      <c r="H71" s="356"/>
      <c r="I71" s="356"/>
      <c r="J71" s="356"/>
      <c r="K71" s="357"/>
    </row>
    <row r="72" spans="1:11" s="358" customFormat="1">
      <c r="A72" s="362" t="s">
        <v>602</v>
      </c>
      <c r="B72" s="359">
        <f>'Sources and Uses Budget'!C72</f>
        <v>0</v>
      </c>
      <c r="C72" s="360">
        <f t="shared" ref="C72:C76" si="8">B72</f>
        <v>0</v>
      </c>
      <c r="D72" s="360"/>
      <c r="E72" s="361"/>
      <c r="F72" s="361"/>
      <c r="G72" s="361"/>
      <c r="H72" s="361"/>
      <c r="I72" s="361"/>
      <c r="J72" s="361"/>
      <c r="K72" s="357"/>
    </row>
    <row r="73" spans="1:11" s="358" customFormat="1">
      <c r="A73" s="362" t="s">
        <v>603</v>
      </c>
      <c r="B73" s="359">
        <f>'Sources and Uses Budget'!C73</f>
        <v>0</v>
      </c>
      <c r="C73" s="360">
        <f t="shared" si="8"/>
        <v>0</v>
      </c>
      <c r="D73" s="360"/>
      <c r="E73" s="361"/>
      <c r="F73" s="361"/>
      <c r="G73" s="361"/>
      <c r="H73" s="361"/>
      <c r="I73" s="361"/>
      <c r="J73" s="361"/>
      <c r="K73" s="357"/>
    </row>
    <row r="74" spans="1:11" s="358" customFormat="1">
      <c r="A74" s="364" t="s">
        <v>983</v>
      </c>
      <c r="B74" s="359">
        <f>'Sources and Uses Budget'!C74</f>
        <v>0</v>
      </c>
      <c r="C74" s="360">
        <f t="shared" si="8"/>
        <v>0</v>
      </c>
      <c r="D74" s="360"/>
      <c r="E74" s="361"/>
      <c r="F74" s="361"/>
      <c r="G74" s="361"/>
      <c r="H74" s="361"/>
      <c r="I74" s="361"/>
      <c r="J74" s="361"/>
      <c r="K74" s="357"/>
    </row>
    <row r="75" spans="1:11" s="358" customFormat="1">
      <c r="A75" s="362" t="s">
        <v>604</v>
      </c>
      <c r="B75" s="359">
        <f>'Sources and Uses Budget'!C75</f>
        <v>489776</v>
      </c>
      <c r="C75" s="360">
        <f t="shared" si="8"/>
        <v>489776</v>
      </c>
      <c r="D75" s="360"/>
      <c r="E75" s="361"/>
      <c r="F75" s="361"/>
      <c r="G75" s="361"/>
      <c r="H75" s="361"/>
      <c r="I75" s="361"/>
      <c r="J75" s="361"/>
      <c r="K75" s="357"/>
    </row>
    <row r="76" spans="1:11" s="358" customFormat="1">
      <c r="A76" s="362" t="str">
        <f>'Sources and Uses Budget'!$A76</f>
        <v>Other: (Specify)</v>
      </c>
      <c r="B76" s="359">
        <f>'Sources and Uses Budget'!C76</f>
        <v>0</v>
      </c>
      <c r="C76" s="360">
        <f t="shared" si="8"/>
        <v>0</v>
      </c>
      <c r="D76" s="360"/>
      <c r="E76" s="361"/>
      <c r="F76" s="361"/>
      <c r="G76" s="361"/>
      <c r="H76" s="361"/>
      <c r="I76" s="361"/>
      <c r="J76" s="361"/>
      <c r="K76" s="357"/>
    </row>
    <row r="77" spans="1:11" s="358" customFormat="1">
      <c r="A77" s="363" t="s">
        <v>605</v>
      </c>
      <c r="B77" s="359">
        <f>'Sources and Uses Budget'!C77</f>
        <v>489776</v>
      </c>
      <c r="C77" s="359">
        <f>SUM(C72:C76)</f>
        <v>489776</v>
      </c>
      <c r="D77" s="359">
        <f>SUM(D72:D76)</f>
        <v>0</v>
      </c>
      <c r="E77" s="361"/>
      <c r="F77" s="361"/>
      <c r="G77" s="361"/>
      <c r="H77" s="361"/>
      <c r="I77" s="361"/>
      <c r="J77" s="361"/>
      <c r="K77" s="357"/>
    </row>
    <row r="78" spans="1:11" s="358" customFormat="1">
      <c r="A78" s="355" t="s">
        <v>1207</v>
      </c>
      <c r="B78" s="356"/>
      <c r="C78" s="356"/>
      <c r="D78" s="356"/>
      <c r="E78" s="356"/>
      <c r="F78" s="356"/>
      <c r="G78" s="356"/>
      <c r="H78" s="356"/>
      <c r="I78" s="356"/>
      <c r="J78" s="356"/>
      <c r="K78" s="357"/>
    </row>
    <row r="79" spans="1:11" s="358" customFormat="1">
      <c r="A79" s="362" t="s">
        <v>1209</v>
      </c>
      <c r="B79" s="359">
        <f>'Sources and Uses Budget'!C79</f>
        <v>2561652</v>
      </c>
      <c r="C79" s="360">
        <f t="shared" ref="C79:C80" si="9">B79</f>
        <v>2561652</v>
      </c>
      <c r="D79" s="360"/>
      <c r="E79" s="359">
        <f>'Sources and Uses Budget'!S79</f>
        <v>2561652</v>
      </c>
      <c r="F79" s="360">
        <f t="shared" ref="F79:F80" si="10">E79</f>
        <v>2561652</v>
      </c>
      <c r="G79" s="360"/>
      <c r="H79" s="359">
        <f>'Sources and Uses Budget'!T79</f>
        <v>0</v>
      </c>
      <c r="I79" s="360"/>
      <c r="J79" s="360"/>
      <c r="K79" s="357"/>
    </row>
    <row r="80" spans="1:11" s="358" customFormat="1">
      <c r="A80" s="362" t="s">
        <v>58</v>
      </c>
      <c r="B80" s="359">
        <f>'Sources and Uses Budget'!C80</f>
        <v>484028</v>
      </c>
      <c r="C80" s="360">
        <f t="shared" si="9"/>
        <v>484028</v>
      </c>
      <c r="D80" s="360"/>
      <c r="E80" s="359">
        <f>'Sources and Uses Budget'!S80</f>
        <v>411308</v>
      </c>
      <c r="F80" s="360">
        <f t="shared" si="10"/>
        <v>411308</v>
      </c>
      <c r="G80" s="360"/>
      <c r="H80" s="359">
        <f>'Sources and Uses Budget'!T80</f>
        <v>0</v>
      </c>
      <c r="I80" s="360"/>
      <c r="J80" s="360"/>
      <c r="K80" s="357"/>
    </row>
    <row r="81" spans="1:11" s="358" customFormat="1">
      <c r="A81" s="363" t="s">
        <v>1206</v>
      </c>
      <c r="B81" s="359">
        <f>'Sources and Uses Budget'!C81</f>
        <v>3045680</v>
      </c>
      <c r="C81" s="359">
        <f>SUM(C79:C80)</f>
        <v>3045680</v>
      </c>
      <c r="D81" s="359">
        <f>SUM(D79:D80)</f>
        <v>0</v>
      </c>
      <c r="E81" s="359">
        <f>'Sources and Uses Budget'!S81</f>
        <v>2972960</v>
      </c>
      <c r="F81" s="359">
        <f>SUM(F79:F80)</f>
        <v>2972960</v>
      </c>
      <c r="G81" s="359">
        <f>SUM(G79:G80)</f>
        <v>0</v>
      </c>
      <c r="H81" s="359">
        <f>'Sources and Uses Budget'!T81</f>
        <v>0</v>
      </c>
      <c r="I81" s="359">
        <f>SUM(I79:I80)</f>
        <v>0</v>
      </c>
      <c r="J81" s="359">
        <f>SUM(J79:J80)</f>
        <v>0</v>
      </c>
      <c r="K81" s="357"/>
    </row>
    <row r="82" spans="1:11" s="358" customFormat="1">
      <c r="A82" s="355" t="s">
        <v>764</v>
      </c>
      <c r="B82" s="356"/>
      <c r="C82" s="356"/>
      <c r="D82" s="356"/>
      <c r="E82" s="356"/>
      <c r="F82" s="356"/>
      <c r="G82" s="356"/>
      <c r="H82" s="356"/>
      <c r="I82" s="356"/>
      <c r="J82" s="356"/>
      <c r="K82" s="357"/>
    </row>
    <row r="83" spans="1:11" s="358" customFormat="1" ht="13.7" customHeight="1">
      <c r="A83" s="145" t="s">
        <v>2046</v>
      </c>
      <c r="B83" s="359">
        <f>'Sources and Uses Budget'!C83</f>
        <v>230503</v>
      </c>
      <c r="C83" s="360">
        <f t="shared" ref="C83:C95" si="11">B83</f>
        <v>230503</v>
      </c>
      <c r="D83" s="360"/>
      <c r="E83" s="361"/>
      <c r="F83" s="361"/>
      <c r="G83" s="361"/>
      <c r="H83" s="361"/>
      <c r="I83" s="361"/>
      <c r="J83" s="361"/>
      <c r="K83" s="357"/>
    </row>
    <row r="84" spans="1:11" s="358" customFormat="1">
      <c r="A84" s="145" t="s">
        <v>766</v>
      </c>
      <c r="B84" s="359">
        <f>'Sources and Uses Budget'!C84</f>
        <v>40000</v>
      </c>
      <c r="C84" s="360">
        <f t="shared" si="11"/>
        <v>40000</v>
      </c>
      <c r="D84" s="360"/>
      <c r="E84" s="359">
        <f>'Sources and Uses Budget'!S84</f>
        <v>40000</v>
      </c>
      <c r="F84" s="360">
        <f t="shared" ref="F84:F87" si="12">E84</f>
        <v>40000</v>
      </c>
      <c r="G84" s="360"/>
      <c r="H84" s="359">
        <f>'Sources and Uses Budget'!T84</f>
        <v>0</v>
      </c>
      <c r="I84" s="360"/>
      <c r="J84" s="360"/>
      <c r="K84" s="357"/>
    </row>
    <row r="85" spans="1:11" s="358" customFormat="1">
      <c r="A85" s="145" t="s">
        <v>767</v>
      </c>
      <c r="B85" s="359">
        <f>'Sources and Uses Budget'!C85</f>
        <v>1255882</v>
      </c>
      <c r="C85" s="360">
        <f t="shared" si="11"/>
        <v>1255882</v>
      </c>
      <c r="D85" s="360"/>
      <c r="E85" s="359">
        <f>'Sources and Uses Budget'!S85</f>
        <v>1255882</v>
      </c>
      <c r="F85" s="360">
        <f t="shared" si="12"/>
        <v>1255882</v>
      </c>
      <c r="G85" s="360"/>
      <c r="H85" s="359">
        <f>'Sources and Uses Budget'!T85</f>
        <v>0</v>
      </c>
      <c r="I85" s="360"/>
      <c r="J85" s="360"/>
      <c r="K85" s="357"/>
    </row>
    <row r="86" spans="1:11" s="358" customFormat="1">
      <c r="A86" s="145" t="s">
        <v>768</v>
      </c>
      <c r="B86" s="359">
        <f>'Sources and Uses Budget'!C86</f>
        <v>2476718</v>
      </c>
      <c r="C86" s="360">
        <f t="shared" si="11"/>
        <v>2476718</v>
      </c>
      <c r="D86" s="360"/>
      <c r="E86" s="359">
        <f>'Sources and Uses Budget'!S86</f>
        <v>2476718</v>
      </c>
      <c r="F86" s="360">
        <f t="shared" si="12"/>
        <v>2476718</v>
      </c>
      <c r="G86" s="360"/>
      <c r="H86" s="359">
        <f>'Sources and Uses Budget'!T86</f>
        <v>0</v>
      </c>
      <c r="I86" s="360"/>
      <c r="J86" s="360"/>
      <c r="K86" s="357"/>
    </row>
    <row r="87" spans="1:11" s="358" customFormat="1">
      <c r="A87" s="145" t="s">
        <v>769</v>
      </c>
      <c r="B87" s="359">
        <f>'Sources and Uses Budget'!C87</f>
        <v>0</v>
      </c>
      <c r="C87" s="360">
        <f t="shared" si="11"/>
        <v>0</v>
      </c>
      <c r="D87" s="360"/>
      <c r="E87" s="359">
        <f>'Sources and Uses Budget'!S87</f>
        <v>0</v>
      </c>
      <c r="F87" s="360">
        <f t="shared" si="12"/>
        <v>0</v>
      </c>
      <c r="G87" s="360"/>
      <c r="H87" s="359">
        <f>'Sources and Uses Budget'!T87</f>
        <v>0</v>
      </c>
      <c r="I87" s="360"/>
      <c r="J87" s="360"/>
      <c r="K87" s="357"/>
    </row>
    <row r="88" spans="1:11" s="358" customFormat="1">
      <c r="A88" s="145" t="s">
        <v>770</v>
      </c>
      <c r="B88" s="359">
        <f>'Sources and Uses Budget'!C88</f>
        <v>331324</v>
      </c>
      <c r="C88" s="360">
        <f t="shared" si="11"/>
        <v>331324</v>
      </c>
      <c r="D88" s="360"/>
      <c r="E88" s="361"/>
      <c r="F88" s="361"/>
      <c r="G88" s="361"/>
      <c r="H88" s="361"/>
      <c r="I88" s="361"/>
      <c r="J88" s="361"/>
      <c r="K88" s="357"/>
    </row>
    <row r="89" spans="1:11" s="358" customFormat="1">
      <c r="A89" s="145" t="s">
        <v>771</v>
      </c>
      <c r="B89" s="359">
        <f>'Sources and Uses Budget'!C89</f>
        <v>300000</v>
      </c>
      <c r="C89" s="360">
        <f t="shared" si="11"/>
        <v>300000</v>
      </c>
      <c r="D89" s="360"/>
      <c r="E89" s="359">
        <f>'Sources and Uses Budget'!S89</f>
        <v>300000</v>
      </c>
      <c r="F89" s="360">
        <f t="shared" ref="F89:F95" si="13">E89</f>
        <v>300000</v>
      </c>
      <c r="G89" s="360"/>
      <c r="H89" s="359">
        <f>'Sources and Uses Budget'!T89</f>
        <v>0</v>
      </c>
      <c r="I89" s="360"/>
      <c r="J89" s="360"/>
      <c r="K89" s="357"/>
    </row>
    <row r="90" spans="1:11" s="358" customFormat="1">
      <c r="A90" s="145" t="s">
        <v>772</v>
      </c>
      <c r="B90" s="359">
        <f>'Sources and Uses Budget'!C90</f>
        <v>14000</v>
      </c>
      <c r="C90" s="360">
        <f t="shared" si="11"/>
        <v>14000</v>
      </c>
      <c r="D90" s="360"/>
      <c r="E90" s="359">
        <f>'Sources and Uses Budget'!S90</f>
        <v>14000</v>
      </c>
      <c r="F90" s="360">
        <f t="shared" si="13"/>
        <v>14000</v>
      </c>
      <c r="G90" s="360"/>
      <c r="H90" s="359">
        <f>'Sources and Uses Budget'!T90</f>
        <v>0</v>
      </c>
      <c r="I90" s="360"/>
      <c r="J90" s="360"/>
      <c r="K90" s="357"/>
    </row>
    <row r="91" spans="1:11" s="358" customFormat="1">
      <c r="A91" s="155" t="s">
        <v>371</v>
      </c>
      <c r="B91" s="359">
        <f>'Sources and Uses Budget'!C91</f>
        <v>220000</v>
      </c>
      <c r="C91" s="360">
        <f t="shared" si="11"/>
        <v>220000</v>
      </c>
      <c r="D91" s="360"/>
      <c r="E91" s="359">
        <f>'Sources and Uses Budget'!S91</f>
        <v>220000</v>
      </c>
      <c r="F91" s="360">
        <f t="shared" si="13"/>
        <v>220000</v>
      </c>
      <c r="G91" s="360"/>
      <c r="H91" s="359">
        <f>'Sources and Uses Budget'!T91</f>
        <v>0</v>
      </c>
      <c r="I91" s="360"/>
      <c r="J91" s="360"/>
      <c r="K91" s="357"/>
    </row>
    <row r="92" spans="1:11" s="358" customFormat="1">
      <c r="A92" s="506" t="s">
        <v>1208</v>
      </c>
      <c r="B92" s="359">
        <f>'Sources and Uses Budget'!C92</f>
        <v>0</v>
      </c>
      <c r="C92" s="360">
        <f t="shared" si="11"/>
        <v>0</v>
      </c>
      <c r="D92" s="360"/>
      <c r="E92" s="359">
        <f>'Sources and Uses Budget'!S92</f>
        <v>0</v>
      </c>
      <c r="F92" s="360">
        <f t="shared" si="13"/>
        <v>0</v>
      </c>
      <c r="G92" s="360"/>
      <c r="H92" s="359">
        <f>'Sources and Uses Budget'!T92</f>
        <v>0</v>
      </c>
      <c r="I92" s="360"/>
      <c r="J92" s="360"/>
      <c r="K92" s="357"/>
    </row>
    <row r="93" spans="1:11" s="358" customFormat="1">
      <c r="A93" s="362" t="str">
        <f>'Sources and Uses Budget'!$A93</f>
        <v>Other: (Third Party Reports)</v>
      </c>
      <c r="B93" s="359">
        <f>'Sources and Uses Budget'!C93</f>
        <v>80000</v>
      </c>
      <c r="C93" s="360">
        <f t="shared" si="11"/>
        <v>80000</v>
      </c>
      <c r="D93" s="360"/>
      <c r="E93" s="359">
        <f>'Sources and Uses Budget'!S93</f>
        <v>80000</v>
      </c>
      <c r="F93" s="360">
        <f t="shared" si="13"/>
        <v>80000</v>
      </c>
      <c r="G93" s="360"/>
      <c r="H93" s="359">
        <f>'Sources and Uses Budget'!T93</f>
        <v>0</v>
      </c>
      <c r="I93" s="360"/>
      <c r="J93" s="360"/>
      <c r="K93" s="357"/>
    </row>
    <row r="94" spans="1:11" s="358" customFormat="1">
      <c r="A94" s="362" t="str">
        <f>'Sources and Uses Budget'!$A94</f>
        <v>Other: (Laundry Equipment)</v>
      </c>
      <c r="B94" s="359">
        <f>'Sources and Uses Budget'!C94</f>
        <v>72000</v>
      </c>
      <c r="C94" s="360">
        <f t="shared" si="11"/>
        <v>72000</v>
      </c>
      <c r="D94" s="360"/>
      <c r="E94" s="359">
        <f>'Sources and Uses Budget'!S94</f>
        <v>0</v>
      </c>
      <c r="F94" s="360">
        <f t="shared" si="13"/>
        <v>0</v>
      </c>
      <c r="G94" s="360"/>
      <c r="H94" s="359">
        <f>'Sources and Uses Budget'!T94</f>
        <v>0</v>
      </c>
      <c r="I94" s="360"/>
      <c r="J94" s="360"/>
      <c r="K94" s="357"/>
    </row>
    <row r="95" spans="1:11" s="358" customFormat="1">
      <c r="A95" s="362" t="str">
        <f>'Sources and Uses Budget'!$A95</f>
        <v>Other: (Specify)</v>
      </c>
      <c r="B95" s="359">
        <f>'Sources and Uses Budget'!C95</f>
        <v>0</v>
      </c>
      <c r="C95" s="360">
        <f t="shared" si="11"/>
        <v>0</v>
      </c>
      <c r="D95" s="360"/>
      <c r="E95" s="359">
        <f>'Sources and Uses Budget'!S95</f>
        <v>0</v>
      </c>
      <c r="F95" s="360">
        <f t="shared" si="13"/>
        <v>0</v>
      </c>
      <c r="G95" s="360"/>
      <c r="H95" s="359">
        <f>'Sources and Uses Budget'!T95</f>
        <v>0</v>
      </c>
      <c r="I95" s="360"/>
      <c r="J95" s="360"/>
      <c r="K95" s="357"/>
    </row>
    <row r="96" spans="1:11" s="358" customFormat="1">
      <c r="A96" s="363" t="s">
        <v>773</v>
      </c>
      <c r="B96" s="359">
        <f>'Sources and Uses Budget'!C96</f>
        <v>5020427</v>
      </c>
      <c r="C96" s="359">
        <f>SUM(C83:C95)</f>
        <v>5020427</v>
      </c>
      <c r="D96" s="359">
        <f>SUM(D83:D95)</f>
        <v>0</v>
      </c>
      <c r="E96" s="359">
        <f>'Sources and Uses Budget'!S96</f>
        <v>4386600</v>
      </c>
      <c r="F96" s="365">
        <f>SUM(F84:F87,F89:F95)</f>
        <v>4386600</v>
      </c>
      <c r="G96" s="365">
        <f>SUM(G84:G87,G89:G95)</f>
        <v>0</v>
      </c>
      <c r="H96" s="359">
        <f>'Sources and Uses Budget'!T96</f>
        <v>0</v>
      </c>
      <c r="I96" s="359">
        <f>SUM(I84:I87,I89:I95)</f>
        <v>0</v>
      </c>
      <c r="J96" s="359">
        <f>SUM(J84:J87,J89:J95)</f>
        <v>0</v>
      </c>
      <c r="K96" s="357"/>
    </row>
    <row r="97" spans="1:11" s="358" customFormat="1">
      <c r="A97" s="363" t="s">
        <v>1026</v>
      </c>
      <c r="B97" s="359">
        <f>'Sources and Uses Budget'!C97</f>
        <v>51641072</v>
      </c>
      <c r="C97" s="359">
        <f>SUM(C63+C70+C77+C81+C96)</f>
        <v>51641072</v>
      </c>
      <c r="D97" s="359">
        <f>SUM(D63+D70+D77+D81+D96)</f>
        <v>0</v>
      </c>
      <c r="E97" s="359">
        <f>'Sources and Uses Budget'!S97</f>
        <v>48482041</v>
      </c>
      <c r="F97" s="365">
        <f>SUM(+F63+F70+F81+F96)</f>
        <v>48482041</v>
      </c>
      <c r="G97" s="365">
        <f>SUM(+G63+G70+G81+G96)</f>
        <v>0</v>
      </c>
      <c r="H97" s="359">
        <f>'Sources and Uses Budget'!T97</f>
        <v>0</v>
      </c>
      <c r="I97" s="365">
        <f>SUM(I63+I70+I81+I96)</f>
        <v>0</v>
      </c>
      <c r="J97" s="365">
        <f>SUM(J63+J70+J81+J96)</f>
        <v>0</v>
      </c>
      <c r="K97" s="357"/>
    </row>
    <row r="98" spans="1:11" s="358" customFormat="1">
      <c r="A98" s="355" t="s">
        <v>775</v>
      </c>
      <c r="B98" s="356"/>
      <c r="C98" s="356"/>
      <c r="D98" s="356"/>
      <c r="E98" s="356"/>
      <c r="F98" s="356"/>
      <c r="G98" s="356"/>
      <c r="H98" s="356"/>
      <c r="I98" s="356"/>
      <c r="J98" s="356"/>
      <c r="K98" s="357"/>
    </row>
    <row r="99" spans="1:11" s="358" customFormat="1">
      <c r="A99" s="145" t="s">
        <v>776</v>
      </c>
      <c r="B99" s="359">
        <f>'Sources and Uses Budget'!C99</f>
        <v>6500000</v>
      </c>
      <c r="C99" s="360">
        <f t="shared" ref="C99:C103" si="14">B99</f>
        <v>6500000</v>
      </c>
      <c r="D99" s="360"/>
      <c r="E99" s="359">
        <f>'Sources and Uses Budget'!S99</f>
        <v>6500000</v>
      </c>
      <c r="F99" s="360">
        <f t="shared" ref="F99:F103" si="15">E99</f>
        <v>6500000</v>
      </c>
      <c r="G99" s="360"/>
      <c r="H99" s="359">
        <f>'Sources and Uses Budget'!T99</f>
        <v>0</v>
      </c>
      <c r="I99" s="360"/>
      <c r="J99" s="360"/>
      <c r="K99" s="357"/>
    </row>
    <row r="100" spans="1:11" s="358" customFormat="1">
      <c r="A100" s="281" t="s">
        <v>1632</v>
      </c>
      <c r="B100" s="359">
        <f>'Sources and Uses Budget'!C100</f>
        <v>0</v>
      </c>
      <c r="C100" s="360">
        <f t="shared" si="14"/>
        <v>0</v>
      </c>
      <c r="D100" s="360"/>
      <c r="E100" s="359">
        <f>'Sources and Uses Budget'!S100</f>
        <v>0</v>
      </c>
      <c r="F100" s="360">
        <f t="shared" si="15"/>
        <v>0</v>
      </c>
      <c r="G100" s="360"/>
      <c r="H100" s="359">
        <f>'Sources and Uses Budget'!T100</f>
        <v>0</v>
      </c>
      <c r="I100" s="360"/>
      <c r="J100" s="360"/>
      <c r="K100" s="357"/>
    </row>
    <row r="101" spans="1:11" s="358" customFormat="1">
      <c r="A101" s="145" t="s">
        <v>777</v>
      </c>
      <c r="B101" s="359">
        <f>'Sources and Uses Budget'!C101</f>
        <v>0</v>
      </c>
      <c r="C101" s="360">
        <f t="shared" si="14"/>
        <v>0</v>
      </c>
      <c r="D101" s="360"/>
      <c r="E101" s="359">
        <f>'Sources and Uses Budget'!S101</f>
        <v>0</v>
      </c>
      <c r="F101" s="360">
        <f t="shared" si="15"/>
        <v>0</v>
      </c>
      <c r="G101" s="360"/>
      <c r="H101" s="359">
        <f>'Sources and Uses Budget'!T101</f>
        <v>0</v>
      </c>
      <c r="I101" s="360"/>
      <c r="J101" s="360"/>
      <c r="K101" s="357"/>
    </row>
    <row r="102" spans="1:11" s="358" customFormat="1" ht="12" customHeight="1">
      <c r="A102" s="281" t="s">
        <v>1633</v>
      </c>
      <c r="B102" s="359">
        <f>'Sources and Uses Budget'!C102</f>
        <v>0</v>
      </c>
      <c r="C102" s="360">
        <f t="shared" si="14"/>
        <v>0</v>
      </c>
      <c r="D102" s="360"/>
      <c r="E102" s="359">
        <f>'Sources and Uses Budget'!S102</f>
        <v>0</v>
      </c>
      <c r="F102" s="360">
        <f t="shared" si="15"/>
        <v>0</v>
      </c>
      <c r="G102" s="360"/>
      <c r="H102" s="359">
        <f>'Sources and Uses Budget'!T102</f>
        <v>0</v>
      </c>
      <c r="I102" s="360"/>
      <c r="J102" s="360"/>
      <c r="K102" s="357"/>
    </row>
    <row r="103" spans="1:11" s="358" customFormat="1">
      <c r="A103" s="362" t="str">
        <f>'Sources and Uses Budget'!$A103</f>
        <v>Other: (Specify)</v>
      </c>
      <c r="B103" s="359">
        <f>'Sources and Uses Budget'!C103</f>
        <v>0</v>
      </c>
      <c r="C103" s="360">
        <f t="shared" si="14"/>
        <v>0</v>
      </c>
      <c r="D103" s="360"/>
      <c r="E103" s="359">
        <f>'Sources and Uses Budget'!S103</f>
        <v>0</v>
      </c>
      <c r="F103" s="360">
        <f t="shared" si="15"/>
        <v>0</v>
      </c>
      <c r="G103" s="360"/>
      <c r="H103" s="359">
        <f>'Sources and Uses Budget'!T103</f>
        <v>0</v>
      </c>
      <c r="I103" s="360"/>
      <c r="J103" s="360"/>
      <c r="K103" s="357"/>
    </row>
    <row r="104" spans="1:11" s="358" customFormat="1">
      <c r="A104" s="363" t="s">
        <v>778</v>
      </c>
      <c r="B104" s="359">
        <f>'Sources and Uses Budget'!C104</f>
        <v>6500000</v>
      </c>
      <c r="C104" s="359">
        <f>SUM(C99:C103)</f>
        <v>6500000</v>
      </c>
      <c r="D104" s="359">
        <f>SUM(D99:D103)</f>
        <v>0</v>
      </c>
      <c r="E104" s="359">
        <f>'Sources and Uses Budget'!S104</f>
        <v>6500000</v>
      </c>
      <c r="F104" s="365">
        <f>SUM(F99:F103)</f>
        <v>6500000</v>
      </c>
      <c r="G104" s="365">
        <f>SUM(G99:G103)</f>
        <v>0</v>
      </c>
      <c r="H104" s="359">
        <f>'Sources and Uses Budget'!T104</f>
        <v>0</v>
      </c>
      <c r="I104" s="365">
        <f>SUM(I99:I103)</f>
        <v>0</v>
      </c>
      <c r="J104" s="365">
        <f>SUM(J99:J103)</f>
        <v>0</v>
      </c>
      <c r="K104" s="357"/>
    </row>
    <row r="105" spans="1:11" s="358" customFormat="1">
      <c r="A105" s="363" t="s">
        <v>1027</v>
      </c>
      <c r="B105" s="359">
        <f>'Sources and Uses Budget'!C105</f>
        <v>58141072</v>
      </c>
      <c r="C105" s="365">
        <f>SUM(C97+C104)</f>
        <v>58141072</v>
      </c>
      <c r="D105" s="365">
        <f>SUM(D97+D104)</f>
        <v>0</v>
      </c>
      <c r="E105" s="359">
        <f>'Sources and Uses Budget'!S105</f>
        <v>54982041</v>
      </c>
      <c r="F105" s="365">
        <f>F97+F104</f>
        <v>54982041</v>
      </c>
      <c r="G105" s="365">
        <f>G97+G104</f>
        <v>0</v>
      </c>
      <c r="H105" s="359">
        <f>'Sources and Uses Budget'!T105</f>
        <v>0</v>
      </c>
      <c r="I105" s="365">
        <f>I97+I104</f>
        <v>0</v>
      </c>
      <c r="J105" s="365">
        <f>J97+J104</f>
        <v>0</v>
      </c>
      <c r="K105" s="357"/>
    </row>
    <row r="106" spans="1:11" s="358" customFormat="1">
      <c r="A106" s="369"/>
      <c r="B106" s="370"/>
      <c r="C106" s="370"/>
      <c r="D106" s="370"/>
      <c r="E106" s="359">
        <f>'Sources and Uses Budget'!S106</f>
        <v>0</v>
      </c>
      <c r="F106" s="360"/>
      <c r="G106" s="360"/>
      <c r="H106" s="359">
        <f>'Sources and Uses Budget'!T106</f>
        <v>0</v>
      </c>
      <c r="I106" s="360"/>
      <c r="J106" s="360"/>
      <c r="K106" s="357"/>
    </row>
    <row r="107" spans="1:11" s="358" customFormat="1">
      <c r="A107" s="371"/>
      <c r="B107" s="372"/>
      <c r="C107" s="370"/>
      <c r="D107" s="452" t="s">
        <v>374</v>
      </c>
      <c r="E107" s="359">
        <f>'Sources and Uses Budget'!S107</f>
        <v>54982041</v>
      </c>
      <c r="F107" s="365">
        <f>F105+F106</f>
        <v>54982041</v>
      </c>
      <c r="G107" s="365">
        <f>G105+G106</f>
        <v>0</v>
      </c>
      <c r="H107" s="359">
        <f>'Sources and Uses Budget'!T107</f>
        <v>0</v>
      </c>
      <c r="I107" s="365">
        <f>I105+I106</f>
        <v>0</v>
      </c>
      <c r="J107" s="365">
        <f>J105+J106</f>
        <v>0</v>
      </c>
      <c r="K107" s="357"/>
    </row>
    <row r="108" spans="1:11" s="358" customFormat="1">
      <c r="A108" s="371"/>
      <c r="B108" s="373"/>
      <c r="C108" s="373"/>
      <c r="D108" s="373"/>
      <c r="J108" s="374"/>
      <c r="K108" s="357"/>
    </row>
    <row r="109" spans="1:11" s="358" customFormat="1">
      <c r="A109" s="371"/>
      <c r="B109" s="373"/>
      <c r="C109" s="373"/>
      <c r="D109" s="373"/>
      <c r="J109" s="374"/>
      <c r="K109" s="357"/>
    </row>
    <row r="110" spans="1:11" s="358" customFormat="1">
      <c r="A110" s="371"/>
      <c r="B110" s="373"/>
      <c r="C110" s="373"/>
      <c r="D110" s="373"/>
      <c r="J110" s="374"/>
      <c r="K110" s="357"/>
    </row>
    <row r="111" spans="1:11" s="358" customFormat="1" ht="12.75">
      <c r="A111" s="375"/>
      <c r="B111" s="373"/>
      <c r="C111" s="373"/>
      <c r="D111" s="373"/>
      <c r="J111" s="374"/>
      <c r="K111" s="357"/>
    </row>
    <row r="112" spans="1:11" s="358" customFormat="1" ht="12.75">
      <c r="A112" s="375"/>
      <c r="B112" s="373"/>
      <c r="C112" s="373"/>
      <c r="D112" s="373"/>
      <c r="J112" s="374"/>
      <c r="K112" s="357"/>
    </row>
    <row r="113" spans="1:11" s="358" customFormat="1" ht="14.25">
      <c r="A113" s="376"/>
      <c r="B113" s="373"/>
      <c r="C113" s="373"/>
      <c r="D113" s="373"/>
      <c r="J113" s="374"/>
      <c r="K113" s="357"/>
    </row>
    <row r="114" spans="1:11" s="358" customFormat="1" ht="12.75">
      <c r="A114" s="375"/>
      <c r="J114" s="374"/>
      <c r="K114" s="357"/>
    </row>
    <row r="115" spans="1:11" s="358" customFormat="1" ht="14.25">
      <c r="A115" s="376"/>
      <c r="J115" s="374"/>
      <c r="K115" s="357"/>
    </row>
    <row r="116" spans="1:11" s="358" customFormat="1" ht="14.25">
      <c r="A116" s="376"/>
      <c r="J116" s="374"/>
      <c r="K116" s="357"/>
    </row>
    <row r="117" spans="1:11" s="358" customFormat="1">
      <c r="B117" s="373"/>
      <c r="C117" s="373"/>
      <c r="D117" s="373"/>
      <c r="J117" s="374"/>
      <c r="K117" s="357"/>
    </row>
    <row r="118" spans="1:11" s="358" customFormat="1">
      <c r="J118" s="374"/>
      <c r="K118" s="357"/>
    </row>
    <row r="119" spans="1:11" s="358" customFormat="1">
      <c r="J119" s="374"/>
      <c r="K119" s="357"/>
    </row>
    <row r="120" spans="1:11" s="358" customFormat="1">
      <c r="J120" s="374"/>
      <c r="K120" s="357"/>
    </row>
    <row r="121" spans="1:11" s="358" customFormat="1" ht="14.25">
      <c r="A121" s="376"/>
      <c r="J121" s="374"/>
      <c r="K121" s="357"/>
    </row>
    <row r="122" spans="1:11" s="378" customFormat="1" ht="15.75">
      <c r="A122" s="377"/>
      <c r="J122" s="379"/>
      <c r="K122" s="380"/>
    </row>
    <row r="123" spans="1:11" s="358" customFormat="1">
      <c r="A123" s="381"/>
      <c r="J123" s="374"/>
      <c r="K123" s="357"/>
    </row>
    <row r="124" spans="1:11" s="358" customFormat="1">
      <c r="B124" s="382"/>
      <c r="D124" s="2144"/>
      <c r="E124" s="1583"/>
      <c r="F124" s="1583"/>
      <c r="G124" s="1583"/>
      <c r="H124" s="1583"/>
      <c r="I124" s="1583"/>
      <c r="J124" s="374"/>
      <c r="K124" s="357"/>
    </row>
    <row r="125" spans="1:11" s="358" customFormat="1" ht="12.75">
      <c r="A125" s="383"/>
      <c r="B125" s="382"/>
      <c r="C125" s="383"/>
      <c r="D125" s="1583"/>
      <c r="E125" s="1583"/>
      <c r="F125" s="1583"/>
      <c r="G125" s="1583"/>
      <c r="H125" s="1583"/>
      <c r="I125" s="1583"/>
      <c r="J125" s="374"/>
      <c r="K125" s="357"/>
    </row>
    <row r="126" spans="1:11" s="358" customFormat="1" ht="12.75">
      <c r="A126" s="383"/>
      <c r="B126" s="382"/>
      <c r="C126" s="383"/>
      <c r="D126" s="1583"/>
      <c r="E126" s="1583"/>
      <c r="F126" s="1583"/>
      <c r="G126" s="1583"/>
      <c r="H126" s="1583"/>
      <c r="I126" s="1583"/>
      <c r="J126" s="374"/>
      <c r="K126" s="357"/>
    </row>
    <row r="127" spans="1:11" s="358" customFormat="1" ht="12.75">
      <c r="A127" s="383"/>
      <c r="B127" s="382"/>
      <c r="C127" s="383"/>
      <c r="D127" s="384"/>
      <c r="E127" s="383"/>
      <c r="F127" s="383"/>
      <c r="G127" s="383"/>
      <c r="J127" s="374"/>
      <c r="K127" s="357"/>
    </row>
    <row r="128" spans="1:11" s="358" customFormat="1" ht="12.75">
      <c r="A128" s="383"/>
      <c r="B128" s="382"/>
      <c r="C128" s="383"/>
      <c r="D128" s="384"/>
      <c r="E128" s="383"/>
      <c r="F128" s="383"/>
      <c r="G128" s="383"/>
      <c r="J128" s="374"/>
      <c r="K128" s="357"/>
    </row>
    <row r="129" spans="1:11" s="358" customFormat="1" ht="12.75">
      <c r="A129" s="383"/>
      <c r="B129" s="382"/>
      <c r="C129" s="383"/>
      <c r="D129" s="383"/>
      <c r="E129" s="383"/>
      <c r="F129" s="383"/>
      <c r="G129" s="383"/>
      <c r="J129" s="374"/>
      <c r="K129" s="357"/>
    </row>
    <row r="130" spans="1:11" s="358" customFormat="1" ht="12.75">
      <c r="A130" s="383"/>
      <c r="B130" s="382"/>
      <c r="C130" s="383"/>
      <c r="D130" s="383"/>
      <c r="E130" s="383"/>
      <c r="F130" s="383"/>
      <c r="G130" s="383"/>
      <c r="J130" s="374"/>
      <c r="K130" s="357"/>
    </row>
    <row r="131" spans="1:11" s="358" customFormat="1" ht="12.75">
      <c r="A131" s="383"/>
      <c r="B131" s="385"/>
      <c r="C131" s="383"/>
      <c r="D131" s="383"/>
      <c r="E131" s="383"/>
      <c r="F131" s="383"/>
      <c r="G131" s="383"/>
      <c r="J131" s="374"/>
      <c r="K131" s="357"/>
    </row>
    <row r="132" spans="1:11" s="358" customFormat="1" ht="12.75">
      <c r="A132" s="386"/>
      <c r="B132" s="387"/>
      <c r="C132" s="383"/>
      <c r="D132" s="388"/>
      <c r="E132" s="383"/>
      <c r="F132" s="383"/>
      <c r="G132" s="383"/>
      <c r="J132" s="374"/>
      <c r="K132" s="357"/>
    </row>
    <row r="133" spans="1:11" s="358" customFormat="1" ht="12.75">
      <c r="A133" s="389"/>
      <c r="B133" s="383"/>
      <c r="C133" s="383"/>
      <c r="D133" s="383"/>
      <c r="E133" s="383"/>
      <c r="F133" s="383"/>
      <c r="G133" s="383"/>
      <c r="J133" s="374"/>
      <c r="K133" s="357"/>
    </row>
    <row r="134" spans="1:11" s="358" customFormat="1" ht="12.75">
      <c r="A134" s="389"/>
      <c r="B134" s="383"/>
      <c r="C134" s="383"/>
      <c r="D134" s="383"/>
      <c r="E134" s="383"/>
      <c r="F134" s="383"/>
      <c r="G134" s="383"/>
      <c r="J134" s="374"/>
      <c r="K134" s="357"/>
    </row>
    <row r="135" spans="1:11" s="358" customFormat="1" ht="12.75">
      <c r="A135" s="390"/>
      <c r="B135" s="383"/>
      <c r="C135" s="383"/>
      <c r="D135" s="383"/>
      <c r="E135" s="383"/>
      <c r="F135" s="383"/>
      <c r="G135" s="383"/>
      <c r="J135" s="374"/>
      <c r="K135" s="357"/>
    </row>
    <row r="136" spans="1:11" s="358" customFormat="1" ht="12.75">
      <c r="A136" s="375"/>
      <c r="B136" s="383"/>
      <c r="C136" s="383"/>
      <c r="D136" s="383"/>
      <c r="E136" s="383"/>
      <c r="F136" s="383"/>
      <c r="G136" s="383"/>
      <c r="J136" s="374"/>
      <c r="K136" s="357"/>
    </row>
    <row r="137" spans="1:11" ht="12.75">
      <c r="A137" s="389"/>
      <c r="B137" s="383"/>
      <c r="C137" s="383"/>
      <c r="D137" s="383"/>
      <c r="E137" s="383"/>
      <c r="F137" s="383"/>
      <c r="G137" s="383"/>
    </row>
    <row r="138" spans="1:11" ht="12" customHeight="1">
      <c r="A138" s="389"/>
      <c r="B138" s="383"/>
      <c r="C138" s="383"/>
      <c r="D138" s="383"/>
      <c r="E138" s="383"/>
      <c r="F138" s="383"/>
      <c r="G138" s="383"/>
    </row>
    <row r="139" spans="1:11" ht="12" customHeight="1">
      <c r="A139" s="2145"/>
      <c r="B139" s="1583"/>
      <c r="C139" s="1583"/>
      <c r="D139" s="354"/>
      <c r="E139" s="383"/>
      <c r="F139" s="383"/>
      <c r="G139" s="383"/>
    </row>
    <row r="140" spans="1:11" ht="12" customHeight="1">
      <c r="A140" s="1566"/>
      <c r="B140" s="1566"/>
      <c r="C140" s="1566"/>
      <c r="D140" s="354"/>
      <c r="E140" s="383"/>
      <c r="F140" s="383"/>
      <c r="G140" s="383"/>
    </row>
    <row r="141" spans="1:11" ht="12" customHeight="1">
      <c r="A141" s="389"/>
      <c r="B141" s="383"/>
      <c r="C141" s="383"/>
      <c r="D141" s="354"/>
      <c r="E141" s="383"/>
      <c r="F141" s="383"/>
      <c r="G141" s="383"/>
      <c r="H141" s="392"/>
      <c r="I141" s="392"/>
    </row>
    <row r="142" spans="1:11" ht="12" customHeight="1">
      <c r="A142" s="394"/>
      <c r="B142" s="354"/>
      <c r="C142" s="354"/>
      <c r="D142" s="354"/>
      <c r="E142" s="383"/>
      <c r="F142" s="383"/>
      <c r="G142" s="383"/>
      <c r="H142" s="392"/>
      <c r="I142" s="392"/>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C177" workbookViewId="0">
      <selection activeCell="C177" sqref="C177:AE178"/>
    </sheetView>
  </sheetViews>
  <sheetFormatPr defaultColWidth="2.5703125" defaultRowHeight="15.75" customHeight="1"/>
  <cols>
    <col min="1" max="8" width="2.5703125" style="1199"/>
    <col min="9" max="9" width="7.5703125" style="1199" customWidth="1"/>
    <col min="10" max="13" width="2.5703125" style="1199"/>
    <col min="14" max="14" width="4.5703125" style="1199" customWidth="1"/>
    <col min="15" max="19" width="2.5703125" style="1199"/>
    <col min="20" max="20" width="3.5703125" style="1199" customWidth="1"/>
    <col min="21" max="37" width="2.5703125" style="1199"/>
    <col min="38" max="38" width="3" style="1199" customWidth="1"/>
    <col min="39" max="45" width="2.5703125" style="1199"/>
    <col min="46" max="46" width="4.5703125" style="1199" customWidth="1"/>
    <col min="47" max="51" width="2.5703125" style="1199"/>
    <col min="52" max="52" width="3.5703125" style="1199" customWidth="1"/>
    <col min="53" max="53" width="2.5703125" style="1199"/>
    <col min="54" max="54" width="4.42578125" style="1199" customWidth="1"/>
    <col min="55" max="64" width="2.5703125" style="1199"/>
    <col min="65" max="65" width="10.42578125" style="1199" hidden="1" customWidth="1"/>
    <col min="66" max="66" width="5.5703125" style="1200" bestFit="1" customWidth="1"/>
    <col min="67" max="68" width="5.5703125" style="1200" customWidth="1"/>
    <col min="69" max="69" width="8" style="1200" customWidth="1"/>
    <col min="70" max="70" width="6" style="1200" customWidth="1"/>
    <col min="71" max="71" width="6.140625" style="1200" customWidth="1"/>
    <col min="72" max="76" width="5.5703125" style="1200" customWidth="1"/>
    <col min="77" max="77" width="6.140625" style="1200" bestFit="1" customWidth="1"/>
    <col min="78" max="78" width="5.5703125" style="1199" bestFit="1" customWidth="1"/>
    <col min="79" max="16384" width="2.5703125" style="1199"/>
  </cols>
  <sheetData>
    <row r="1" spans="1:65" ht="15.75" customHeight="1">
      <c r="A1" s="2157" t="s">
        <v>2380</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8"/>
      <c r="AV1" s="2158"/>
      <c r="AW1" s="2158"/>
      <c r="AX1" s="2158"/>
      <c r="AY1" s="2158"/>
      <c r="AZ1" s="2158"/>
      <c r="BA1" s="2158"/>
      <c r="BB1" s="2158"/>
      <c r="BC1" s="2158"/>
      <c r="BD1" s="2158"/>
      <c r="BE1" s="2159"/>
    </row>
    <row r="2" spans="1:65" ht="15.75" customHeight="1">
      <c r="A2" s="2160" t="s">
        <v>2379</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2"/>
      <c r="BF2" s="1201"/>
    </row>
    <row r="3" spans="1:65" ht="15.75" customHeight="1" thickBot="1">
      <c r="A3" s="1202"/>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203"/>
      <c r="AK3" s="1203"/>
      <c r="AL3" s="1203"/>
      <c r="AM3" s="1203"/>
      <c r="AN3" s="1203"/>
      <c r="AO3" s="1203"/>
      <c r="AP3" s="1203"/>
      <c r="AQ3" s="1203"/>
      <c r="AR3" s="1203"/>
      <c r="AS3" s="1203"/>
      <c r="AT3" s="1203"/>
      <c r="AU3" s="1203"/>
      <c r="AV3" s="1203"/>
      <c r="AW3" s="1203"/>
      <c r="AX3" s="2163" t="s">
        <v>2580</v>
      </c>
      <c r="AY3" s="2164"/>
      <c r="AZ3" s="2164"/>
      <c r="BA3" s="2165"/>
      <c r="BB3" s="2163" t="s">
        <v>2581</v>
      </c>
      <c r="BC3" s="2164"/>
      <c r="BD3" s="2164"/>
      <c r="BE3" s="2165"/>
    </row>
    <row r="4" spans="1:65" ht="15.75" customHeight="1" thickBot="1">
      <c r="A4" s="1202"/>
      <c r="B4" s="1204" t="s">
        <v>655</v>
      </c>
      <c r="C4" s="1204"/>
      <c r="D4" s="1204"/>
      <c r="E4" s="1204"/>
      <c r="F4" s="1204"/>
      <c r="G4" s="1203"/>
      <c r="H4" s="1203"/>
      <c r="I4" s="1203"/>
      <c r="J4" s="1203"/>
      <c r="K4" s="1203"/>
      <c r="L4" s="2152" t="str">
        <f>IF(Application!H18="","",Application!H18)</f>
        <v>Russell at Truxel Apartments</v>
      </c>
      <c r="M4" s="2153"/>
      <c r="N4" s="2153"/>
      <c r="O4" s="2153"/>
      <c r="P4" s="2153"/>
      <c r="Q4" s="2153"/>
      <c r="R4" s="2153"/>
      <c r="S4" s="2153"/>
      <c r="T4" s="2153"/>
      <c r="U4" s="2153"/>
      <c r="V4" s="2153"/>
      <c r="W4" s="2153"/>
      <c r="X4" s="2153"/>
      <c r="Y4" s="2153"/>
      <c r="Z4" s="2153"/>
      <c r="AA4" s="2153"/>
      <c r="AB4" s="2153"/>
      <c r="AC4" s="2154"/>
      <c r="AD4" s="1203"/>
      <c r="AE4" s="1203"/>
      <c r="AF4" s="2166" t="s">
        <v>2378</v>
      </c>
      <c r="AG4" s="2166"/>
      <c r="AH4" s="2166"/>
      <c r="AI4" s="2166"/>
      <c r="AJ4" s="2166"/>
      <c r="AK4" s="2166"/>
      <c r="AL4" s="2166"/>
      <c r="AM4" s="2166"/>
      <c r="AN4" s="2166"/>
      <c r="AO4" s="2166"/>
      <c r="AP4" s="2167">
        <v>46357</v>
      </c>
      <c r="AQ4" s="2168"/>
      <c r="AR4" s="2168"/>
      <c r="AS4" s="2168"/>
      <c r="AT4" s="2168"/>
      <c r="AU4" s="2168"/>
      <c r="AV4" s="1203"/>
      <c r="AW4" s="1203"/>
      <c r="AX4" s="2149" t="s">
        <v>2582</v>
      </c>
      <c r="AY4" s="2150"/>
      <c r="AZ4" s="2150"/>
      <c r="BA4" s="2151"/>
      <c r="BB4" s="1205">
        <f t="array" ref="BB4">ROUNDDOWN(SUM(IF((B19:I27&gt;0)*(B19:I27&lt;=30%),J19:O27,0))/J29,2)</f>
        <v>0.1</v>
      </c>
      <c r="BC4" s="1206"/>
      <c r="BD4" s="1206"/>
      <c r="BE4" s="1207"/>
    </row>
    <row r="5" spans="1:65" thickBot="1">
      <c r="A5" s="1202"/>
      <c r="B5" s="1203"/>
      <c r="C5" s="1203"/>
      <c r="D5" s="1203"/>
      <c r="E5" s="1203"/>
      <c r="F5" s="1203"/>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1203"/>
      <c r="AF5" s="2166" t="s">
        <v>2377</v>
      </c>
      <c r="AG5" s="2166"/>
      <c r="AH5" s="2166"/>
      <c r="AI5" s="2166"/>
      <c r="AJ5" s="2166"/>
      <c r="AK5" s="2166"/>
      <c r="AL5" s="2166"/>
      <c r="AM5" s="2166"/>
      <c r="AN5" s="2166"/>
      <c r="AO5" s="2166"/>
      <c r="AP5" s="2167">
        <v>45962</v>
      </c>
      <c r="AQ5" s="2168"/>
      <c r="AR5" s="2168"/>
      <c r="AS5" s="2168"/>
      <c r="AT5" s="2168"/>
      <c r="AU5" s="2168"/>
      <c r="AV5" s="1203"/>
      <c r="AW5" s="1203"/>
      <c r="AX5" s="2149" t="s">
        <v>2583</v>
      </c>
      <c r="AY5" s="2150"/>
      <c r="AZ5" s="2150"/>
      <c r="BA5" s="2151"/>
      <c r="BB5" s="1205">
        <f t="array" ref="BB5">ROUNDDOWN(SUM(IF((B19:I27&gt;0%)*(B19:I27&lt;=50%),J19:O27,0))/J29,2)</f>
        <v>0.3</v>
      </c>
      <c r="BC5" s="1206"/>
      <c r="BD5" s="1206"/>
      <c r="BE5" s="1207"/>
    </row>
    <row r="6" spans="1:65" ht="15.75" customHeight="1" thickBot="1">
      <c r="A6" s="1202"/>
      <c r="B6" s="1204" t="s">
        <v>2376</v>
      </c>
      <c r="C6" s="1203"/>
      <c r="D6" s="1203"/>
      <c r="E6" s="1203"/>
      <c r="F6" s="1203"/>
      <c r="G6" s="1203"/>
      <c r="H6" s="1203"/>
      <c r="I6" s="1203"/>
      <c r="J6" s="1203"/>
      <c r="K6" s="1203"/>
      <c r="L6" s="2152" t="str">
        <f>IF(Application!H16="","",Application!H16)</f>
        <v>Fong Natomas L.P.</v>
      </c>
      <c r="M6" s="2153"/>
      <c r="N6" s="2153"/>
      <c r="O6" s="2153"/>
      <c r="P6" s="2153"/>
      <c r="Q6" s="2153"/>
      <c r="R6" s="2153"/>
      <c r="S6" s="2153"/>
      <c r="T6" s="2153"/>
      <c r="U6" s="2153"/>
      <c r="V6" s="2153"/>
      <c r="W6" s="2153"/>
      <c r="X6" s="2153"/>
      <c r="Y6" s="2153"/>
      <c r="Z6" s="2153"/>
      <c r="AA6" s="2153"/>
      <c r="AB6" s="2153"/>
      <c r="AC6" s="2154"/>
      <c r="AD6" s="1203"/>
      <c r="AE6" s="1203"/>
      <c r="AF6" s="2155" t="s">
        <v>2375</v>
      </c>
      <c r="AG6" s="2155"/>
      <c r="AH6" s="2155"/>
      <c r="AI6" s="2155"/>
      <c r="AJ6" s="2155"/>
      <c r="AK6" s="2155"/>
      <c r="AL6" s="2155"/>
      <c r="AM6" s="2155"/>
      <c r="AN6" s="2155"/>
      <c r="AO6" s="2155"/>
      <c r="AP6" s="2156" t="s">
        <v>2763</v>
      </c>
      <c r="AQ6" s="2156"/>
      <c r="AR6" s="2156"/>
      <c r="AS6" s="2156"/>
      <c r="AT6" s="2156"/>
      <c r="AU6" s="2156"/>
      <c r="AV6" s="1203"/>
      <c r="AW6" s="1203"/>
      <c r="AX6" s="2149" t="s">
        <v>2584</v>
      </c>
      <c r="AY6" s="2150"/>
      <c r="AZ6" s="2150"/>
      <c r="BA6" s="2151"/>
      <c r="BB6" s="1205">
        <f t="array" ref="BB6">ROUNDDOWN(SUM(IF((B19:I27&gt;60%)*(B19:I27&lt;=80%),J19:O27,0))/J29,2)</f>
        <v>0.18</v>
      </c>
      <c r="BC6" s="1206"/>
      <c r="BD6" s="1206"/>
      <c r="BE6" s="1207"/>
    </row>
    <row r="7" spans="1:65" thickBot="1">
      <c r="A7" s="1202"/>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2155" t="s">
        <v>2374</v>
      </c>
      <c r="AG7" s="2155"/>
      <c r="AH7" s="2155"/>
      <c r="AI7" s="2155"/>
      <c r="AJ7" s="2155"/>
      <c r="AK7" s="2155"/>
      <c r="AL7" s="2155"/>
      <c r="AM7" s="2155"/>
      <c r="AN7" s="2155"/>
      <c r="AO7" s="2155"/>
      <c r="AP7" s="2156">
        <v>2</v>
      </c>
      <c r="AQ7" s="2156"/>
      <c r="AR7" s="2156"/>
      <c r="AS7" s="2156"/>
      <c r="AT7" s="2156"/>
      <c r="AU7" s="2156"/>
      <c r="AV7" s="1203"/>
      <c r="AW7" s="1203"/>
      <c r="AX7" s="1203"/>
      <c r="AY7" s="1203"/>
      <c r="AZ7" s="1203"/>
      <c r="BA7" s="1203"/>
      <c r="BB7" s="1203"/>
      <c r="BC7" s="1203"/>
      <c r="BD7" s="1203"/>
      <c r="BE7" s="1208"/>
    </row>
    <row r="8" spans="1:65" thickBot="1">
      <c r="A8" s="1202"/>
      <c r="B8" s="1204" t="s">
        <v>2621</v>
      </c>
      <c r="C8" s="1203"/>
      <c r="D8" s="1203"/>
      <c r="E8" s="1203"/>
      <c r="F8" s="1203"/>
      <c r="G8" s="1203"/>
      <c r="H8" s="1203"/>
      <c r="I8" s="1203"/>
      <c r="J8" s="1203"/>
      <c r="K8" s="1203"/>
      <c r="L8" s="1203"/>
      <c r="M8" s="1203"/>
      <c r="N8" s="1203"/>
      <c r="O8" s="1203"/>
      <c r="P8" s="1203"/>
      <c r="Q8" s="1203"/>
      <c r="R8" s="1203"/>
      <c r="S8" s="1203"/>
      <c r="T8" s="1203"/>
      <c r="U8" s="1203"/>
      <c r="V8" s="1203"/>
      <c r="W8" s="1203"/>
      <c r="X8" s="1203"/>
      <c r="Y8" s="1203"/>
      <c r="Z8" s="1203"/>
      <c r="AA8" s="1203"/>
      <c r="AB8" s="2169" t="str">
        <f>Application!T197</f>
        <v>No</v>
      </c>
      <c r="AC8" s="2170"/>
      <c r="AD8" s="2171"/>
      <c r="AE8" s="1203"/>
      <c r="AF8" s="2155" t="s">
        <v>2373</v>
      </c>
      <c r="AG8" s="2155"/>
      <c r="AH8" s="2155"/>
      <c r="AI8" s="2155"/>
      <c r="AJ8" s="2155"/>
      <c r="AK8" s="2155"/>
      <c r="AL8" s="2155"/>
      <c r="AM8" s="2155"/>
      <c r="AN8" s="2155"/>
      <c r="AO8" s="2155"/>
      <c r="AP8" s="2156" t="s">
        <v>2050</v>
      </c>
      <c r="AQ8" s="2156"/>
      <c r="AR8" s="2156"/>
      <c r="AS8" s="2156"/>
      <c r="AT8" s="2156"/>
      <c r="AU8" s="2156"/>
      <c r="AV8" s="1203"/>
      <c r="AW8" s="1203"/>
      <c r="AX8" s="1203"/>
      <c r="AY8" s="1203"/>
      <c r="AZ8" s="1203"/>
      <c r="BA8" s="1203"/>
      <c r="BB8" s="1203"/>
      <c r="BC8" s="1203"/>
      <c r="BD8" s="1203"/>
      <c r="BE8" s="1208"/>
      <c r="BM8" s="1199" t="s">
        <v>1953</v>
      </c>
    </row>
    <row r="9" spans="1:65" ht="15">
      <c r="A9" s="1203"/>
      <c r="B9" s="1203"/>
      <c r="C9" s="1203"/>
      <c r="D9" s="1203"/>
      <c r="E9" s="1203"/>
      <c r="F9" s="1203"/>
      <c r="G9" s="1203"/>
      <c r="H9" s="1203"/>
      <c r="I9" s="1203"/>
      <c r="J9" s="1203"/>
      <c r="K9" s="1203"/>
      <c r="L9" s="1203"/>
      <c r="M9" s="1203"/>
      <c r="N9" s="1203"/>
      <c r="O9" s="1203"/>
      <c r="P9" s="1203"/>
      <c r="Q9" s="1203"/>
      <c r="R9" s="1203"/>
      <c r="S9" s="1203"/>
      <c r="T9" s="1203"/>
      <c r="U9" s="1203"/>
      <c r="V9" s="1203"/>
      <c r="W9" s="1203"/>
      <c r="X9" s="1203"/>
      <c r="Y9" s="1203"/>
      <c r="Z9" s="1203"/>
      <c r="AA9" s="1203"/>
      <c r="AB9" s="1203"/>
      <c r="AC9" s="1203"/>
      <c r="AD9" s="1203"/>
      <c r="AE9" s="1203"/>
      <c r="AF9" s="2166" t="s">
        <v>2372</v>
      </c>
      <c r="AG9" s="2166"/>
      <c r="AH9" s="2166"/>
      <c r="AI9" s="2166"/>
      <c r="AJ9" s="2166"/>
      <c r="AK9" s="2166"/>
      <c r="AL9" s="2166"/>
      <c r="AM9" s="2166"/>
      <c r="AN9" s="2166"/>
      <c r="AO9" s="2166"/>
      <c r="AP9" s="2167">
        <v>46997</v>
      </c>
      <c r="AQ9" s="2168"/>
      <c r="AR9" s="2168"/>
      <c r="AS9" s="2168"/>
      <c r="AT9" s="2168"/>
      <c r="AU9" s="2168"/>
      <c r="AV9" s="1203"/>
      <c r="AW9" s="1203"/>
      <c r="AX9" s="1203"/>
      <c r="AY9" s="1203"/>
      <c r="AZ9" s="1203"/>
      <c r="BA9" s="1203"/>
      <c r="BB9" s="1203"/>
      <c r="BC9" s="1203"/>
      <c r="BD9" s="1203"/>
      <c r="BE9" s="1208"/>
      <c r="BM9" s="1199" t="s">
        <v>2371</v>
      </c>
    </row>
    <row r="10" spans="1:65" ht="15">
      <c r="A10" s="1202"/>
      <c r="B10" s="1204" t="s">
        <v>2370</v>
      </c>
      <c r="C10" s="1204"/>
      <c r="D10" s="1204"/>
      <c r="E10" s="1204"/>
      <c r="F10" s="1204"/>
      <c r="G10" s="1204"/>
      <c r="H10" s="1204"/>
      <c r="I10" s="1204"/>
      <c r="J10" s="1204"/>
      <c r="K10" s="1204"/>
      <c r="L10" s="1204"/>
      <c r="M10" s="1203"/>
      <c r="N10" s="2184">
        <f>Application!AO635</f>
        <v>15120000</v>
      </c>
      <c r="O10" s="2184"/>
      <c r="P10" s="2184"/>
      <c r="Q10" s="2184"/>
      <c r="R10" s="2184"/>
      <c r="S10" s="2184"/>
      <c r="T10" s="2184"/>
      <c r="U10" s="1203"/>
      <c r="V10" s="1203"/>
      <c r="W10" s="1203"/>
      <c r="X10" s="1209"/>
      <c r="Y10" s="1209"/>
      <c r="Z10" s="1209"/>
      <c r="AA10" s="1209"/>
      <c r="AB10" s="1209"/>
      <c r="AC10" s="1209"/>
      <c r="AD10" s="1209"/>
      <c r="AE10" s="1209"/>
      <c r="AF10" s="2166" t="s">
        <v>2369</v>
      </c>
      <c r="AG10" s="2166"/>
      <c r="AH10" s="2166"/>
      <c r="AI10" s="2166"/>
      <c r="AJ10" s="2166"/>
      <c r="AK10" s="2166"/>
      <c r="AL10" s="2166"/>
      <c r="AM10" s="2166"/>
      <c r="AN10" s="2166"/>
      <c r="AO10" s="2166"/>
      <c r="AP10" s="2167">
        <v>46997</v>
      </c>
      <c r="AQ10" s="2168"/>
      <c r="AR10" s="2168"/>
      <c r="AS10" s="2168"/>
      <c r="AT10" s="2168"/>
      <c r="AU10" s="2168"/>
      <c r="AV10" s="1209"/>
      <c r="AW10" s="1209"/>
      <c r="AX10" s="1203"/>
      <c r="AY10" s="1203"/>
      <c r="AZ10" s="1203"/>
      <c r="BA10" s="1203"/>
      <c r="BB10" s="1203"/>
      <c r="BC10" s="1203"/>
      <c r="BD10" s="1203"/>
      <c r="BE10" s="1208"/>
      <c r="BM10" s="1199" t="s">
        <v>2368</v>
      </c>
    </row>
    <row r="11" spans="1:65" ht="15">
      <c r="A11" s="1202"/>
      <c r="B11" s="1204" t="s">
        <v>2367</v>
      </c>
      <c r="C11" s="1204"/>
      <c r="D11" s="1204"/>
      <c r="E11" s="1204"/>
      <c r="F11" s="1204"/>
      <c r="G11" s="1204"/>
      <c r="H11" s="1204"/>
      <c r="I11" s="1204"/>
      <c r="J11" s="1204"/>
      <c r="K11" s="1204"/>
      <c r="L11" s="1204"/>
      <c r="M11" s="1203"/>
      <c r="N11" s="2184">
        <f>Application!AA943</f>
        <v>0</v>
      </c>
      <c r="O11" s="2184"/>
      <c r="P11" s="2184"/>
      <c r="Q11" s="2184"/>
      <c r="R11" s="2184"/>
      <c r="S11" s="2184"/>
      <c r="T11" s="2184"/>
      <c r="U11" s="1203"/>
      <c r="V11" s="1203"/>
      <c r="W11" s="1203"/>
      <c r="X11" s="1209"/>
      <c r="Y11" s="1209"/>
      <c r="Z11" s="1209"/>
      <c r="AA11" s="1209"/>
      <c r="AB11" s="1209"/>
      <c r="AC11" s="1209"/>
      <c r="AD11" s="1209"/>
      <c r="AE11" s="1209"/>
      <c r="AF11" s="2166" t="s">
        <v>2366</v>
      </c>
      <c r="AG11" s="2166"/>
      <c r="AH11" s="2166"/>
      <c r="AI11" s="2166"/>
      <c r="AJ11" s="2166"/>
      <c r="AK11" s="2166"/>
      <c r="AL11" s="2166"/>
      <c r="AM11" s="2166"/>
      <c r="AN11" s="2166"/>
      <c r="AO11" s="2166"/>
      <c r="AP11" s="2167">
        <v>47088</v>
      </c>
      <c r="AQ11" s="2168"/>
      <c r="AR11" s="2168"/>
      <c r="AS11" s="2168"/>
      <c r="AT11" s="2168"/>
      <c r="AU11" s="2168"/>
      <c r="AV11" s="1209"/>
      <c r="AW11" s="1209"/>
      <c r="AX11" s="1203"/>
      <c r="AY11" s="1203"/>
      <c r="AZ11" s="1203"/>
      <c r="BA11" s="1203"/>
      <c r="BB11" s="1203"/>
      <c r="BC11" s="1203"/>
      <c r="BD11" s="1203"/>
      <c r="BE11" s="1208"/>
      <c r="BM11" s="1199" t="s">
        <v>2050</v>
      </c>
    </row>
    <row r="12" spans="1:65" thickBot="1">
      <c r="A12" s="1203"/>
      <c r="B12" s="1203"/>
      <c r="C12" s="1203"/>
      <c r="D12" s="1203"/>
      <c r="E12" s="1203"/>
      <c r="F12" s="1203"/>
      <c r="G12" s="1203"/>
      <c r="H12" s="1203"/>
      <c r="I12" s="1203"/>
      <c r="J12" s="1203"/>
      <c r="K12" s="1203"/>
      <c r="L12" s="1203"/>
      <c r="M12" s="1203"/>
      <c r="N12" s="1203"/>
      <c r="O12" s="1203"/>
      <c r="P12" s="1203"/>
      <c r="Q12" s="1203"/>
      <c r="R12" s="1203"/>
      <c r="S12" s="1203"/>
      <c r="T12" s="1203"/>
      <c r="U12" s="1203"/>
      <c r="V12" s="1203"/>
      <c r="W12" s="1203"/>
      <c r="X12" s="1209"/>
      <c r="Y12" s="1209"/>
      <c r="Z12" s="1209"/>
      <c r="AA12" s="1209"/>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3"/>
      <c r="AW12" s="1203"/>
      <c r="AX12" s="1203"/>
      <c r="AY12" s="1203"/>
      <c r="AZ12" s="1203"/>
      <c r="BA12" s="1203"/>
      <c r="BB12" s="1203"/>
      <c r="BC12" s="1203"/>
      <c r="BD12" s="1203"/>
      <c r="BE12" s="1210"/>
      <c r="BM12" s="1199" t="s">
        <v>2365</v>
      </c>
    </row>
    <row r="13" spans="1:65" thickBot="1">
      <c r="A13" s="1203"/>
      <c r="B13" s="2172" t="s">
        <v>2364</v>
      </c>
      <c r="C13" s="2173"/>
      <c r="D13" s="2173"/>
      <c r="E13" s="2173"/>
      <c r="F13" s="2173"/>
      <c r="G13" s="2173"/>
      <c r="H13" s="2173"/>
      <c r="I13" s="2173"/>
      <c r="J13" s="2173"/>
      <c r="K13" s="2173"/>
      <c r="L13" s="2173"/>
      <c r="M13" s="2173"/>
      <c r="N13" s="2173"/>
      <c r="O13" s="2173"/>
      <c r="P13" s="2174"/>
      <c r="Q13" s="2175" t="s">
        <v>668</v>
      </c>
      <c r="R13" s="2176"/>
      <c r="S13" s="2176"/>
      <c r="T13" s="2177"/>
      <c r="U13" s="1209"/>
      <c r="V13" s="1203"/>
      <c r="W13" s="1203"/>
      <c r="X13" s="1203"/>
      <c r="Y13" s="1203"/>
      <c r="Z13" s="1203"/>
      <c r="AA13" s="2178" t="s">
        <v>2363</v>
      </c>
      <c r="AB13" s="2178"/>
      <c r="AC13" s="2178"/>
      <c r="AD13" s="2178"/>
      <c r="AE13" s="2178"/>
      <c r="AF13" s="2178"/>
      <c r="AG13" s="2178"/>
      <c r="AH13" s="2178"/>
      <c r="AI13" s="2178"/>
      <c r="AJ13" s="2178"/>
      <c r="AK13" s="2178"/>
      <c r="AL13" s="2178"/>
      <c r="AM13" s="2178"/>
      <c r="AN13" s="2178"/>
      <c r="AO13" s="2179">
        <f>Application!W481</f>
        <v>18</v>
      </c>
      <c r="AP13" s="2180"/>
      <c r="AQ13" s="2180"/>
      <c r="AR13" s="2180"/>
      <c r="AS13" s="2180"/>
      <c r="AT13" s="1209"/>
      <c r="AU13" s="1209"/>
      <c r="AV13" s="1209"/>
      <c r="AW13" s="1209"/>
      <c r="AX13" s="1209"/>
      <c r="AY13" s="1209"/>
      <c r="AZ13" s="1209"/>
      <c r="BA13" s="1209"/>
      <c r="BB13" s="1209"/>
      <c r="BC13" s="1209"/>
      <c r="BD13" s="1209"/>
      <c r="BE13" s="1210"/>
      <c r="BM13" s="1199" t="s">
        <v>2362</v>
      </c>
    </row>
    <row r="14" spans="1:65" thickBot="1">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c r="W14" s="1203"/>
      <c r="X14" s="1203"/>
      <c r="Y14" s="1203"/>
      <c r="Z14" s="1203"/>
      <c r="AA14" s="2181" t="s">
        <v>2361</v>
      </c>
      <c r="AB14" s="2181"/>
      <c r="AC14" s="2181"/>
      <c r="AD14" s="2181"/>
      <c r="AE14" s="2181"/>
      <c r="AF14" s="2181"/>
      <c r="AG14" s="2181"/>
      <c r="AH14" s="2181"/>
      <c r="AI14" s="2181"/>
      <c r="AJ14" s="2181"/>
      <c r="AK14" s="2181"/>
      <c r="AL14" s="2181"/>
      <c r="AM14" s="2181"/>
      <c r="AN14" s="2181"/>
      <c r="AO14" s="2182">
        <v>46083</v>
      </c>
      <c r="AP14" s="2183"/>
      <c r="AQ14" s="2183"/>
      <c r="AR14" s="2183"/>
      <c r="AS14" s="2183"/>
      <c r="AT14" s="1209"/>
      <c r="AU14" s="1209"/>
      <c r="AV14" s="1209"/>
      <c r="AW14" s="1209"/>
      <c r="AX14" s="1209"/>
      <c r="AY14" s="1209"/>
      <c r="AZ14" s="1209"/>
      <c r="BA14" s="1209"/>
      <c r="BB14" s="1209"/>
      <c r="BC14" s="1209"/>
      <c r="BD14" s="1209"/>
      <c r="BE14" s="1210"/>
    </row>
    <row r="15" spans="1:65" thickBot="1">
      <c r="A15" s="1203"/>
      <c r="B15" s="2185" t="s">
        <v>2360</v>
      </c>
      <c r="C15" s="2186"/>
      <c r="D15" s="2186"/>
      <c r="E15" s="2186"/>
      <c r="F15" s="2186"/>
      <c r="G15" s="2186"/>
      <c r="H15" s="2186"/>
      <c r="I15" s="2186"/>
      <c r="J15" s="2186"/>
      <c r="K15" s="2186"/>
      <c r="L15" s="2186"/>
      <c r="M15" s="2186"/>
      <c r="N15" s="2186"/>
      <c r="O15" s="2186"/>
      <c r="P15" s="2186"/>
      <c r="Q15" s="2186"/>
      <c r="R15" s="2187"/>
      <c r="S15" s="2188" t="str">
        <f>IF(Application!AB215="","",Application!AB215)</f>
        <v/>
      </c>
      <c r="T15" s="2188"/>
      <c r="U15" s="2188"/>
      <c r="V15" s="2188"/>
      <c r="W15" s="2189"/>
      <c r="X15" s="1209"/>
      <c r="Y15" s="1203"/>
      <c r="Z15" s="1203"/>
      <c r="AA15" s="2178" t="s">
        <v>2359</v>
      </c>
      <c r="AB15" s="2178"/>
      <c r="AC15" s="2178"/>
      <c r="AD15" s="2178"/>
      <c r="AE15" s="2178"/>
      <c r="AF15" s="2178"/>
      <c r="AG15" s="2178"/>
      <c r="AH15" s="2178"/>
      <c r="AI15" s="2178"/>
      <c r="AJ15" s="2178"/>
      <c r="AK15" s="2178"/>
      <c r="AL15" s="2178"/>
      <c r="AM15" s="2178"/>
      <c r="AN15" s="2178"/>
      <c r="AO15" s="2182">
        <v>46252</v>
      </c>
      <c r="AP15" s="2183"/>
      <c r="AQ15" s="2183"/>
      <c r="AR15" s="2183"/>
      <c r="AS15" s="2183"/>
      <c r="AT15" s="1209"/>
      <c r="AU15" s="1209"/>
      <c r="AV15" s="1209"/>
      <c r="AW15" s="1209"/>
      <c r="AX15" s="1209"/>
      <c r="AY15" s="1209"/>
      <c r="AZ15" s="1209"/>
      <c r="BA15" s="1209"/>
      <c r="BB15" s="1209"/>
      <c r="BC15" s="1209"/>
      <c r="BD15" s="1209"/>
      <c r="BE15" s="1210"/>
    </row>
    <row r="16" spans="1:65" thickBot="1">
      <c r="A16" s="1202"/>
      <c r="B16" s="1203"/>
      <c r="C16" s="1203"/>
      <c r="D16" s="1203"/>
      <c r="E16" s="1203"/>
      <c r="F16" s="1203"/>
      <c r="G16" s="1203"/>
      <c r="H16" s="1203"/>
      <c r="I16" s="1203"/>
      <c r="J16" s="1203"/>
      <c r="K16" s="1203"/>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D16" s="1203"/>
      <c r="BE16" s="1210"/>
    </row>
    <row r="17" spans="1:58" ht="15">
      <c r="A17" s="1203"/>
      <c r="B17" s="2190" t="s">
        <v>2358</v>
      </c>
      <c r="C17" s="2191"/>
      <c r="D17" s="2191"/>
      <c r="E17" s="2191"/>
      <c r="F17" s="2191"/>
      <c r="G17" s="2191"/>
      <c r="H17" s="2191"/>
      <c r="I17" s="2191"/>
      <c r="J17" s="2191"/>
      <c r="K17" s="2191"/>
      <c r="L17" s="2191"/>
      <c r="M17" s="2191"/>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c r="AL17" s="2191"/>
      <c r="AM17" s="2191"/>
      <c r="AN17" s="2191"/>
      <c r="AO17" s="2191"/>
      <c r="AP17" s="2191"/>
      <c r="AQ17" s="2191"/>
      <c r="AR17" s="2191"/>
      <c r="AS17" s="2191"/>
      <c r="AT17" s="2191"/>
      <c r="AU17" s="2191"/>
      <c r="AV17" s="2191"/>
      <c r="AW17" s="2191"/>
      <c r="AX17" s="2191"/>
      <c r="AY17" s="2192"/>
      <c r="AZ17" s="1203"/>
      <c r="BA17" s="1203"/>
      <c r="BB17" s="1203"/>
      <c r="BC17" s="1203"/>
      <c r="BD17" s="1203"/>
      <c r="BE17" s="1210"/>
      <c r="BF17" s="1201"/>
    </row>
    <row r="18" spans="1:58" ht="15.75" customHeight="1">
      <c r="A18" s="1203"/>
      <c r="B18" s="2193" t="s">
        <v>2357</v>
      </c>
      <c r="C18" s="2194"/>
      <c r="D18" s="2194"/>
      <c r="E18" s="2194"/>
      <c r="F18" s="2194"/>
      <c r="G18" s="2194"/>
      <c r="H18" s="2194"/>
      <c r="I18" s="2195"/>
      <c r="J18" s="2196" t="s">
        <v>1572</v>
      </c>
      <c r="K18" s="2197"/>
      <c r="L18" s="2197"/>
      <c r="M18" s="2197"/>
      <c r="N18" s="2197"/>
      <c r="O18" s="2198"/>
      <c r="P18" s="2196" t="s">
        <v>323</v>
      </c>
      <c r="Q18" s="2197"/>
      <c r="R18" s="2197"/>
      <c r="S18" s="2197"/>
      <c r="T18" s="2197"/>
      <c r="U18" s="2198"/>
      <c r="V18" s="2196" t="s">
        <v>324</v>
      </c>
      <c r="W18" s="2197"/>
      <c r="X18" s="2197"/>
      <c r="Y18" s="2197"/>
      <c r="Z18" s="2197"/>
      <c r="AA18" s="2198"/>
      <c r="AB18" s="2196" t="s">
        <v>163</v>
      </c>
      <c r="AC18" s="2197"/>
      <c r="AD18" s="2197"/>
      <c r="AE18" s="2197"/>
      <c r="AF18" s="2197"/>
      <c r="AG18" s="2198"/>
      <c r="AH18" s="2196" t="s">
        <v>164</v>
      </c>
      <c r="AI18" s="2197"/>
      <c r="AJ18" s="2197"/>
      <c r="AK18" s="2197"/>
      <c r="AL18" s="2197"/>
      <c r="AM18" s="2198"/>
      <c r="AN18" s="2196" t="s">
        <v>165</v>
      </c>
      <c r="AO18" s="2197"/>
      <c r="AP18" s="2197"/>
      <c r="AQ18" s="2197"/>
      <c r="AR18" s="2197"/>
      <c r="AS18" s="2198"/>
      <c r="AT18" s="2196" t="s">
        <v>2356</v>
      </c>
      <c r="AU18" s="2197"/>
      <c r="AV18" s="2197"/>
      <c r="AW18" s="2197"/>
      <c r="AX18" s="2197"/>
      <c r="AY18" s="2199"/>
      <c r="AZ18" s="1203"/>
      <c r="BA18" s="1203"/>
      <c r="BB18" s="1203"/>
      <c r="BC18" s="1203"/>
      <c r="BD18" s="1203"/>
      <c r="BE18" s="1210"/>
    </row>
    <row r="19" spans="1:58" ht="15">
      <c r="A19" s="1203"/>
      <c r="B19" s="2200">
        <v>0.3</v>
      </c>
      <c r="C19" s="2201"/>
      <c r="D19" s="2201"/>
      <c r="E19" s="2201"/>
      <c r="F19" s="2201"/>
      <c r="G19" s="2201"/>
      <c r="H19" s="2201"/>
      <c r="I19" s="2202"/>
      <c r="J19" s="2203">
        <f t="shared" ref="J19:J24" si="0">SUM(P19:AS19)</f>
        <v>12</v>
      </c>
      <c r="K19" s="2204"/>
      <c r="L19" s="2204"/>
      <c r="M19" s="2204"/>
      <c r="N19" s="2204"/>
      <c r="O19" s="2205"/>
      <c r="P19" s="2203" cm="1">
        <f t="array" ref="P19">SUMPRODUCT((Application!$B$726:$B$760 = 'CalHFA Addendum'!P$18)*(Application!$AC$726:$AC$760 = 'CalHFA Addendum'!$B19),Application!$G$726:$G$760)</f>
        <v>0</v>
      </c>
      <c r="Q19" s="2204"/>
      <c r="R19" s="2204"/>
      <c r="S19" s="2204"/>
      <c r="T19" s="2204"/>
      <c r="U19" s="2205"/>
      <c r="V19" s="2203" cm="1">
        <f t="array" ref="V19">SUMPRODUCT((Application!$B$726:$B$760 = 'CalHFA Addendum'!V$18)*(Application!$AC$726:$AC$760 = 'CalHFA Addendum'!$B19),Application!$G$726:$G$760)</f>
        <v>6</v>
      </c>
      <c r="W19" s="2204"/>
      <c r="X19" s="2204"/>
      <c r="Y19" s="2204"/>
      <c r="Z19" s="2204"/>
      <c r="AA19" s="2205"/>
      <c r="AB19" s="2203" cm="1">
        <f t="array" ref="AB19">SUMPRODUCT((Application!$B$726:$B$760 = 'CalHFA Addendum'!AB$18)*(Application!$AC$726:$AC$760 = 'CalHFA Addendum'!$B19),Application!$G$726:$G$760)</f>
        <v>3</v>
      </c>
      <c r="AC19" s="2204"/>
      <c r="AD19" s="2204"/>
      <c r="AE19" s="2204"/>
      <c r="AF19" s="2204"/>
      <c r="AG19" s="2205"/>
      <c r="AH19" s="2203" cm="1">
        <f t="array" ref="AH19">SUMPRODUCT((Application!$B$726:$B$760 = 'CalHFA Addendum'!AH$18)*(Application!$AC$726:$AC$760 = 'CalHFA Addendum'!$B19),Application!$G$726:$G$760)</f>
        <v>3</v>
      </c>
      <c r="AI19" s="2204"/>
      <c r="AJ19" s="2204"/>
      <c r="AK19" s="2204"/>
      <c r="AL19" s="2204"/>
      <c r="AM19" s="2205"/>
      <c r="AN19" s="2203" cm="1">
        <f t="array" ref="AN19">SUMPRODUCT((Application!$B$726:$B$760 = 'CalHFA Addendum'!AN$18)*(Application!$AC$726:$AC$760 = 'CalHFA Addendum'!$B19),Application!$G$726:$G$760)</f>
        <v>0</v>
      </c>
      <c r="AO19" s="2204"/>
      <c r="AP19" s="2204"/>
      <c r="AQ19" s="2204"/>
      <c r="AR19" s="2204"/>
      <c r="AS19" s="2205"/>
      <c r="AT19" s="2206">
        <f>J19/$J$29</f>
        <v>0.10084033613445378</v>
      </c>
      <c r="AU19" s="2207"/>
      <c r="AV19" s="2207"/>
      <c r="AW19" s="2207"/>
      <c r="AX19" s="2207"/>
      <c r="AY19" s="2208"/>
      <c r="AZ19" s="1211"/>
      <c r="BA19" s="1203"/>
      <c r="BB19" s="1203"/>
      <c r="BC19" s="1203"/>
      <c r="BD19" s="1203"/>
      <c r="BE19" s="1210"/>
    </row>
    <row r="20" spans="1:58" ht="15" customHeight="1">
      <c r="A20" s="1203"/>
      <c r="B20" s="2200">
        <v>0.4</v>
      </c>
      <c r="C20" s="2201"/>
      <c r="D20" s="2201"/>
      <c r="E20" s="2201"/>
      <c r="F20" s="2201"/>
      <c r="G20" s="2201"/>
      <c r="H20" s="2201"/>
      <c r="I20" s="2202"/>
      <c r="J20" s="2203">
        <f t="shared" si="0"/>
        <v>0</v>
      </c>
      <c r="K20" s="2204"/>
      <c r="L20" s="2204"/>
      <c r="M20" s="2204"/>
      <c r="N20" s="2204"/>
      <c r="O20" s="2205"/>
      <c r="P20" s="2203" cm="1">
        <f t="array" ref="P20">SUMPRODUCT((Application!$B$726:$B$760 = 'CalHFA Addendum'!P$18)*(Application!$AC$726:$AC$760 = 'CalHFA Addendum'!$B20),Application!$G$726:$G$760)</f>
        <v>0</v>
      </c>
      <c r="Q20" s="2204"/>
      <c r="R20" s="2204"/>
      <c r="S20" s="2204"/>
      <c r="T20" s="2204"/>
      <c r="U20" s="2205"/>
      <c r="V20" s="2203" cm="1">
        <f t="array" ref="V20">SUMPRODUCT((Application!$B$726:$B$760 = 'CalHFA Addendum'!V$18)*(Application!$AC$726:$AC$760 = 'CalHFA Addendum'!$B20),Application!$G$726:$G$760)</f>
        <v>0</v>
      </c>
      <c r="W20" s="2204"/>
      <c r="X20" s="2204"/>
      <c r="Y20" s="2204"/>
      <c r="Z20" s="2204"/>
      <c r="AA20" s="2205"/>
      <c r="AB20" s="2203" cm="1">
        <f t="array" ref="AB20">SUMPRODUCT((Application!$B$726:$B$760 = 'CalHFA Addendum'!AB$18)*(Application!$AC$726:$AC$760 = 'CalHFA Addendum'!$B20),Application!$G$726:$G$760)</f>
        <v>0</v>
      </c>
      <c r="AC20" s="2204"/>
      <c r="AD20" s="2204"/>
      <c r="AE20" s="2204"/>
      <c r="AF20" s="2204"/>
      <c r="AG20" s="2205"/>
      <c r="AH20" s="2203" cm="1">
        <f t="array" ref="AH20">SUMPRODUCT((Application!$B$726:$B$760 = 'CalHFA Addendum'!AH$18)*(Application!$AC$726:$AC$760 = 'CalHFA Addendum'!$B20),Application!$G$726:$G$760)</f>
        <v>0</v>
      </c>
      <c r="AI20" s="2204"/>
      <c r="AJ20" s="2204"/>
      <c r="AK20" s="2204"/>
      <c r="AL20" s="2204"/>
      <c r="AM20" s="2205"/>
      <c r="AN20" s="2203" cm="1">
        <f t="array" ref="AN20">SUMPRODUCT((Application!$B$726:$B$760 = 'CalHFA Addendum'!AN$18)*(Application!$AC$726:$AC$760 = 'CalHFA Addendum'!$B20),Application!$G$726:$G$760)</f>
        <v>0</v>
      </c>
      <c r="AO20" s="2204"/>
      <c r="AP20" s="2204"/>
      <c r="AQ20" s="2204"/>
      <c r="AR20" s="2204"/>
      <c r="AS20" s="2205"/>
      <c r="AT20" s="2206">
        <f t="shared" ref="AT20:AT29" si="1">J20/$J$29</f>
        <v>0</v>
      </c>
      <c r="AU20" s="2207"/>
      <c r="AV20" s="2207"/>
      <c r="AW20" s="2207"/>
      <c r="AX20" s="2207"/>
      <c r="AY20" s="2208"/>
      <c r="AZ20" s="1203"/>
      <c r="BA20" s="1203"/>
      <c r="BB20" s="1203"/>
      <c r="BC20" s="1203"/>
      <c r="BD20" s="1203"/>
      <c r="BE20" s="1210"/>
    </row>
    <row r="21" spans="1:58" ht="15">
      <c r="A21" s="1203"/>
      <c r="B21" s="2200">
        <v>0.5</v>
      </c>
      <c r="C21" s="2201"/>
      <c r="D21" s="2201"/>
      <c r="E21" s="2201"/>
      <c r="F21" s="2201"/>
      <c r="G21" s="2201"/>
      <c r="H21" s="2201"/>
      <c r="I21" s="2202"/>
      <c r="J21" s="2203">
        <f t="shared" si="0"/>
        <v>24</v>
      </c>
      <c r="K21" s="2204"/>
      <c r="L21" s="2204"/>
      <c r="M21" s="2204"/>
      <c r="N21" s="2204"/>
      <c r="O21" s="2205"/>
      <c r="P21" s="2203" cm="1">
        <f t="array" ref="P21">SUMPRODUCT((Application!$B$726:$B$760 = 'CalHFA Addendum'!P$18)*(Application!$AC$726:$AC$760 = 'CalHFA Addendum'!$B21),Application!$G$726:$G$760)</f>
        <v>0</v>
      </c>
      <c r="Q21" s="2204"/>
      <c r="R21" s="2204"/>
      <c r="S21" s="2204"/>
      <c r="T21" s="2204"/>
      <c r="U21" s="2205"/>
      <c r="V21" s="2203" cm="1">
        <f t="array" ref="V21">SUMPRODUCT((Application!$B$726:$B$760 = 'CalHFA Addendum'!V$18)*(Application!$AC$726:$AC$760 = 'CalHFA Addendum'!$B21),Application!$G$726:$G$760)</f>
        <v>11</v>
      </c>
      <c r="W21" s="2204"/>
      <c r="X21" s="2204"/>
      <c r="Y21" s="2204"/>
      <c r="Z21" s="2204"/>
      <c r="AA21" s="2205"/>
      <c r="AB21" s="2203" cm="1">
        <f t="array" ref="AB21">SUMPRODUCT((Application!$B$726:$B$760 = 'CalHFA Addendum'!AB$18)*(Application!$AC$726:$AC$760 = 'CalHFA Addendum'!$B21),Application!$G$726:$G$760)</f>
        <v>6</v>
      </c>
      <c r="AC21" s="2204"/>
      <c r="AD21" s="2204"/>
      <c r="AE21" s="2204"/>
      <c r="AF21" s="2204"/>
      <c r="AG21" s="2205"/>
      <c r="AH21" s="2203" cm="1">
        <f t="array" ref="AH21">SUMPRODUCT((Application!$B$726:$B$760 = 'CalHFA Addendum'!AH$18)*(Application!$AC$726:$AC$760 = 'CalHFA Addendum'!$B21),Application!$G$726:$G$760)</f>
        <v>7</v>
      </c>
      <c r="AI21" s="2204"/>
      <c r="AJ21" s="2204"/>
      <c r="AK21" s="2204"/>
      <c r="AL21" s="2204"/>
      <c r="AM21" s="2205"/>
      <c r="AN21" s="2203" cm="1">
        <f t="array" ref="AN21">SUMPRODUCT((Application!$B$726:$B$760 = 'CalHFA Addendum'!AN$18)*(Application!$AC$726:$AC$760 = 'CalHFA Addendum'!$B21),Application!$G$726:$G$760)</f>
        <v>0</v>
      </c>
      <c r="AO21" s="2204"/>
      <c r="AP21" s="2204"/>
      <c r="AQ21" s="2204"/>
      <c r="AR21" s="2204"/>
      <c r="AS21" s="2205"/>
      <c r="AT21" s="2206">
        <f t="shared" si="1"/>
        <v>0.20168067226890757</v>
      </c>
      <c r="AU21" s="2207"/>
      <c r="AV21" s="2207"/>
      <c r="AW21" s="2207"/>
      <c r="AX21" s="2207"/>
      <c r="AY21" s="2208"/>
      <c r="AZ21" s="1203"/>
      <c r="BA21" s="1203"/>
      <c r="BB21" s="1203"/>
      <c r="BC21" s="1203"/>
      <c r="BD21" s="1203"/>
      <c r="BE21" s="1210"/>
    </row>
    <row r="22" spans="1:58" ht="15">
      <c r="A22" s="1203"/>
      <c r="B22" s="2200">
        <v>0.6</v>
      </c>
      <c r="C22" s="2201"/>
      <c r="D22" s="2201"/>
      <c r="E22" s="2201"/>
      <c r="F22" s="2201"/>
      <c r="G22" s="2201"/>
      <c r="H22" s="2201"/>
      <c r="I22" s="2202"/>
      <c r="J22" s="2203">
        <f t="shared" si="0"/>
        <v>60</v>
      </c>
      <c r="K22" s="2204"/>
      <c r="L22" s="2204"/>
      <c r="M22" s="2204"/>
      <c r="N22" s="2204"/>
      <c r="O22" s="2205"/>
      <c r="P22" s="2203" cm="1">
        <f t="array" ref="P22">SUMPRODUCT((Application!$B$726:$B$760 = 'CalHFA Addendum'!P$18)*(Application!$AC$726:$AC$760 = 'CalHFA Addendum'!$B22),Application!$G$726:$G$760)</f>
        <v>0</v>
      </c>
      <c r="Q22" s="2204"/>
      <c r="R22" s="2204"/>
      <c r="S22" s="2204"/>
      <c r="T22" s="2204"/>
      <c r="U22" s="2205"/>
      <c r="V22" s="2203" cm="1">
        <f t="array" ref="V22">SUMPRODUCT((Application!$B$726:$B$760 = 'CalHFA Addendum'!V$18)*(Application!$AC$726:$AC$760 = 'CalHFA Addendum'!$B22),Application!$G$726:$G$760)</f>
        <v>29</v>
      </c>
      <c r="W22" s="2204"/>
      <c r="X22" s="2204"/>
      <c r="Y22" s="2204"/>
      <c r="Z22" s="2204"/>
      <c r="AA22" s="2205"/>
      <c r="AB22" s="2203" cm="1">
        <f t="array" ref="AB22">SUMPRODUCT((Application!$B$726:$B$760 = 'CalHFA Addendum'!AB$18)*(Application!$AC$726:$AC$760 = 'CalHFA Addendum'!$B22),Application!$G$726:$G$760)</f>
        <v>15</v>
      </c>
      <c r="AC22" s="2204"/>
      <c r="AD22" s="2204"/>
      <c r="AE22" s="2204"/>
      <c r="AF22" s="2204"/>
      <c r="AG22" s="2205"/>
      <c r="AH22" s="2203" cm="1">
        <f t="array" ref="AH22">SUMPRODUCT((Application!$B$726:$B$760 = 'CalHFA Addendum'!AH$18)*(Application!$AC$726:$AC$760 = 'CalHFA Addendum'!$B22),Application!$G$726:$G$760)</f>
        <v>16</v>
      </c>
      <c r="AI22" s="2204"/>
      <c r="AJ22" s="2204"/>
      <c r="AK22" s="2204"/>
      <c r="AL22" s="2204"/>
      <c r="AM22" s="2205"/>
      <c r="AN22" s="2203" cm="1">
        <f t="array" ref="AN22">SUMPRODUCT((Application!$B$726:$B$760 = 'CalHFA Addendum'!AN$18)*(Application!$AC$726:$AC$760 = 'CalHFA Addendum'!$B22),Application!$G$726:$G$760)</f>
        <v>0</v>
      </c>
      <c r="AO22" s="2204"/>
      <c r="AP22" s="2204"/>
      <c r="AQ22" s="2204"/>
      <c r="AR22" s="2204"/>
      <c r="AS22" s="2205"/>
      <c r="AT22" s="2206">
        <f t="shared" si="1"/>
        <v>0.50420168067226889</v>
      </c>
      <c r="AU22" s="2207"/>
      <c r="AV22" s="2207"/>
      <c r="AW22" s="2207"/>
      <c r="AX22" s="2207"/>
      <c r="AY22" s="2208"/>
      <c r="AZ22" s="1203"/>
      <c r="BA22" s="1203"/>
      <c r="BB22" s="1203"/>
      <c r="BC22" s="1203"/>
      <c r="BD22" s="1203"/>
      <c r="BE22" s="1210"/>
    </row>
    <row r="23" spans="1:58" ht="15">
      <c r="A23" s="1203"/>
      <c r="B23" s="2200">
        <v>0.7</v>
      </c>
      <c r="C23" s="2201"/>
      <c r="D23" s="2201"/>
      <c r="E23" s="2201"/>
      <c r="F23" s="2201"/>
      <c r="G23" s="2201"/>
      <c r="H23" s="2201"/>
      <c r="I23" s="2202"/>
      <c r="J23" s="2203">
        <f t="shared" si="0"/>
        <v>22</v>
      </c>
      <c r="K23" s="2204"/>
      <c r="L23" s="2204"/>
      <c r="M23" s="2204"/>
      <c r="N23" s="2204"/>
      <c r="O23" s="2205"/>
      <c r="P23" s="2203" cm="1">
        <f t="array" ref="P23">SUMPRODUCT((Application!$B$726:$B$760 = 'CalHFA Addendum'!P$18)*(Application!$AC$726:$AC$760 = 'CalHFA Addendum'!$B23),Application!$G$726:$G$760)</f>
        <v>0</v>
      </c>
      <c r="Q23" s="2204"/>
      <c r="R23" s="2204"/>
      <c r="S23" s="2204"/>
      <c r="T23" s="2204"/>
      <c r="U23" s="2205"/>
      <c r="V23" s="2203" cm="1">
        <f t="array" ref="V23">SUMPRODUCT((Application!$B$726:$B$760 = 'CalHFA Addendum'!V$18)*(Application!$AC$726:$AC$760 = 'CalHFA Addendum'!$B23),Application!$G$726:$G$760)</f>
        <v>10</v>
      </c>
      <c r="W23" s="2204"/>
      <c r="X23" s="2204"/>
      <c r="Y23" s="2204"/>
      <c r="Z23" s="2204"/>
      <c r="AA23" s="2205"/>
      <c r="AB23" s="2203" cm="1">
        <f t="array" ref="AB23">SUMPRODUCT((Application!$B$726:$B$760 = 'CalHFA Addendum'!AB$18)*(Application!$AC$726:$AC$760 = 'CalHFA Addendum'!$B23),Application!$G$726:$G$760)</f>
        <v>6</v>
      </c>
      <c r="AC23" s="2204"/>
      <c r="AD23" s="2204"/>
      <c r="AE23" s="2204"/>
      <c r="AF23" s="2204"/>
      <c r="AG23" s="2205"/>
      <c r="AH23" s="2203" cm="1">
        <f t="array" ref="AH23">SUMPRODUCT((Application!$B$726:$B$760 = 'CalHFA Addendum'!AH$18)*(Application!$AC$726:$AC$760 = 'CalHFA Addendum'!$B23),Application!$G$726:$G$760)</f>
        <v>6</v>
      </c>
      <c r="AI23" s="2204"/>
      <c r="AJ23" s="2204"/>
      <c r="AK23" s="2204"/>
      <c r="AL23" s="2204"/>
      <c r="AM23" s="2205"/>
      <c r="AN23" s="2203" cm="1">
        <f t="array" ref="AN23">SUMPRODUCT((Application!$B$726:$B$760 = 'CalHFA Addendum'!AN$18)*(Application!$AC$726:$AC$760 = 'CalHFA Addendum'!$B23),Application!$G$726:$G$760)</f>
        <v>0</v>
      </c>
      <c r="AO23" s="2204"/>
      <c r="AP23" s="2204"/>
      <c r="AQ23" s="2204"/>
      <c r="AR23" s="2204"/>
      <c r="AS23" s="2205"/>
      <c r="AT23" s="2206">
        <f t="shared" si="1"/>
        <v>0.18487394957983194</v>
      </c>
      <c r="AU23" s="2207"/>
      <c r="AV23" s="2207"/>
      <c r="AW23" s="2207"/>
      <c r="AX23" s="2207"/>
      <c r="AY23" s="2208"/>
      <c r="AZ23" s="1203"/>
      <c r="BA23" s="1203"/>
      <c r="BB23" s="1203"/>
      <c r="BC23" s="1203"/>
      <c r="BD23" s="1203"/>
      <c r="BE23" s="1210"/>
    </row>
    <row r="24" spans="1:58" ht="15">
      <c r="A24" s="1203"/>
      <c r="B24" s="2200">
        <v>0.8</v>
      </c>
      <c r="C24" s="2201"/>
      <c r="D24" s="2201"/>
      <c r="E24" s="2201"/>
      <c r="F24" s="2201"/>
      <c r="G24" s="2201"/>
      <c r="H24" s="2201"/>
      <c r="I24" s="2202"/>
      <c r="J24" s="2203">
        <f t="shared" si="0"/>
        <v>0</v>
      </c>
      <c r="K24" s="2204"/>
      <c r="L24" s="2204"/>
      <c r="M24" s="2204"/>
      <c r="N24" s="2204"/>
      <c r="O24" s="2205"/>
      <c r="P24" s="2203" cm="1">
        <f t="array" ref="P24">SUMPRODUCT((Application!$B$726:$B$760 = 'CalHFA Addendum'!P$18)*(Application!$AC$726:$AC$760 = 'CalHFA Addendum'!$B24),Application!$G$726:$G$760)</f>
        <v>0</v>
      </c>
      <c r="Q24" s="2204"/>
      <c r="R24" s="2204"/>
      <c r="S24" s="2204"/>
      <c r="T24" s="2204"/>
      <c r="U24" s="2205"/>
      <c r="V24" s="2203" cm="1">
        <f t="array" ref="V24">SUMPRODUCT((Application!$B$726:$B$760 = 'CalHFA Addendum'!V$18)*(Application!$AC$726:$AC$760 = 'CalHFA Addendum'!$B24),Application!$G$726:$G$760)</f>
        <v>0</v>
      </c>
      <c r="W24" s="2204"/>
      <c r="X24" s="2204"/>
      <c r="Y24" s="2204"/>
      <c r="Z24" s="2204"/>
      <c r="AA24" s="2205"/>
      <c r="AB24" s="2203" cm="1">
        <f t="array" ref="AB24">SUMPRODUCT((Application!$B$726:$B$760 = 'CalHFA Addendum'!AB$18)*(Application!$AC$726:$AC$760 = 'CalHFA Addendum'!$B24),Application!$G$726:$G$760)</f>
        <v>0</v>
      </c>
      <c r="AC24" s="2204"/>
      <c r="AD24" s="2204"/>
      <c r="AE24" s="2204"/>
      <c r="AF24" s="2204"/>
      <c r="AG24" s="2205"/>
      <c r="AH24" s="2203" cm="1">
        <f t="array" ref="AH24">SUMPRODUCT((Application!$B$726:$B$760 = 'CalHFA Addendum'!AH$18)*(Application!$AC$726:$AC$760 = 'CalHFA Addendum'!$B24),Application!$G$726:$G$760)</f>
        <v>0</v>
      </c>
      <c r="AI24" s="2204"/>
      <c r="AJ24" s="2204"/>
      <c r="AK24" s="2204"/>
      <c r="AL24" s="2204"/>
      <c r="AM24" s="2205"/>
      <c r="AN24" s="2203" cm="1">
        <f t="array" ref="AN24">SUMPRODUCT((Application!$B$726:$B$760 = 'CalHFA Addendum'!AN$18)*(Application!$AC$726:$AC$760 = 'CalHFA Addendum'!$B24),Application!$G$726:$G$760)</f>
        <v>0</v>
      </c>
      <c r="AO24" s="2204"/>
      <c r="AP24" s="2204"/>
      <c r="AQ24" s="2204"/>
      <c r="AR24" s="2204"/>
      <c r="AS24" s="2205"/>
      <c r="AT24" s="2206">
        <f t="shared" si="1"/>
        <v>0</v>
      </c>
      <c r="AU24" s="2207"/>
      <c r="AV24" s="2207"/>
      <c r="AW24" s="2207"/>
      <c r="AX24" s="2207"/>
      <c r="AY24" s="2208"/>
      <c r="AZ24" s="1203"/>
      <c r="BA24" s="1203"/>
      <c r="BB24" s="1203"/>
      <c r="BC24" s="1203"/>
      <c r="BD24" s="1203"/>
      <c r="BE24" s="1210"/>
    </row>
    <row r="25" spans="1:58" ht="15">
      <c r="A25" s="1203"/>
      <c r="B25" s="2200">
        <v>0.9</v>
      </c>
      <c r="C25" s="2201"/>
      <c r="D25" s="2201"/>
      <c r="E25" s="2201"/>
      <c r="F25" s="2201"/>
      <c r="G25" s="2201"/>
      <c r="H25" s="2201"/>
      <c r="I25" s="2202"/>
      <c r="J25" s="2209"/>
      <c r="K25" s="2210"/>
      <c r="L25" s="2210"/>
      <c r="M25" s="2210"/>
      <c r="N25" s="2210"/>
      <c r="O25" s="2211"/>
      <c r="P25" s="2209"/>
      <c r="Q25" s="2210"/>
      <c r="R25" s="2210"/>
      <c r="S25" s="2210"/>
      <c r="T25" s="2210"/>
      <c r="U25" s="2211"/>
      <c r="V25" s="2209"/>
      <c r="W25" s="2210"/>
      <c r="X25" s="2210"/>
      <c r="Y25" s="2210"/>
      <c r="Z25" s="2210"/>
      <c r="AA25" s="2211"/>
      <c r="AB25" s="2209"/>
      <c r="AC25" s="2210"/>
      <c r="AD25" s="2210"/>
      <c r="AE25" s="2210"/>
      <c r="AF25" s="2210"/>
      <c r="AG25" s="2211"/>
      <c r="AH25" s="2209"/>
      <c r="AI25" s="2210"/>
      <c r="AJ25" s="2210"/>
      <c r="AK25" s="2210"/>
      <c r="AL25" s="2210"/>
      <c r="AM25" s="2211"/>
      <c r="AN25" s="2209"/>
      <c r="AO25" s="2210"/>
      <c r="AP25" s="2210"/>
      <c r="AQ25" s="2210"/>
      <c r="AR25" s="2210"/>
      <c r="AS25" s="2211"/>
      <c r="AT25" s="2206">
        <f t="shared" si="1"/>
        <v>0</v>
      </c>
      <c r="AU25" s="2207"/>
      <c r="AV25" s="2207"/>
      <c r="AW25" s="2207"/>
      <c r="AX25" s="2207"/>
      <c r="AY25" s="2208"/>
      <c r="AZ25" s="1203"/>
      <c r="BA25" s="1203"/>
      <c r="BB25" s="1203"/>
      <c r="BC25" s="1203"/>
      <c r="BD25" s="1203"/>
      <c r="BE25" s="1210"/>
    </row>
    <row r="26" spans="1:58" ht="15">
      <c r="A26" s="1203"/>
      <c r="B26" s="2200">
        <v>1</v>
      </c>
      <c r="C26" s="2201"/>
      <c r="D26" s="2201"/>
      <c r="E26" s="2201"/>
      <c r="F26" s="2201"/>
      <c r="G26" s="2201"/>
      <c r="H26" s="2201"/>
      <c r="I26" s="2202"/>
      <c r="J26" s="2209"/>
      <c r="K26" s="2210"/>
      <c r="L26" s="2210"/>
      <c r="M26" s="2210"/>
      <c r="N26" s="2210"/>
      <c r="O26" s="2211"/>
      <c r="P26" s="2209"/>
      <c r="Q26" s="2210"/>
      <c r="R26" s="2210"/>
      <c r="S26" s="2210"/>
      <c r="T26" s="2210"/>
      <c r="U26" s="2211"/>
      <c r="V26" s="2209"/>
      <c r="W26" s="2210"/>
      <c r="X26" s="2210"/>
      <c r="Y26" s="2210"/>
      <c r="Z26" s="2210"/>
      <c r="AA26" s="2211"/>
      <c r="AB26" s="2209"/>
      <c r="AC26" s="2210"/>
      <c r="AD26" s="2210"/>
      <c r="AE26" s="2210"/>
      <c r="AF26" s="2210"/>
      <c r="AG26" s="2211"/>
      <c r="AH26" s="2209"/>
      <c r="AI26" s="2210"/>
      <c r="AJ26" s="2210"/>
      <c r="AK26" s="2210"/>
      <c r="AL26" s="2210"/>
      <c r="AM26" s="2211"/>
      <c r="AN26" s="2209"/>
      <c r="AO26" s="2210"/>
      <c r="AP26" s="2210"/>
      <c r="AQ26" s="2210"/>
      <c r="AR26" s="2210"/>
      <c r="AS26" s="2211"/>
      <c r="AT26" s="2206">
        <f t="shared" si="1"/>
        <v>0</v>
      </c>
      <c r="AU26" s="2207"/>
      <c r="AV26" s="2207"/>
      <c r="AW26" s="2207"/>
      <c r="AX26" s="2207"/>
      <c r="AY26" s="2208"/>
      <c r="AZ26" s="1203"/>
      <c r="BA26" s="1203"/>
      <c r="BB26" s="1203"/>
      <c r="BC26" s="1203"/>
      <c r="BD26" s="1203"/>
      <c r="BE26" s="1210"/>
    </row>
    <row r="27" spans="1:58" ht="15">
      <c r="A27" s="1203"/>
      <c r="B27" s="2200">
        <v>1.2</v>
      </c>
      <c r="C27" s="2201"/>
      <c r="D27" s="2201"/>
      <c r="E27" s="2201"/>
      <c r="F27" s="2201"/>
      <c r="G27" s="2201"/>
      <c r="H27" s="2201"/>
      <c r="I27" s="2202"/>
      <c r="J27" s="2209"/>
      <c r="K27" s="2210"/>
      <c r="L27" s="2210"/>
      <c r="M27" s="2210"/>
      <c r="N27" s="2210"/>
      <c r="O27" s="2211"/>
      <c r="P27" s="2209"/>
      <c r="Q27" s="2210"/>
      <c r="R27" s="2210"/>
      <c r="S27" s="2210"/>
      <c r="T27" s="2210"/>
      <c r="U27" s="2211"/>
      <c r="V27" s="2209"/>
      <c r="W27" s="2210"/>
      <c r="X27" s="2210"/>
      <c r="Y27" s="2210"/>
      <c r="Z27" s="2210"/>
      <c r="AA27" s="2211"/>
      <c r="AB27" s="2209"/>
      <c r="AC27" s="2210"/>
      <c r="AD27" s="2210"/>
      <c r="AE27" s="2210"/>
      <c r="AF27" s="2210"/>
      <c r="AG27" s="2211"/>
      <c r="AH27" s="2209"/>
      <c r="AI27" s="2210"/>
      <c r="AJ27" s="2210"/>
      <c r="AK27" s="2210"/>
      <c r="AL27" s="2210"/>
      <c r="AM27" s="2211"/>
      <c r="AN27" s="2209"/>
      <c r="AO27" s="2210"/>
      <c r="AP27" s="2210"/>
      <c r="AQ27" s="2210"/>
      <c r="AR27" s="2210"/>
      <c r="AS27" s="2211"/>
      <c r="AT27" s="2206">
        <f t="shared" si="1"/>
        <v>0</v>
      </c>
      <c r="AU27" s="2207"/>
      <c r="AV27" s="2207"/>
      <c r="AW27" s="2207"/>
      <c r="AX27" s="2207"/>
      <c r="AY27" s="2208"/>
      <c r="AZ27" s="1203"/>
      <c r="BA27" s="1203"/>
      <c r="BB27" s="1203"/>
      <c r="BC27" s="1203"/>
      <c r="BD27" s="1203"/>
      <c r="BE27" s="1210"/>
    </row>
    <row r="28" spans="1:58" thickBot="1">
      <c r="A28" s="1203"/>
      <c r="B28" s="2212" t="s">
        <v>2355</v>
      </c>
      <c r="C28" s="2213"/>
      <c r="D28" s="2213"/>
      <c r="E28" s="2213"/>
      <c r="F28" s="2213"/>
      <c r="G28" s="2213"/>
      <c r="H28" s="2213"/>
      <c r="I28" s="2214"/>
      <c r="J28" s="2215">
        <f>SUM(P28:AS28)</f>
        <v>1</v>
      </c>
      <c r="K28" s="2216"/>
      <c r="L28" s="2216"/>
      <c r="M28" s="2216"/>
      <c r="N28" s="2216"/>
      <c r="O28" s="2217"/>
      <c r="P28" s="2215">
        <f>_xlfn.IFNA(VLOOKUP(P$18,Application!$J$781:$S$784,6,FALSE), 0)</f>
        <v>0</v>
      </c>
      <c r="Q28" s="2216"/>
      <c r="R28" s="2216"/>
      <c r="S28" s="2216"/>
      <c r="T28" s="2216"/>
      <c r="U28" s="2217"/>
      <c r="V28" s="2215">
        <f>_xlfn.IFNA(VLOOKUP(V$18,Application!$J$781:$S$784,6,FALSE), 0)</f>
        <v>0</v>
      </c>
      <c r="W28" s="2216"/>
      <c r="X28" s="2216"/>
      <c r="Y28" s="2216"/>
      <c r="Z28" s="2216"/>
      <c r="AA28" s="2217"/>
      <c r="AB28" s="2215">
        <f>_xlfn.IFNA(VLOOKUP(AB$18,Application!$J$781:$S$784,6,FALSE), 0)</f>
        <v>0</v>
      </c>
      <c r="AC28" s="2216"/>
      <c r="AD28" s="2216"/>
      <c r="AE28" s="2216"/>
      <c r="AF28" s="2216"/>
      <c r="AG28" s="2217"/>
      <c r="AH28" s="2215">
        <f>_xlfn.IFNA(VLOOKUP(AH$18,Application!$J$781:$S$784,6,FALSE), 0)</f>
        <v>1</v>
      </c>
      <c r="AI28" s="2216"/>
      <c r="AJ28" s="2216"/>
      <c r="AK28" s="2216"/>
      <c r="AL28" s="2216"/>
      <c r="AM28" s="2217"/>
      <c r="AN28" s="2215">
        <f>_xlfn.IFNA(VLOOKUP(AN$18,Application!$J$781:$S$784,6,FALSE), 0)</f>
        <v>0</v>
      </c>
      <c r="AO28" s="2216"/>
      <c r="AP28" s="2216"/>
      <c r="AQ28" s="2216"/>
      <c r="AR28" s="2216"/>
      <c r="AS28" s="2217"/>
      <c r="AT28" s="2218">
        <f t="shared" si="1"/>
        <v>8.4033613445378148E-3</v>
      </c>
      <c r="AU28" s="2219"/>
      <c r="AV28" s="2219"/>
      <c r="AW28" s="2219"/>
      <c r="AX28" s="2219"/>
      <c r="AY28" s="2220"/>
      <c r="AZ28" s="1203"/>
      <c r="BA28" s="1203"/>
      <c r="BB28" s="1203"/>
      <c r="BC28" s="1203"/>
      <c r="BD28" s="1203"/>
      <c r="BE28" s="1210"/>
    </row>
    <row r="29" spans="1:58" thickBot="1">
      <c r="A29" s="1203"/>
      <c r="B29" s="2249" t="s">
        <v>1572</v>
      </c>
      <c r="C29" s="2222"/>
      <c r="D29" s="2222"/>
      <c r="E29" s="2222"/>
      <c r="F29" s="2222"/>
      <c r="G29" s="2222"/>
      <c r="H29" s="2222"/>
      <c r="I29" s="2223"/>
      <c r="J29" s="2221">
        <f>SUM(J19:O28)</f>
        <v>119</v>
      </c>
      <c r="K29" s="2222"/>
      <c r="L29" s="2222"/>
      <c r="M29" s="2222"/>
      <c r="N29" s="2222"/>
      <c r="O29" s="2223"/>
      <c r="P29" s="2221">
        <f>SUM(P19:U28)</f>
        <v>0</v>
      </c>
      <c r="Q29" s="2222"/>
      <c r="R29" s="2222"/>
      <c r="S29" s="2222"/>
      <c r="T29" s="2222"/>
      <c r="U29" s="2223"/>
      <c r="V29" s="2221">
        <f>SUM(V19:AA28)</f>
        <v>56</v>
      </c>
      <c r="W29" s="2222"/>
      <c r="X29" s="2222"/>
      <c r="Y29" s="2222"/>
      <c r="Z29" s="2222"/>
      <c r="AA29" s="2223"/>
      <c r="AB29" s="2221">
        <f>SUM(AB19:AG28)</f>
        <v>30</v>
      </c>
      <c r="AC29" s="2222"/>
      <c r="AD29" s="2222"/>
      <c r="AE29" s="2222"/>
      <c r="AF29" s="2222"/>
      <c r="AG29" s="2223"/>
      <c r="AH29" s="2221">
        <f>SUM(AH19:AM28)</f>
        <v>33</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203"/>
      <c r="BA29" s="1203"/>
      <c r="BB29" s="1203"/>
      <c r="BC29" s="1203"/>
      <c r="BD29" s="1203"/>
      <c r="BE29" s="1210"/>
    </row>
    <row r="30" spans="1:58" thickBot="1">
      <c r="A30" s="1202"/>
      <c r="B30" s="1203"/>
      <c r="C30" s="1203"/>
      <c r="D30" s="1203"/>
      <c r="E30" s="1203"/>
      <c r="F30" s="1203"/>
      <c r="G30" s="1203"/>
      <c r="H30" s="1203"/>
      <c r="I30" s="1203"/>
      <c r="J30" s="1203"/>
      <c r="K30" s="1203"/>
      <c r="L30" s="1203"/>
      <c r="M30" s="1203"/>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03"/>
      <c r="AM30" s="1203"/>
      <c r="AN30" s="1203"/>
      <c r="AO30" s="1203"/>
      <c r="AP30" s="1203"/>
      <c r="AQ30" s="1203"/>
      <c r="AR30" s="1203"/>
      <c r="AS30" s="1203"/>
      <c r="AT30" s="1203"/>
      <c r="AU30" s="1203"/>
      <c r="AV30" s="1203"/>
      <c r="AW30" s="1203"/>
      <c r="AX30" s="1203"/>
      <c r="AY30" s="1203"/>
      <c r="AZ30" s="1203"/>
      <c r="BA30" s="1203"/>
      <c r="BB30" s="1203"/>
      <c r="BC30" s="1203"/>
      <c r="BD30" s="1203"/>
      <c r="BE30" s="1210"/>
    </row>
    <row r="31" spans="1:58" thickBot="1">
      <c r="A31" s="1203"/>
      <c r="B31" s="2227" t="s">
        <v>2354</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210"/>
    </row>
    <row r="32" spans="1:58" thickBot="1">
      <c r="A32" s="1203"/>
      <c r="B32" s="2230" t="s">
        <v>2353</v>
      </c>
      <c r="C32" s="2231"/>
      <c r="D32" s="2231"/>
      <c r="E32" s="2231"/>
      <c r="F32" s="2231"/>
      <c r="G32" s="2231"/>
      <c r="H32" s="2231"/>
      <c r="I32" s="2231"/>
      <c r="J32" s="2234" t="s">
        <v>2352</v>
      </c>
      <c r="K32" s="2235"/>
      <c r="L32" s="2235"/>
      <c r="M32" s="2235"/>
      <c r="N32" s="2234" t="s">
        <v>2351</v>
      </c>
      <c r="O32" s="2235"/>
      <c r="P32" s="2235"/>
      <c r="Q32" s="2237"/>
      <c r="R32" s="2239" t="s">
        <v>2350</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210"/>
    </row>
    <row r="33" spans="1:58" ht="15" customHeight="1">
      <c r="A33" s="1203"/>
      <c r="B33" s="2232"/>
      <c r="C33" s="2233"/>
      <c r="D33" s="2233"/>
      <c r="E33" s="2233"/>
      <c r="F33" s="2233"/>
      <c r="G33" s="2233"/>
      <c r="H33" s="2233"/>
      <c r="I33" s="2233"/>
      <c r="J33" s="2236"/>
      <c r="K33" s="2236"/>
      <c r="L33" s="2236"/>
      <c r="M33" s="2236"/>
      <c r="N33" s="2236"/>
      <c r="O33" s="2236"/>
      <c r="P33" s="2236"/>
      <c r="Q33" s="2238"/>
      <c r="R33" s="2242" t="s">
        <v>2349</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210"/>
    </row>
    <row r="34" spans="1:58" ht="15.75" customHeight="1" thickBot="1">
      <c r="A34" s="1203"/>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210"/>
    </row>
    <row r="35" spans="1:58" ht="15.75" customHeight="1">
      <c r="A35" s="1203"/>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2348</v>
      </c>
      <c r="AT35" s="2251"/>
      <c r="AU35" s="2251"/>
      <c r="AV35" s="2251"/>
      <c r="AW35" s="2251"/>
      <c r="AX35" s="2259"/>
      <c r="AY35" s="2250" t="s">
        <v>2347</v>
      </c>
      <c r="AZ35" s="2251"/>
      <c r="BA35" s="2251"/>
      <c r="BB35" s="2251"/>
      <c r="BC35" s="2251"/>
      <c r="BD35" s="2252"/>
      <c r="BE35" s="1210"/>
    </row>
    <row r="36" spans="1:58" ht="15.75" customHeight="1">
      <c r="A36" s="1203"/>
      <c r="B36" s="2269" t="s">
        <v>2346</v>
      </c>
      <c r="C36" s="2270"/>
      <c r="D36" s="2270"/>
      <c r="E36" s="2270"/>
      <c r="F36" s="2270"/>
      <c r="G36" s="2270"/>
      <c r="H36" s="2270"/>
      <c r="I36" s="2270"/>
      <c r="J36" s="2271" t="s">
        <v>2345</v>
      </c>
      <c r="K36" s="2271"/>
      <c r="L36" s="2271"/>
      <c r="M36" s="2271"/>
      <c r="N36" s="2271">
        <v>55</v>
      </c>
      <c r="O36" s="2271"/>
      <c r="P36" s="2271"/>
      <c r="Q36" s="2271"/>
      <c r="R36" s="2272"/>
      <c r="S36" s="2272"/>
      <c r="T36" s="2272"/>
      <c r="U36" s="2272"/>
      <c r="V36" s="2272"/>
      <c r="W36" s="2272"/>
      <c r="X36" s="2272"/>
      <c r="Y36" s="2272"/>
      <c r="Z36" s="2272">
        <f>118*0.1</f>
        <v>11.8</v>
      </c>
      <c r="AA36" s="2272"/>
      <c r="AB36" s="2272"/>
      <c r="AC36" s="2272"/>
      <c r="AD36" s="2272">
        <v>36</v>
      </c>
      <c r="AE36" s="2272"/>
      <c r="AF36" s="2272"/>
      <c r="AG36" s="2272"/>
      <c r="AH36" s="2272"/>
      <c r="AI36" s="2272"/>
      <c r="AJ36" s="2272"/>
      <c r="AK36" s="2272"/>
      <c r="AL36" s="2260"/>
      <c r="AM36" s="2261"/>
      <c r="AN36" s="2261"/>
      <c r="AO36" s="2262"/>
      <c r="AP36" s="2260"/>
      <c r="AQ36" s="2261"/>
      <c r="AR36" s="2262"/>
      <c r="AS36" s="2263">
        <f t="shared" ref="AS36:AS47" si="2">SUM(R36:AR36)</f>
        <v>47.8</v>
      </c>
      <c r="AT36" s="2264"/>
      <c r="AU36" s="2264"/>
      <c r="AV36" s="2264"/>
      <c r="AW36" s="2264"/>
      <c r="AX36" s="2265"/>
      <c r="AY36" s="2266">
        <f t="shared" ref="AY36:AY47" si="3">AS36/$J$29</f>
        <v>0.40168067226890752</v>
      </c>
      <c r="AZ36" s="2267"/>
      <c r="BA36" s="2267"/>
      <c r="BB36" s="2267"/>
      <c r="BC36" s="2267"/>
      <c r="BD36" s="2268"/>
      <c r="BE36" s="1210"/>
    </row>
    <row r="37" spans="1:58" ht="15.75" customHeight="1">
      <c r="A37" s="1203"/>
      <c r="B37" s="2269" t="s">
        <v>2344</v>
      </c>
      <c r="C37" s="2270"/>
      <c r="D37" s="2270"/>
      <c r="E37" s="2270"/>
      <c r="F37" s="2270"/>
      <c r="G37" s="2270"/>
      <c r="H37" s="2270"/>
      <c r="I37" s="2270"/>
      <c r="J37" s="2271" t="s">
        <v>2343</v>
      </c>
      <c r="K37" s="2271"/>
      <c r="L37" s="2271"/>
      <c r="M37" s="2271"/>
      <c r="N37" s="2271">
        <v>55</v>
      </c>
      <c r="O37" s="2271"/>
      <c r="P37" s="2271"/>
      <c r="Q37" s="2271"/>
      <c r="R37" s="2272">
        <f>118*0.1</f>
        <v>11.8</v>
      </c>
      <c r="S37" s="2272"/>
      <c r="T37" s="2272"/>
      <c r="U37" s="2272"/>
      <c r="V37" s="2272"/>
      <c r="W37" s="2272"/>
      <c r="X37" s="2272"/>
      <c r="Y37" s="2272"/>
      <c r="Z37" s="2272">
        <v>24</v>
      </c>
      <c r="AA37" s="2272"/>
      <c r="AB37" s="2272"/>
      <c r="AC37" s="2272"/>
      <c r="AD37" s="2272"/>
      <c r="AE37" s="2272"/>
      <c r="AF37" s="2272"/>
      <c r="AG37" s="2272"/>
      <c r="AH37" s="2272">
        <v>12</v>
      </c>
      <c r="AI37" s="2272"/>
      <c r="AJ37" s="2272"/>
      <c r="AK37" s="2272"/>
      <c r="AL37" s="2260"/>
      <c r="AM37" s="2261"/>
      <c r="AN37" s="2261"/>
      <c r="AO37" s="2262"/>
      <c r="AP37" s="2260">
        <v>70</v>
      </c>
      <c r="AQ37" s="2261"/>
      <c r="AR37" s="2262"/>
      <c r="AS37" s="2263">
        <f t="shared" si="2"/>
        <v>117.8</v>
      </c>
      <c r="AT37" s="2264"/>
      <c r="AU37" s="2264"/>
      <c r="AV37" s="2264"/>
      <c r="AW37" s="2264"/>
      <c r="AX37" s="2265"/>
      <c r="AY37" s="2266">
        <f t="shared" si="3"/>
        <v>0.98991596638655455</v>
      </c>
      <c r="AZ37" s="2267"/>
      <c r="BA37" s="2267"/>
      <c r="BB37" s="2267"/>
      <c r="BC37" s="2267"/>
      <c r="BD37" s="2268"/>
      <c r="BE37" s="1210"/>
    </row>
    <row r="38" spans="1:58" ht="15.75" customHeight="1">
      <c r="A38" s="1203"/>
      <c r="B38" s="2269" t="s">
        <v>2342</v>
      </c>
      <c r="C38" s="2270"/>
      <c r="D38" s="2270"/>
      <c r="E38" s="2270"/>
      <c r="F38" s="2270"/>
      <c r="G38" s="2270"/>
      <c r="H38" s="2270"/>
      <c r="I38" s="2270"/>
      <c r="J38" s="2271" t="s">
        <v>2341</v>
      </c>
      <c r="K38" s="2271"/>
      <c r="L38" s="2271"/>
      <c r="M38" s="2271"/>
      <c r="N38" s="2271">
        <v>55</v>
      </c>
      <c r="O38" s="2271"/>
      <c r="P38" s="2271"/>
      <c r="Q38" s="2271"/>
      <c r="R38" s="2272">
        <f>J19</f>
        <v>12</v>
      </c>
      <c r="S38" s="2272"/>
      <c r="T38" s="2272"/>
      <c r="U38" s="2272"/>
      <c r="V38" s="2272"/>
      <c r="W38" s="2272"/>
      <c r="X38" s="2272"/>
      <c r="Y38" s="2272"/>
      <c r="Z38" s="2272">
        <f>J21</f>
        <v>24</v>
      </c>
      <c r="AA38" s="2272"/>
      <c r="AB38" s="2272"/>
      <c r="AC38" s="2272"/>
      <c r="AD38" s="2272">
        <f>J22</f>
        <v>60</v>
      </c>
      <c r="AE38" s="2272"/>
      <c r="AF38" s="2272"/>
      <c r="AG38" s="2272"/>
      <c r="AH38" s="2272">
        <f>J23</f>
        <v>22</v>
      </c>
      <c r="AI38" s="2272"/>
      <c r="AJ38" s="2272"/>
      <c r="AK38" s="2272"/>
      <c r="AL38" s="2260"/>
      <c r="AM38" s="2261"/>
      <c r="AN38" s="2261"/>
      <c r="AO38" s="2262"/>
      <c r="AP38" s="2260"/>
      <c r="AQ38" s="2261"/>
      <c r="AR38" s="2262"/>
      <c r="AS38" s="2263">
        <f t="shared" si="2"/>
        <v>118</v>
      </c>
      <c r="AT38" s="2264"/>
      <c r="AU38" s="2264"/>
      <c r="AV38" s="2264"/>
      <c r="AW38" s="2264"/>
      <c r="AX38" s="2265"/>
      <c r="AY38" s="2266">
        <f t="shared" si="3"/>
        <v>0.99159663865546221</v>
      </c>
      <c r="AZ38" s="2267"/>
      <c r="BA38" s="2267"/>
      <c r="BB38" s="2267"/>
      <c r="BC38" s="2267"/>
      <c r="BD38" s="2268"/>
      <c r="BE38" s="1210"/>
    </row>
    <row r="39" spans="1:58" ht="15.75" customHeight="1">
      <c r="A39" s="1203"/>
      <c r="B39" s="2269" t="s">
        <v>2340</v>
      </c>
      <c r="C39" s="2270"/>
      <c r="D39" s="2270"/>
      <c r="E39" s="2270"/>
      <c r="F39" s="2270"/>
      <c r="G39" s="2270"/>
      <c r="H39" s="2270"/>
      <c r="I39" s="2270"/>
      <c r="J39" s="2271"/>
      <c r="K39" s="2271"/>
      <c r="L39" s="2271"/>
      <c r="M39" s="2271"/>
      <c r="N39" s="2271"/>
      <c r="O39" s="2271"/>
      <c r="P39" s="2271"/>
      <c r="Q39" s="2271"/>
      <c r="R39" s="2272"/>
      <c r="S39" s="2272"/>
      <c r="T39" s="2272"/>
      <c r="U39" s="2272"/>
      <c r="V39" s="2272"/>
      <c r="W39" s="2272"/>
      <c r="X39" s="2272"/>
      <c r="Y39" s="2272"/>
      <c r="Z39" s="2272"/>
      <c r="AA39" s="2272"/>
      <c r="AB39" s="2272"/>
      <c r="AC39" s="2272"/>
      <c r="AD39" s="2272"/>
      <c r="AE39" s="2272"/>
      <c r="AF39" s="2272"/>
      <c r="AG39" s="2272"/>
      <c r="AH39" s="2272"/>
      <c r="AI39" s="2272"/>
      <c r="AJ39" s="2272"/>
      <c r="AK39" s="2272"/>
      <c r="AL39" s="2260"/>
      <c r="AM39" s="2261"/>
      <c r="AN39" s="2261"/>
      <c r="AO39" s="2262"/>
      <c r="AP39" s="2260"/>
      <c r="AQ39" s="2261"/>
      <c r="AR39" s="2262"/>
      <c r="AS39" s="2263">
        <f t="shared" si="2"/>
        <v>0</v>
      </c>
      <c r="AT39" s="2264"/>
      <c r="AU39" s="2264"/>
      <c r="AV39" s="2264"/>
      <c r="AW39" s="2264"/>
      <c r="AX39" s="2265"/>
      <c r="AY39" s="2266">
        <f t="shared" si="3"/>
        <v>0</v>
      </c>
      <c r="AZ39" s="2267"/>
      <c r="BA39" s="2267"/>
      <c r="BB39" s="2267"/>
      <c r="BC39" s="2267"/>
      <c r="BD39" s="2268"/>
      <c r="BE39" s="1210"/>
    </row>
    <row r="40" spans="1:58" ht="15.75" customHeight="1">
      <c r="A40" s="1203"/>
      <c r="B40" s="2269" t="s">
        <v>2340</v>
      </c>
      <c r="C40" s="2270"/>
      <c r="D40" s="2270"/>
      <c r="E40" s="2270"/>
      <c r="F40" s="2270"/>
      <c r="G40" s="2270"/>
      <c r="H40" s="2270"/>
      <c r="I40" s="2270"/>
      <c r="J40" s="2271"/>
      <c r="K40" s="2271"/>
      <c r="L40" s="2271"/>
      <c r="M40" s="2271"/>
      <c r="N40" s="2271"/>
      <c r="O40" s="2271"/>
      <c r="P40" s="2271"/>
      <c r="Q40" s="2271"/>
      <c r="R40" s="2272"/>
      <c r="S40" s="2272"/>
      <c r="T40" s="2272"/>
      <c r="U40" s="2272"/>
      <c r="V40" s="2272"/>
      <c r="W40" s="2272"/>
      <c r="X40" s="2272"/>
      <c r="Y40" s="2272"/>
      <c r="Z40" s="2272"/>
      <c r="AA40" s="2272"/>
      <c r="AB40" s="2272"/>
      <c r="AC40" s="2272"/>
      <c r="AD40" s="2272"/>
      <c r="AE40" s="2272"/>
      <c r="AF40" s="2272"/>
      <c r="AG40" s="2272"/>
      <c r="AH40" s="2272"/>
      <c r="AI40" s="2272"/>
      <c r="AJ40" s="2272"/>
      <c r="AK40" s="2272"/>
      <c r="AL40" s="2260"/>
      <c r="AM40" s="2261"/>
      <c r="AN40" s="2261"/>
      <c r="AO40" s="2262"/>
      <c r="AP40" s="2260"/>
      <c r="AQ40" s="2261"/>
      <c r="AR40" s="2262"/>
      <c r="AS40" s="2263">
        <f t="shared" si="2"/>
        <v>0</v>
      </c>
      <c r="AT40" s="2264"/>
      <c r="AU40" s="2264"/>
      <c r="AV40" s="2264"/>
      <c r="AW40" s="2264"/>
      <c r="AX40" s="2265"/>
      <c r="AY40" s="2266">
        <f t="shared" si="3"/>
        <v>0</v>
      </c>
      <c r="AZ40" s="2267"/>
      <c r="BA40" s="2267"/>
      <c r="BB40" s="2267"/>
      <c r="BC40" s="2267"/>
      <c r="BD40" s="2268"/>
      <c r="BE40" s="1210"/>
    </row>
    <row r="41" spans="1:58" ht="15.75" customHeight="1">
      <c r="A41" s="1203"/>
      <c r="B41" s="2269" t="s">
        <v>2339</v>
      </c>
      <c r="C41" s="2270"/>
      <c r="D41" s="2270"/>
      <c r="E41" s="2270"/>
      <c r="F41" s="2270"/>
      <c r="G41" s="2270"/>
      <c r="H41" s="2270"/>
      <c r="I41" s="2270"/>
      <c r="J41" s="2271"/>
      <c r="K41" s="2271"/>
      <c r="L41" s="2271"/>
      <c r="M41" s="2271"/>
      <c r="N41" s="2271"/>
      <c r="O41" s="2271"/>
      <c r="P41" s="2271"/>
      <c r="Q41" s="2271"/>
      <c r="R41" s="2272"/>
      <c r="S41" s="2272"/>
      <c r="T41" s="2272"/>
      <c r="U41" s="2272"/>
      <c r="V41" s="2272"/>
      <c r="W41" s="2272"/>
      <c r="X41" s="2272"/>
      <c r="Y41" s="2272"/>
      <c r="Z41" s="2272"/>
      <c r="AA41" s="2272"/>
      <c r="AB41" s="2272"/>
      <c r="AC41" s="2272"/>
      <c r="AD41" s="2272"/>
      <c r="AE41" s="2272"/>
      <c r="AF41" s="2272"/>
      <c r="AG41" s="2272"/>
      <c r="AH41" s="2272"/>
      <c r="AI41" s="2272"/>
      <c r="AJ41" s="2272"/>
      <c r="AK41" s="2272"/>
      <c r="AL41" s="2260"/>
      <c r="AM41" s="2261"/>
      <c r="AN41" s="2261"/>
      <c r="AO41" s="2262"/>
      <c r="AP41" s="2260"/>
      <c r="AQ41" s="2261"/>
      <c r="AR41" s="2262"/>
      <c r="AS41" s="2263">
        <f t="shared" si="2"/>
        <v>0</v>
      </c>
      <c r="AT41" s="2264"/>
      <c r="AU41" s="2264"/>
      <c r="AV41" s="2264"/>
      <c r="AW41" s="2264"/>
      <c r="AX41" s="2265"/>
      <c r="AY41" s="2266">
        <f t="shared" si="3"/>
        <v>0</v>
      </c>
      <c r="AZ41" s="2267"/>
      <c r="BA41" s="2267"/>
      <c r="BB41" s="2267"/>
      <c r="BC41" s="2267"/>
      <c r="BD41" s="2268"/>
      <c r="BE41" s="1210"/>
    </row>
    <row r="42" spans="1:58" ht="15.75" customHeight="1">
      <c r="A42" s="1203"/>
      <c r="B42" s="2269" t="s">
        <v>2339</v>
      </c>
      <c r="C42" s="2270"/>
      <c r="D42" s="2270"/>
      <c r="E42" s="2270"/>
      <c r="F42" s="2270"/>
      <c r="G42" s="2270"/>
      <c r="H42" s="2270"/>
      <c r="I42" s="2270"/>
      <c r="J42" s="2271"/>
      <c r="K42" s="2271"/>
      <c r="L42" s="2271"/>
      <c r="M42" s="2271"/>
      <c r="N42" s="2271"/>
      <c r="O42" s="2271"/>
      <c r="P42" s="2271"/>
      <c r="Q42" s="2271"/>
      <c r="R42" s="2272"/>
      <c r="S42" s="2272"/>
      <c r="T42" s="2272"/>
      <c r="U42" s="2272"/>
      <c r="V42" s="2272"/>
      <c r="W42" s="2272"/>
      <c r="X42" s="2272"/>
      <c r="Y42" s="2272"/>
      <c r="Z42" s="2272"/>
      <c r="AA42" s="2272"/>
      <c r="AB42" s="2272"/>
      <c r="AC42" s="2272"/>
      <c r="AD42" s="2272"/>
      <c r="AE42" s="2272"/>
      <c r="AF42" s="2272"/>
      <c r="AG42" s="2272"/>
      <c r="AH42" s="2272"/>
      <c r="AI42" s="2272"/>
      <c r="AJ42" s="2272"/>
      <c r="AK42" s="2272"/>
      <c r="AL42" s="2260"/>
      <c r="AM42" s="2261"/>
      <c r="AN42" s="2261"/>
      <c r="AO42" s="2262"/>
      <c r="AP42" s="2260"/>
      <c r="AQ42" s="2261"/>
      <c r="AR42" s="2262"/>
      <c r="AS42" s="2263">
        <f t="shared" si="2"/>
        <v>0</v>
      </c>
      <c r="AT42" s="2264"/>
      <c r="AU42" s="2264"/>
      <c r="AV42" s="2264"/>
      <c r="AW42" s="2264"/>
      <c r="AX42" s="2265"/>
      <c r="AY42" s="2266">
        <f t="shared" si="3"/>
        <v>0</v>
      </c>
      <c r="AZ42" s="2267"/>
      <c r="BA42" s="2267"/>
      <c r="BB42" s="2267"/>
      <c r="BC42" s="2267"/>
      <c r="BD42" s="2268"/>
      <c r="BE42" s="1210"/>
    </row>
    <row r="43" spans="1:58" ht="15.75" customHeight="1">
      <c r="A43" s="1203"/>
      <c r="B43" s="2273" t="s">
        <v>2338</v>
      </c>
      <c r="C43" s="2274"/>
      <c r="D43" s="2274"/>
      <c r="E43" s="2274"/>
      <c r="F43" s="2274"/>
      <c r="G43" s="2274"/>
      <c r="H43" s="2274"/>
      <c r="I43" s="2274"/>
      <c r="J43" s="2271"/>
      <c r="K43" s="2271"/>
      <c r="L43" s="2271"/>
      <c r="M43" s="2271"/>
      <c r="N43" s="2271"/>
      <c r="O43" s="2271"/>
      <c r="P43" s="2271"/>
      <c r="Q43" s="2271"/>
      <c r="R43" s="2272"/>
      <c r="S43" s="2272"/>
      <c r="T43" s="2272"/>
      <c r="U43" s="2272"/>
      <c r="V43" s="2272"/>
      <c r="W43" s="2272"/>
      <c r="X43" s="2272"/>
      <c r="Y43" s="2272"/>
      <c r="Z43" s="2272"/>
      <c r="AA43" s="2272"/>
      <c r="AB43" s="2272"/>
      <c r="AC43" s="2272"/>
      <c r="AD43" s="2272"/>
      <c r="AE43" s="2272"/>
      <c r="AF43" s="2272"/>
      <c r="AG43" s="2272"/>
      <c r="AH43" s="2272"/>
      <c r="AI43" s="2272"/>
      <c r="AJ43" s="2272"/>
      <c r="AK43" s="2272"/>
      <c r="AL43" s="2260"/>
      <c r="AM43" s="2261"/>
      <c r="AN43" s="2261"/>
      <c r="AO43" s="2262"/>
      <c r="AP43" s="2260"/>
      <c r="AQ43" s="2261"/>
      <c r="AR43" s="2262"/>
      <c r="AS43" s="2263">
        <f t="shared" si="2"/>
        <v>0</v>
      </c>
      <c r="AT43" s="2264"/>
      <c r="AU43" s="2264"/>
      <c r="AV43" s="2264"/>
      <c r="AW43" s="2264"/>
      <c r="AX43" s="2265"/>
      <c r="AY43" s="2266">
        <f t="shared" si="3"/>
        <v>0</v>
      </c>
      <c r="AZ43" s="2267"/>
      <c r="BA43" s="2267"/>
      <c r="BB43" s="2267"/>
      <c r="BC43" s="2267"/>
      <c r="BD43" s="2268"/>
      <c r="BE43" s="1210"/>
    </row>
    <row r="44" spans="1:58" ht="15.75" customHeight="1">
      <c r="A44" s="1203"/>
      <c r="B44" s="2273" t="s">
        <v>2337</v>
      </c>
      <c r="C44" s="2274"/>
      <c r="D44" s="2274"/>
      <c r="E44" s="2274"/>
      <c r="F44" s="2274"/>
      <c r="G44" s="2274"/>
      <c r="H44" s="2274"/>
      <c r="I44" s="2274"/>
      <c r="J44" s="2271"/>
      <c r="K44" s="2271"/>
      <c r="L44" s="2271"/>
      <c r="M44" s="2271"/>
      <c r="N44" s="2271"/>
      <c r="O44" s="2271"/>
      <c r="P44" s="2271"/>
      <c r="Q44" s="2271"/>
      <c r="R44" s="2272"/>
      <c r="S44" s="2272"/>
      <c r="T44" s="2272"/>
      <c r="U44" s="2272"/>
      <c r="V44" s="2272"/>
      <c r="W44" s="2272"/>
      <c r="X44" s="2272"/>
      <c r="Y44" s="2272"/>
      <c r="Z44" s="2272"/>
      <c r="AA44" s="2272"/>
      <c r="AB44" s="2272"/>
      <c r="AC44" s="2272"/>
      <c r="AD44" s="2272">
        <v>96</v>
      </c>
      <c r="AE44" s="2272"/>
      <c r="AF44" s="2272"/>
      <c r="AG44" s="2272"/>
      <c r="AH44" s="2272"/>
      <c r="AI44" s="2272"/>
      <c r="AJ44" s="2272"/>
      <c r="AK44" s="2272"/>
      <c r="AL44" s="2260">
        <v>18</v>
      </c>
      <c r="AM44" s="2261"/>
      <c r="AN44" s="2261"/>
      <c r="AO44" s="2262"/>
      <c r="AP44" s="2260"/>
      <c r="AQ44" s="2261"/>
      <c r="AR44" s="2262"/>
      <c r="AS44" s="2263">
        <f t="shared" si="2"/>
        <v>114</v>
      </c>
      <c r="AT44" s="2264"/>
      <c r="AU44" s="2264"/>
      <c r="AV44" s="2264"/>
      <c r="AW44" s="2264"/>
      <c r="AX44" s="2265"/>
      <c r="AY44" s="2266">
        <f t="shared" si="3"/>
        <v>0.95798319327731096</v>
      </c>
      <c r="AZ44" s="2267"/>
      <c r="BA44" s="2267"/>
      <c r="BB44" s="2267"/>
      <c r="BC44" s="2267"/>
      <c r="BD44" s="2268"/>
      <c r="BE44" s="1210"/>
    </row>
    <row r="45" spans="1:58" ht="15.75" customHeight="1">
      <c r="A45" s="1203"/>
      <c r="B45" s="2273" t="s">
        <v>2336</v>
      </c>
      <c r="C45" s="2274"/>
      <c r="D45" s="2274"/>
      <c r="E45" s="2274"/>
      <c r="F45" s="2274"/>
      <c r="G45" s="2274"/>
      <c r="H45" s="2274"/>
      <c r="I45" s="2274"/>
      <c r="J45" s="2271"/>
      <c r="K45" s="2271"/>
      <c r="L45" s="2271"/>
      <c r="M45" s="2271"/>
      <c r="N45" s="2271"/>
      <c r="O45" s="2271"/>
      <c r="P45" s="2271"/>
      <c r="Q45" s="2271"/>
      <c r="R45" s="2272"/>
      <c r="S45" s="2272"/>
      <c r="T45" s="2272"/>
      <c r="U45" s="2272"/>
      <c r="V45" s="2272"/>
      <c r="W45" s="2272"/>
      <c r="X45" s="2272"/>
      <c r="Y45" s="2272"/>
      <c r="Z45" s="2272"/>
      <c r="AA45" s="2272"/>
      <c r="AB45" s="2272"/>
      <c r="AC45" s="2272"/>
      <c r="AD45" s="2272"/>
      <c r="AE45" s="2272"/>
      <c r="AF45" s="2272"/>
      <c r="AG45" s="2272"/>
      <c r="AH45" s="2272"/>
      <c r="AI45" s="2272"/>
      <c r="AJ45" s="2272"/>
      <c r="AK45" s="2272"/>
      <c r="AL45" s="2260"/>
      <c r="AM45" s="2261"/>
      <c r="AN45" s="2261"/>
      <c r="AO45" s="2262"/>
      <c r="AP45" s="2260"/>
      <c r="AQ45" s="2261"/>
      <c r="AR45" s="2262"/>
      <c r="AS45" s="2263">
        <f t="shared" si="2"/>
        <v>0</v>
      </c>
      <c r="AT45" s="2264"/>
      <c r="AU45" s="2264"/>
      <c r="AV45" s="2264"/>
      <c r="AW45" s="2264"/>
      <c r="AX45" s="2265"/>
      <c r="AY45" s="2266">
        <f t="shared" si="3"/>
        <v>0</v>
      </c>
      <c r="AZ45" s="2267"/>
      <c r="BA45" s="2267"/>
      <c r="BB45" s="2267"/>
      <c r="BC45" s="2267"/>
      <c r="BD45" s="2268"/>
      <c r="BE45" s="1210"/>
    </row>
    <row r="46" spans="1:58" ht="15.75" customHeight="1">
      <c r="A46" s="1203"/>
      <c r="B46" s="2273" t="s">
        <v>2272</v>
      </c>
      <c r="C46" s="2274"/>
      <c r="D46" s="2274"/>
      <c r="E46" s="2274"/>
      <c r="F46" s="2274"/>
      <c r="G46" s="2274"/>
      <c r="H46" s="2274"/>
      <c r="I46" s="2274"/>
      <c r="J46" s="2271"/>
      <c r="K46" s="2271"/>
      <c r="L46" s="2271"/>
      <c r="M46" s="2271"/>
      <c r="N46" s="2271"/>
      <c r="O46" s="2271"/>
      <c r="P46" s="2271"/>
      <c r="Q46" s="2271"/>
      <c r="R46" s="2272"/>
      <c r="S46" s="2272"/>
      <c r="T46" s="2272"/>
      <c r="U46" s="2272"/>
      <c r="V46" s="2272"/>
      <c r="W46" s="2272"/>
      <c r="X46" s="2272"/>
      <c r="Y46" s="2272"/>
      <c r="Z46" s="2272"/>
      <c r="AA46" s="2272"/>
      <c r="AB46" s="2272"/>
      <c r="AC46" s="2272"/>
      <c r="AD46" s="2272"/>
      <c r="AE46" s="2272"/>
      <c r="AF46" s="2272"/>
      <c r="AG46" s="2272"/>
      <c r="AH46" s="2272"/>
      <c r="AI46" s="2272"/>
      <c r="AJ46" s="2272"/>
      <c r="AK46" s="2272"/>
      <c r="AL46" s="2260"/>
      <c r="AM46" s="2261"/>
      <c r="AN46" s="2261"/>
      <c r="AO46" s="2262"/>
      <c r="AP46" s="2260"/>
      <c r="AQ46" s="2261"/>
      <c r="AR46" s="2262"/>
      <c r="AS46" s="2263">
        <f t="shared" si="2"/>
        <v>0</v>
      </c>
      <c r="AT46" s="2264"/>
      <c r="AU46" s="2264"/>
      <c r="AV46" s="2264"/>
      <c r="AW46" s="2264"/>
      <c r="AX46" s="2265"/>
      <c r="AY46" s="2266">
        <f t="shared" si="3"/>
        <v>0</v>
      </c>
      <c r="AZ46" s="2267"/>
      <c r="BA46" s="2267"/>
      <c r="BB46" s="2267"/>
      <c r="BC46" s="2267"/>
      <c r="BD46" s="2268"/>
      <c r="BE46" s="1210"/>
    </row>
    <row r="47" spans="1:58" ht="15.75" customHeight="1" thickBot="1">
      <c r="A47" s="1203"/>
      <c r="B47" s="2275" t="s">
        <v>299</v>
      </c>
      <c r="C47" s="2276"/>
      <c r="D47" s="2276"/>
      <c r="E47" s="2276"/>
      <c r="F47" s="2276"/>
      <c r="G47" s="2276"/>
      <c r="H47" s="2276"/>
      <c r="I47" s="2276"/>
      <c r="J47" s="2277"/>
      <c r="K47" s="2277"/>
      <c r="L47" s="2277"/>
      <c r="M47" s="2277"/>
      <c r="N47" s="2277"/>
      <c r="O47" s="2277"/>
      <c r="P47" s="2277"/>
      <c r="Q47" s="2277"/>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82"/>
      <c r="AM47" s="2283"/>
      <c r="AN47" s="2283"/>
      <c r="AO47" s="2284"/>
      <c r="AP47" s="2282"/>
      <c r="AQ47" s="2283"/>
      <c r="AR47" s="2284"/>
      <c r="AS47" s="2263">
        <f t="shared" si="2"/>
        <v>0</v>
      </c>
      <c r="AT47" s="2264"/>
      <c r="AU47" s="2264"/>
      <c r="AV47" s="2264"/>
      <c r="AW47" s="2264"/>
      <c r="AX47" s="2265"/>
      <c r="AY47" s="2279">
        <f t="shared" si="3"/>
        <v>0</v>
      </c>
      <c r="AZ47" s="2280"/>
      <c r="BA47" s="2280"/>
      <c r="BB47" s="2280"/>
      <c r="BC47" s="2280"/>
      <c r="BD47" s="2281"/>
      <c r="BE47" s="1210"/>
    </row>
    <row r="48" spans="1:58" ht="15.75" customHeight="1">
      <c r="A48" s="1203"/>
      <c r="B48" s="1212" t="s">
        <v>2335</v>
      </c>
      <c r="C48" s="1203"/>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3"/>
      <c r="AE48" s="1203"/>
      <c r="AF48" s="1203"/>
      <c r="AG48" s="1203"/>
      <c r="AH48" s="1203"/>
      <c r="AI48" s="1203"/>
      <c r="AJ48" s="1203"/>
      <c r="AK48" s="1203"/>
      <c r="AL48" s="1203"/>
      <c r="AM48" s="1203"/>
      <c r="AN48" s="1203"/>
      <c r="AO48" s="1203"/>
      <c r="AP48" s="1203"/>
      <c r="AQ48" s="1203"/>
      <c r="AR48" s="1203"/>
      <c r="AS48" s="1203"/>
      <c r="AT48" s="1203"/>
      <c r="AU48" s="1203"/>
      <c r="AV48" s="1203"/>
      <c r="AW48" s="1203"/>
      <c r="AX48" s="1203"/>
      <c r="AY48" s="1203"/>
      <c r="AZ48" s="1203"/>
      <c r="BA48" s="1203"/>
      <c r="BB48" s="1203"/>
      <c r="BC48" s="1203"/>
      <c r="BD48" s="1203"/>
      <c r="BE48" s="1210"/>
      <c r="BF48" s="1201"/>
    </row>
    <row r="49" spans="1:77" ht="15.75" customHeight="1" thickBot="1">
      <c r="A49" s="1203"/>
      <c r="B49" s="1212" t="s">
        <v>2334</v>
      </c>
      <c r="C49" s="1203"/>
      <c r="D49" s="1203"/>
      <c r="E49" s="1203"/>
      <c r="F49" s="1203"/>
      <c r="G49" s="1203"/>
      <c r="H49" s="1203"/>
      <c r="I49" s="1203"/>
      <c r="J49" s="1203"/>
      <c r="K49" s="1203"/>
      <c r="L49" s="1203"/>
      <c r="M49" s="1203"/>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3"/>
      <c r="AL49" s="1203"/>
      <c r="AM49" s="1203"/>
      <c r="AN49" s="1203"/>
      <c r="AO49" s="1203"/>
      <c r="AP49" s="1204"/>
      <c r="AQ49" s="1204"/>
      <c r="AR49" s="1204"/>
      <c r="AS49" s="1204"/>
      <c r="AT49" s="1204"/>
      <c r="AU49" s="1204"/>
      <c r="AV49" s="1204"/>
      <c r="AW49" s="1204"/>
      <c r="AX49" s="1203"/>
      <c r="AY49" s="1203"/>
      <c r="AZ49" s="1203"/>
      <c r="BA49" s="1203"/>
      <c r="BB49" s="1203"/>
      <c r="BC49" s="1203"/>
      <c r="BD49" s="1203"/>
      <c r="BE49" s="1210"/>
      <c r="BF49" s="1201"/>
    </row>
    <row r="50" spans="1:77" ht="15.75" customHeight="1">
      <c r="A50" s="1203"/>
      <c r="B50" s="2285" t="s">
        <v>2333</v>
      </c>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c r="AO50" s="2287"/>
      <c r="AP50" s="1204"/>
      <c r="AQ50" s="1204"/>
      <c r="AR50" s="1204"/>
      <c r="AS50" s="1204"/>
      <c r="AT50" s="1204"/>
      <c r="AU50" s="1204"/>
      <c r="AV50" s="1204"/>
      <c r="AW50" s="1204"/>
      <c r="AX50" s="1203"/>
      <c r="AY50" s="1203"/>
      <c r="AZ50" s="1203"/>
      <c r="BA50" s="1203"/>
      <c r="BB50" s="1203"/>
      <c r="BC50" s="1203"/>
      <c r="BD50" s="1203"/>
      <c r="BE50" s="1210"/>
    </row>
    <row r="51" spans="1:77" ht="33.75" customHeight="1">
      <c r="A51" s="1203"/>
      <c r="B51" s="2288" t="s">
        <v>2327</v>
      </c>
      <c r="C51" s="2289"/>
      <c r="D51" s="2289"/>
      <c r="E51" s="2289"/>
      <c r="F51" s="2289"/>
      <c r="G51" s="2289"/>
      <c r="H51" s="2289"/>
      <c r="I51" s="2289"/>
      <c r="J51" s="2289" t="s">
        <v>2332</v>
      </c>
      <c r="K51" s="2289"/>
      <c r="L51" s="2289"/>
      <c r="M51" s="2289"/>
      <c r="N51" s="2289"/>
      <c r="O51" s="2289"/>
      <c r="P51" s="2289"/>
      <c r="Q51" s="2289"/>
      <c r="R51" s="2290" t="s">
        <v>2331</v>
      </c>
      <c r="S51" s="2290"/>
      <c r="T51" s="2290"/>
      <c r="U51" s="2290"/>
      <c r="V51" s="2290"/>
      <c r="W51" s="2290"/>
      <c r="X51" s="2290"/>
      <c r="Y51" s="2290"/>
      <c r="Z51" s="2290" t="s">
        <v>2330</v>
      </c>
      <c r="AA51" s="2290"/>
      <c r="AB51" s="2290"/>
      <c r="AC51" s="2290"/>
      <c r="AD51" s="2290"/>
      <c r="AE51" s="2290"/>
      <c r="AF51" s="2290"/>
      <c r="AG51" s="2290"/>
      <c r="AH51" s="2290" t="s">
        <v>2329</v>
      </c>
      <c r="AI51" s="2290"/>
      <c r="AJ51" s="2290"/>
      <c r="AK51" s="2290"/>
      <c r="AL51" s="2290"/>
      <c r="AM51" s="2290"/>
      <c r="AN51" s="2290"/>
      <c r="AO51" s="2291"/>
      <c r="AP51" s="1204"/>
      <c r="AQ51" s="1204"/>
      <c r="AR51" s="1204"/>
      <c r="AS51" s="1204"/>
      <c r="AT51" s="1204"/>
      <c r="AU51" s="1204"/>
      <c r="AV51" s="1204"/>
      <c r="AW51" s="1204"/>
      <c r="AX51" s="1211"/>
      <c r="AY51" s="1203"/>
      <c r="AZ51" s="1203"/>
      <c r="BA51" s="1203"/>
      <c r="BB51" s="1203"/>
      <c r="BC51" s="1203"/>
      <c r="BD51" s="1203"/>
      <c r="BE51" s="1210"/>
    </row>
    <row r="52" spans="1:77" ht="15.75" customHeight="1">
      <c r="A52" s="1203"/>
      <c r="B52" s="2273" t="s">
        <v>2659</v>
      </c>
      <c r="C52" s="2274"/>
      <c r="D52" s="2274"/>
      <c r="E52" s="2274"/>
      <c r="F52" s="2274"/>
      <c r="G52" s="2274"/>
      <c r="H52" s="2274"/>
      <c r="I52" s="2274"/>
      <c r="J52" s="2292">
        <v>55</v>
      </c>
      <c r="K52" s="2292"/>
      <c r="L52" s="2292"/>
      <c r="M52" s="2292"/>
      <c r="N52" s="2292"/>
      <c r="O52" s="2292"/>
      <c r="P52" s="2292"/>
      <c r="Q52" s="2292"/>
      <c r="R52" s="2293">
        <v>28000</v>
      </c>
      <c r="S52" s="2293"/>
      <c r="T52" s="2293"/>
      <c r="U52" s="2293"/>
      <c r="V52" s="2293"/>
      <c r="W52" s="2293"/>
      <c r="X52" s="2293"/>
      <c r="Y52" s="2293"/>
      <c r="Z52" s="2294">
        <v>12</v>
      </c>
      <c r="AA52" s="2294"/>
      <c r="AB52" s="2294"/>
      <c r="AC52" s="2294"/>
      <c r="AD52" s="2294"/>
      <c r="AE52" s="2294"/>
      <c r="AF52" s="2294"/>
      <c r="AG52" s="2294"/>
      <c r="AH52" s="2295"/>
      <c r="AI52" s="2295"/>
      <c r="AJ52" s="2295"/>
      <c r="AK52" s="2295"/>
      <c r="AL52" s="2295"/>
      <c r="AM52" s="2295"/>
      <c r="AN52" s="2295"/>
      <c r="AO52" s="2296"/>
      <c r="AP52" s="1204"/>
      <c r="AQ52" s="1204"/>
      <c r="AR52" s="1204"/>
      <c r="AS52" s="1204"/>
      <c r="AT52" s="1204"/>
      <c r="AU52" s="1204"/>
      <c r="AV52" s="1204"/>
      <c r="AW52" s="1204"/>
      <c r="AX52" s="1211"/>
      <c r="AY52" s="1203"/>
      <c r="AZ52" s="1203"/>
      <c r="BA52" s="1203"/>
      <c r="BB52" s="1203"/>
      <c r="BC52" s="1203"/>
      <c r="BD52" s="1203"/>
      <c r="BE52" s="1210"/>
    </row>
    <row r="53" spans="1:77" ht="15.75" customHeight="1">
      <c r="A53" s="1203"/>
      <c r="B53" s="2273" t="s">
        <v>2328</v>
      </c>
      <c r="C53" s="2274"/>
      <c r="D53" s="2274"/>
      <c r="E53" s="2274"/>
      <c r="F53" s="2274"/>
      <c r="G53" s="2274"/>
      <c r="H53" s="2274"/>
      <c r="I53" s="2274"/>
      <c r="J53" s="2292">
        <v>0</v>
      </c>
      <c r="K53" s="2292"/>
      <c r="L53" s="2292"/>
      <c r="M53" s="2292"/>
      <c r="N53" s="2292"/>
      <c r="O53" s="2292"/>
      <c r="P53" s="2292"/>
      <c r="Q53" s="2292"/>
      <c r="R53" s="2293">
        <v>0</v>
      </c>
      <c r="S53" s="2293"/>
      <c r="T53" s="2293"/>
      <c r="U53" s="2293"/>
      <c r="V53" s="2293"/>
      <c r="W53" s="2293"/>
      <c r="X53" s="2293"/>
      <c r="Y53" s="2293"/>
      <c r="Z53" s="2294">
        <v>0</v>
      </c>
      <c r="AA53" s="2294"/>
      <c r="AB53" s="2294"/>
      <c r="AC53" s="2294"/>
      <c r="AD53" s="2294"/>
      <c r="AE53" s="2294"/>
      <c r="AF53" s="2294"/>
      <c r="AG53" s="2294"/>
      <c r="AH53" s="2295"/>
      <c r="AI53" s="2295"/>
      <c r="AJ53" s="2295"/>
      <c r="AK53" s="2295"/>
      <c r="AL53" s="2295"/>
      <c r="AM53" s="2295"/>
      <c r="AN53" s="2295"/>
      <c r="AO53" s="2296"/>
      <c r="AP53" s="1204"/>
      <c r="AQ53" s="1204"/>
      <c r="AR53" s="1204"/>
      <c r="AS53" s="1204"/>
      <c r="AT53" s="1204"/>
      <c r="AU53" s="1204"/>
      <c r="AV53" s="1204"/>
      <c r="AW53" s="1204"/>
      <c r="AX53" s="1203"/>
      <c r="AY53" s="1203"/>
      <c r="AZ53" s="1203"/>
      <c r="BA53" s="1203"/>
      <c r="BB53" s="1203"/>
      <c r="BC53" s="1203"/>
      <c r="BD53" s="1203"/>
      <c r="BE53" s="1210"/>
    </row>
    <row r="54" spans="1:77" ht="15.75" customHeight="1">
      <c r="A54" s="1203"/>
      <c r="B54" s="2273"/>
      <c r="C54" s="2274"/>
      <c r="D54" s="2274"/>
      <c r="E54" s="2274"/>
      <c r="F54" s="2274"/>
      <c r="G54" s="2274"/>
      <c r="H54" s="2274"/>
      <c r="I54" s="2274"/>
      <c r="J54" s="2292"/>
      <c r="K54" s="2292"/>
      <c r="L54" s="2292"/>
      <c r="M54" s="2292"/>
      <c r="N54" s="2292"/>
      <c r="O54" s="2292"/>
      <c r="P54" s="2292"/>
      <c r="Q54" s="2292"/>
      <c r="R54" s="2293"/>
      <c r="S54" s="2293"/>
      <c r="T54" s="2293"/>
      <c r="U54" s="2293"/>
      <c r="V54" s="2293"/>
      <c r="W54" s="2293"/>
      <c r="X54" s="2293"/>
      <c r="Y54" s="2293"/>
      <c r="Z54" s="2294"/>
      <c r="AA54" s="2294"/>
      <c r="AB54" s="2294"/>
      <c r="AC54" s="2294"/>
      <c r="AD54" s="2294"/>
      <c r="AE54" s="2294"/>
      <c r="AF54" s="2294"/>
      <c r="AG54" s="2294"/>
      <c r="AH54" s="2295"/>
      <c r="AI54" s="2295"/>
      <c r="AJ54" s="2295"/>
      <c r="AK54" s="2295"/>
      <c r="AL54" s="2295"/>
      <c r="AM54" s="2295"/>
      <c r="AN54" s="2295"/>
      <c r="AO54" s="2296"/>
      <c r="AP54" s="1204"/>
      <c r="AQ54" s="1204"/>
      <c r="AR54" s="1204"/>
      <c r="AS54" s="1204"/>
      <c r="AT54" s="1204"/>
      <c r="AU54" s="1204"/>
      <c r="AV54" s="1204"/>
      <c r="AW54" s="1204"/>
      <c r="AX54" s="1203"/>
      <c r="AY54" s="1203"/>
      <c r="AZ54" s="1203"/>
      <c r="BA54" s="1203"/>
      <c r="BB54" s="1203"/>
      <c r="BC54" s="1203"/>
      <c r="BD54" s="1203"/>
      <c r="BE54" s="1210"/>
    </row>
    <row r="55" spans="1:77" ht="15.75" customHeight="1">
      <c r="A55" s="1203"/>
      <c r="B55" s="2273"/>
      <c r="C55" s="2274"/>
      <c r="D55" s="2274"/>
      <c r="E55" s="2274"/>
      <c r="F55" s="2274"/>
      <c r="G55" s="2274"/>
      <c r="H55" s="2274"/>
      <c r="I55" s="2274"/>
      <c r="J55" s="2292"/>
      <c r="K55" s="2292"/>
      <c r="L55" s="2292"/>
      <c r="M55" s="2292"/>
      <c r="N55" s="2292"/>
      <c r="O55" s="2292"/>
      <c r="P55" s="2292"/>
      <c r="Q55" s="2292"/>
      <c r="R55" s="2293"/>
      <c r="S55" s="2293"/>
      <c r="T55" s="2293"/>
      <c r="U55" s="2293"/>
      <c r="V55" s="2293"/>
      <c r="W55" s="2293"/>
      <c r="X55" s="2293"/>
      <c r="Y55" s="2293"/>
      <c r="Z55" s="2294"/>
      <c r="AA55" s="2294"/>
      <c r="AB55" s="2294"/>
      <c r="AC55" s="2294"/>
      <c r="AD55" s="2294"/>
      <c r="AE55" s="2294"/>
      <c r="AF55" s="2294"/>
      <c r="AG55" s="2294"/>
      <c r="AH55" s="2295"/>
      <c r="AI55" s="2295"/>
      <c r="AJ55" s="2295"/>
      <c r="AK55" s="2295"/>
      <c r="AL55" s="2295"/>
      <c r="AM55" s="2295"/>
      <c r="AN55" s="2295"/>
      <c r="AO55" s="2296"/>
      <c r="AP55" s="1204"/>
      <c r="AQ55" s="1204"/>
      <c r="AR55" s="1204"/>
      <c r="AS55" s="1204"/>
      <c r="AT55" s="1204" t="s">
        <v>249</v>
      </c>
      <c r="AU55" s="1204"/>
      <c r="AV55" s="1204"/>
      <c r="AW55" s="1204"/>
      <c r="AX55" s="1203"/>
      <c r="AY55" s="1203"/>
      <c r="AZ55" s="1203"/>
      <c r="BA55" s="1203"/>
      <c r="BB55" s="1203"/>
      <c r="BC55" s="1203"/>
      <c r="BD55" s="1203"/>
      <c r="BE55" s="1210"/>
    </row>
    <row r="56" spans="1:77" ht="15.75" customHeight="1">
      <c r="A56" s="1203"/>
      <c r="B56" s="2273"/>
      <c r="C56" s="2274"/>
      <c r="D56" s="2274"/>
      <c r="E56" s="2274"/>
      <c r="F56" s="2274"/>
      <c r="G56" s="2274"/>
      <c r="H56" s="2274"/>
      <c r="I56" s="2274"/>
      <c r="J56" s="2292"/>
      <c r="K56" s="2292"/>
      <c r="L56" s="2292"/>
      <c r="M56" s="2292"/>
      <c r="N56" s="2292"/>
      <c r="O56" s="2292"/>
      <c r="P56" s="2292"/>
      <c r="Q56" s="2292"/>
      <c r="R56" s="2293"/>
      <c r="S56" s="2293"/>
      <c r="T56" s="2293"/>
      <c r="U56" s="2293"/>
      <c r="V56" s="2293"/>
      <c r="W56" s="2293"/>
      <c r="X56" s="2293"/>
      <c r="Y56" s="2293"/>
      <c r="Z56" s="2294"/>
      <c r="AA56" s="2294"/>
      <c r="AB56" s="2294"/>
      <c r="AC56" s="2294"/>
      <c r="AD56" s="2294"/>
      <c r="AE56" s="2294"/>
      <c r="AF56" s="2294"/>
      <c r="AG56" s="2294"/>
      <c r="AH56" s="2295"/>
      <c r="AI56" s="2295"/>
      <c r="AJ56" s="2295"/>
      <c r="AK56" s="2295"/>
      <c r="AL56" s="2295"/>
      <c r="AM56" s="2295"/>
      <c r="AN56" s="2295"/>
      <c r="AO56" s="2296"/>
      <c r="AP56" s="1204"/>
      <c r="AQ56" s="1204"/>
      <c r="AR56" s="1204"/>
      <c r="AS56" s="1204"/>
      <c r="AT56" s="1204"/>
      <c r="AU56" s="1204"/>
      <c r="AV56" s="1204"/>
      <c r="AW56" s="1204"/>
      <c r="AX56" s="1203"/>
      <c r="AY56" s="1203"/>
      <c r="AZ56" s="1203"/>
      <c r="BA56" s="1203"/>
      <c r="BB56" s="1203"/>
      <c r="BC56" s="1203"/>
      <c r="BD56" s="1203"/>
      <c r="BE56" s="1210"/>
    </row>
    <row r="57" spans="1:77" s="1214" customFormat="1" ht="15.75" customHeight="1" thickBot="1">
      <c r="A57" s="1204"/>
      <c r="B57" s="2306" t="s">
        <v>1572</v>
      </c>
      <c r="C57" s="2307"/>
      <c r="D57" s="2307"/>
      <c r="E57" s="2307"/>
      <c r="F57" s="2307"/>
      <c r="G57" s="2307"/>
      <c r="H57" s="2307"/>
      <c r="I57" s="2307"/>
      <c r="J57" s="2307"/>
      <c r="K57" s="2307"/>
      <c r="L57" s="2307"/>
      <c r="M57" s="2307"/>
      <c r="N57" s="2307"/>
      <c r="O57" s="2307"/>
      <c r="P57" s="2307"/>
      <c r="Q57" s="2307"/>
      <c r="R57" s="2308">
        <f>SUM(R52:Y56)</f>
        <v>28000</v>
      </c>
      <c r="S57" s="2308"/>
      <c r="T57" s="2308"/>
      <c r="U57" s="2308"/>
      <c r="V57" s="2308"/>
      <c r="W57" s="2308"/>
      <c r="X57" s="2308"/>
      <c r="Y57" s="2308"/>
      <c r="Z57" s="2309">
        <f>SUM(Z52:AG56)</f>
        <v>12</v>
      </c>
      <c r="AA57" s="2309"/>
      <c r="AB57" s="2309"/>
      <c r="AC57" s="2309"/>
      <c r="AD57" s="2309"/>
      <c r="AE57" s="2309"/>
      <c r="AF57" s="2309"/>
      <c r="AG57" s="2309"/>
      <c r="AH57" s="2310"/>
      <c r="AI57" s="2310"/>
      <c r="AJ57" s="2310"/>
      <c r="AK57" s="2310"/>
      <c r="AL57" s="2310"/>
      <c r="AM57" s="2310"/>
      <c r="AN57" s="2310"/>
      <c r="AO57" s="2311"/>
      <c r="AP57" s="1204"/>
      <c r="AQ57" s="1204"/>
      <c r="AR57" s="1204"/>
      <c r="AS57" s="1204"/>
      <c r="AT57" s="1204"/>
      <c r="AU57" s="1204"/>
      <c r="AV57" s="1204"/>
      <c r="AW57" s="1204"/>
      <c r="AX57" s="1204"/>
      <c r="AY57" s="1204"/>
      <c r="AZ57" s="1204"/>
      <c r="BA57" s="1204"/>
      <c r="BB57" s="1204"/>
      <c r="BC57" s="1204"/>
      <c r="BD57" s="1204"/>
      <c r="BE57" s="1213"/>
      <c r="BN57" s="1215"/>
      <c r="BO57" s="1215"/>
      <c r="BP57" s="1215"/>
      <c r="BQ57" s="1215"/>
      <c r="BR57" s="1215"/>
      <c r="BS57" s="1215"/>
      <c r="BT57" s="1215"/>
      <c r="BU57" s="1215"/>
      <c r="BV57" s="1215"/>
      <c r="BW57" s="1215"/>
      <c r="BX57" s="1215"/>
      <c r="BY57" s="1215"/>
    </row>
    <row r="58" spans="1:77" ht="15.75" customHeight="1" thickBot="1">
      <c r="A58" s="1203"/>
      <c r="B58" s="1203"/>
      <c r="C58" s="1203"/>
      <c r="D58" s="1203"/>
      <c r="E58" s="1203"/>
      <c r="F58" s="1203"/>
      <c r="G58" s="1203"/>
      <c r="H58" s="1203"/>
      <c r="I58" s="1203"/>
      <c r="J58" s="1203"/>
      <c r="K58" s="1203"/>
      <c r="L58" s="1203"/>
      <c r="M58" s="1203"/>
      <c r="N58" s="1203"/>
      <c r="O58" s="1203"/>
      <c r="P58" s="1203"/>
      <c r="Q58" s="1203"/>
      <c r="R58" s="1203"/>
      <c r="S58" s="1203"/>
      <c r="T58" s="1203"/>
      <c r="U58" s="1203"/>
      <c r="V58" s="1203"/>
      <c r="W58" s="1203"/>
      <c r="X58" s="1203"/>
      <c r="Y58" s="1203"/>
      <c r="Z58" s="1203"/>
      <c r="AA58" s="1203"/>
      <c r="AB58" s="1203"/>
      <c r="AC58" s="1203"/>
      <c r="AD58" s="1203"/>
      <c r="AE58" s="1203"/>
      <c r="AF58" s="1203"/>
      <c r="AG58" s="1203"/>
      <c r="AH58" s="1203"/>
      <c r="AI58" s="1203"/>
      <c r="AJ58" s="1203"/>
      <c r="AK58" s="1203"/>
      <c r="AL58" s="1203"/>
      <c r="AM58" s="1203"/>
      <c r="AN58" s="1203"/>
      <c r="AO58" s="1203"/>
      <c r="AP58" s="1203"/>
      <c r="AQ58" s="1203"/>
      <c r="AR58" s="1203"/>
      <c r="AS58" s="1203"/>
      <c r="AT58" s="1203"/>
      <c r="AU58" s="1203"/>
      <c r="AV58" s="1203"/>
      <c r="AW58" s="1203"/>
      <c r="AX58" s="1203"/>
      <c r="AY58" s="1203"/>
      <c r="AZ58" s="1203"/>
      <c r="BA58" s="1203"/>
      <c r="BB58" s="1203"/>
      <c r="BC58" s="1203"/>
      <c r="BD58" s="1203"/>
      <c r="BE58" s="1210"/>
    </row>
    <row r="59" spans="1:77" ht="15.75" customHeight="1">
      <c r="A59" s="1203"/>
      <c r="B59" s="2297" t="s">
        <v>2327</v>
      </c>
      <c r="C59" s="2298"/>
      <c r="D59" s="2298"/>
      <c r="E59" s="2298"/>
      <c r="F59" s="2298"/>
      <c r="G59" s="2298"/>
      <c r="H59" s="2298"/>
      <c r="I59" s="2299"/>
      <c r="J59" s="2191" t="s">
        <v>2326</v>
      </c>
      <c r="K59" s="2191"/>
      <c r="L59" s="2191"/>
      <c r="M59" s="2191"/>
      <c r="N59" s="2191"/>
      <c r="O59" s="2191"/>
      <c r="P59" s="2191"/>
      <c r="Q59" s="2191"/>
      <c r="R59" s="2191"/>
      <c r="S59" s="2191"/>
      <c r="T59" s="2191"/>
      <c r="U59" s="2191"/>
      <c r="V59" s="2191"/>
      <c r="W59" s="2191"/>
      <c r="X59" s="2191"/>
      <c r="Y59" s="2191"/>
      <c r="Z59" s="2191"/>
      <c r="AA59" s="2191"/>
      <c r="AB59" s="2191"/>
      <c r="AC59" s="2191"/>
      <c r="AD59" s="2191"/>
      <c r="AE59" s="2191"/>
      <c r="AF59" s="2191"/>
      <c r="AG59" s="2191"/>
      <c r="AH59" s="2191"/>
      <c r="AI59" s="2191"/>
      <c r="AJ59" s="2191"/>
      <c r="AK59" s="2191"/>
      <c r="AL59" s="2191"/>
      <c r="AM59" s="2191"/>
      <c r="AN59" s="2191"/>
      <c r="AO59" s="2191"/>
      <c r="AP59" s="2191"/>
      <c r="AQ59" s="2191"/>
      <c r="AR59" s="2191"/>
      <c r="AS59" s="2191"/>
      <c r="AT59" s="2191"/>
      <c r="AU59" s="2191"/>
      <c r="AV59" s="2191"/>
      <c r="AW59" s="2192"/>
      <c r="AX59" s="1203"/>
      <c r="AY59" s="1203"/>
      <c r="AZ59" s="1203"/>
      <c r="BA59" s="1203"/>
      <c r="BB59" s="1203"/>
      <c r="BC59" s="1203"/>
      <c r="BD59" s="1203"/>
      <c r="BE59" s="1210"/>
    </row>
    <row r="60" spans="1:77" ht="15.75" customHeight="1">
      <c r="A60" s="1203"/>
      <c r="B60" s="2300" t="str">
        <f>IF(B52="", "", B52)</f>
        <v>Pacific Housing, Inc.</v>
      </c>
      <c r="C60" s="2301"/>
      <c r="D60" s="2301"/>
      <c r="E60" s="2301"/>
      <c r="F60" s="2301"/>
      <c r="G60" s="2301"/>
      <c r="H60" s="2301"/>
      <c r="I60" s="2302"/>
      <c r="J60" s="2303" t="s">
        <v>2764</v>
      </c>
      <c r="K60" s="2304"/>
      <c r="L60" s="2304"/>
      <c r="M60" s="2304"/>
      <c r="N60" s="2304"/>
      <c r="O60" s="2304"/>
      <c r="P60" s="2304"/>
      <c r="Q60" s="2304"/>
      <c r="R60" s="2304"/>
      <c r="S60" s="2304"/>
      <c r="T60" s="2304"/>
      <c r="U60" s="2304"/>
      <c r="V60" s="2304"/>
      <c r="W60" s="2304"/>
      <c r="X60" s="2304"/>
      <c r="Y60" s="2304"/>
      <c r="Z60" s="2304"/>
      <c r="AA60" s="2304"/>
      <c r="AB60" s="2304"/>
      <c r="AC60" s="2304"/>
      <c r="AD60" s="2304"/>
      <c r="AE60" s="2304"/>
      <c r="AF60" s="2304"/>
      <c r="AG60" s="2304"/>
      <c r="AH60" s="2304"/>
      <c r="AI60" s="2304"/>
      <c r="AJ60" s="2304"/>
      <c r="AK60" s="2304"/>
      <c r="AL60" s="2304"/>
      <c r="AM60" s="2304"/>
      <c r="AN60" s="2304"/>
      <c r="AO60" s="2304"/>
      <c r="AP60" s="2304"/>
      <c r="AQ60" s="2304"/>
      <c r="AR60" s="2304"/>
      <c r="AS60" s="2304"/>
      <c r="AT60" s="2304"/>
      <c r="AU60" s="2304"/>
      <c r="AV60" s="2304"/>
      <c r="AW60" s="2305"/>
      <c r="AX60" s="1203"/>
      <c r="AY60" s="1203"/>
      <c r="AZ60" s="1203"/>
      <c r="BA60" s="1203"/>
      <c r="BB60" s="1203"/>
      <c r="BC60" s="1203"/>
      <c r="BD60" s="1203"/>
      <c r="BE60" s="1210"/>
    </row>
    <row r="61" spans="1:77" ht="15.75" customHeight="1">
      <c r="A61" s="1203"/>
      <c r="B61" s="2300" t="str">
        <f>IF(B53="", "", B53)</f>
        <v>Services Company 2</v>
      </c>
      <c r="C61" s="2301"/>
      <c r="D61" s="2301"/>
      <c r="E61" s="2301"/>
      <c r="F61" s="2301"/>
      <c r="G61" s="2301"/>
      <c r="H61" s="2301"/>
      <c r="I61" s="2302"/>
      <c r="J61" s="2303"/>
      <c r="K61" s="2304"/>
      <c r="L61" s="2304"/>
      <c r="M61" s="2304"/>
      <c r="N61" s="2304"/>
      <c r="O61" s="2304"/>
      <c r="P61" s="2304"/>
      <c r="Q61" s="2304"/>
      <c r="R61" s="2304"/>
      <c r="S61" s="2304"/>
      <c r="T61" s="2304"/>
      <c r="U61" s="2304"/>
      <c r="V61" s="2304"/>
      <c r="W61" s="2304"/>
      <c r="X61" s="2304"/>
      <c r="Y61" s="2304"/>
      <c r="Z61" s="2304"/>
      <c r="AA61" s="2304"/>
      <c r="AB61" s="2304"/>
      <c r="AC61" s="2304"/>
      <c r="AD61" s="2304"/>
      <c r="AE61" s="2304"/>
      <c r="AF61" s="2304"/>
      <c r="AG61" s="2304"/>
      <c r="AH61" s="2304"/>
      <c r="AI61" s="2304"/>
      <c r="AJ61" s="2304"/>
      <c r="AK61" s="2304"/>
      <c r="AL61" s="2304"/>
      <c r="AM61" s="2304"/>
      <c r="AN61" s="2304"/>
      <c r="AO61" s="2304"/>
      <c r="AP61" s="2304"/>
      <c r="AQ61" s="2304"/>
      <c r="AR61" s="2304"/>
      <c r="AS61" s="2304"/>
      <c r="AT61" s="2304"/>
      <c r="AU61" s="2304"/>
      <c r="AV61" s="2304"/>
      <c r="AW61" s="2305"/>
      <c r="AX61" s="1203"/>
      <c r="AY61" s="1203"/>
      <c r="AZ61" s="1203"/>
      <c r="BA61" s="1203"/>
      <c r="BB61" s="1203"/>
      <c r="BC61" s="1203"/>
      <c r="BD61" s="1203"/>
      <c r="BE61" s="1210"/>
    </row>
    <row r="62" spans="1:77" ht="15.75" customHeight="1">
      <c r="A62" s="1203"/>
      <c r="B62" s="2300" t="str">
        <f>IF(B54="", "", B54)</f>
        <v/>
      </c>
      <c r="C62" s="2301"/>
      <c r="D62" s="2301"/>
      <c r="E62" s="2301"/>
      <c r="F62" s="2301"/>
      <c r="G62" s="2301"/>
      <c r="H62" s="2301"/>
      <c r="I62" s="2302"/>
      <c r="J62" s="2303"/>
      <c r="K62" s="2304"/>
      <c r="L62" s="2304"/>
      <c r="M62" s="2304"/>
      <c r="N62" s="2304"/>
      <c r="O62" s="2304"/>
      <c r="P62" s="2304"/>
      <c r="Q62" s="2304"/>
      <c r="R62" s="2304"/>
      <c r="S62" s="2304"/>
      <c r="T62" s="2304"/>
      <c r="U62" s="2304"/>
      <c r="V62" s="2304"/>
      <c r="W62" s="2304"/>
      <c r="X62" s="2304"/>
      <c r="Y62" s="2304"/>
      <c r="Z62" s="2304"/>
      <c r="AA62" s="2304"/>
      <c r="AB62" s="2304"/>
      <c r="AC62" s="2304"/>
      <c r="AD62" s="2304"/>
      <c r="AE62" s="2304"/>
      <c r="AF62" s="2304"/>
      <c r="AG62" s="2304"/>
      <c r="AH62" s="2304"/>
      <c r="AI62" s="2304"/>
      <c r="AJ62" s="2304"/>
      <c r="AK62" s="2304"/>
      <c r="AL62" s="2304"/>
      <c r="AM62" s="2304"/>
      <c r="AN62" s="2304"/>
      <c r="AO62" s="2304"/>
      <c r="AP62" s="2304"/>
      <c r="AQ62" s="2304"/>
      <c r="AR62" s="2304"/>
      <c r="AS62" s="2304"/>
      <c r="AT62" s="2304"/>
      <c r="AU62" s="2304"/>
      <c r="AV62" s="2304"/>
      <c r="AW62" s="2305"/>
      <c r="AX62" s="1203"/>
      <c r="AY62" s="1203"/>
      <c r="AZ62" s="1203"/>
      <c r="BA62" s="1203"/>
      <c r="BB62" s="1203"/>
      <c r="BC62" s="1203"/>
      <c r="BD62" s="1203"/>
      <c r="BE62" s="1210"/>
    </row>
    <row r="63" spans="1:77" ht="15.75" customHeight="1">
      <c r="A63" s="1203"/>
      <c r="B63" s="2300" t="str">
        <f>IF(B55="", "", B55)</f>
        <v/>
      </c>
      <c r="C63" s="2301"/>
      <c r="D63" s="2301"/>
      <c r="E63" s="2301"/>
      <c r="F63" s="2301"/>
      <c r="G63" s="2301"/>
      <c r="H63" s="2301"/>
      <c r="I63" s="2302"/>
      <c r="J63" s="2303"/>
      <c r="K63" s="2304"/>
      <c r="L63" s="2304"/>
      <c r="M63" s="2304"/>
      <c r="N63" s="2304"/>
      <c r="O63" s="2304"/>
      <c r="P63" s="2304"/>
      <c r="Q63" s="2304"/>
      <c r="R63" s="2304"/>
      <c r="S63" s="2304"/>
      <c r="T63" s="2304"/>
      <c r="U63" s="2304"/>
      <c r="V63" s="2304"/>
      <c r="W63" s="2304"/>
      <c r="X63" s="2304"/>
      <c r="Y63" s="2304"/>
      <c r="Z63" s="2304"/>
      <c r="AA63" s="2304"/>
      <c r="AB63" s="2304"/>
      <c r="AC63" s="2304"/>
      <c r="AD63" s="2304"/>
      <c r="AE63" s="2304"/>
      <c r="AF63" s="2304"/>
      <c r="AG63" s="2304"/>
      <c r="AH63" s="2304"/>
      <c r="AI63" s="2304"/>
      <c r="AJ63" s="2304"/>
      <c r="AK63" s="2304"/>
      <c r="AL63" s="2304"/>
      <c r="AM63" s="2304"/>
      <c r="AN63" s="2304"/>
      <c r="AO63" s="2304"/>
      <c r="AP63" s="2304"/>
      <c r="AQ63" s="2304"/>
      <c r="AR63" s="2304"/>
      <c r="AS63" s="2304"/>
      <c r="AT63" s="2304"/>
      <c r="AU63" s="2304"/>
      <c r="AV63" s="2304"/>
      <c r="AW63" s="2305"/>
      <c r="AX63" s="1203"/>
      <c r="AY63" s="1203"/>
      <c r="AZ63" s="1203"/>
      <c r="BA63" s="1203"/>
      <c r="BB63" s="1203"/>
      <c r="BC63" s="1203"/>
      <c r="BD63" s="1203"/>
      <c r="BE63" s="1210"/>
    </row>
    <row r="64" spans="1:77" ht="15.75" customHeight="1" thickBot="1">
      <c r="A64" s="1203"/>
      <c r="B64" s="2320" t="str">
        <f>IF(B56="", "", B56)</f>
        <v/>
      </c>
      <c r="C64" s="2321"/>
      <c r="D64" s="2321"/>
      <c r="E64" s="2321"/>
      <c r="F64" s="2321"/>
      <c r="G64" s="2321"/>
      <c r="H64" s="2321"/>
      <c r="I64" s="2322"/>
      <c r="J64" s="2323"/>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2324"/>
      <c r="AM64" s="2324"/>
      <c r="AN64" s="2324"/>
      <c r="AO64" s="2324"/>
      <c r="AP64" s="2324"/>
      <c r="AQ64" s="2324"/>
      <c r="AR64" s="2324"/>
      <c r="AS64" s="2324"/>
      <c r="AT64" s="2324"/>
      <c r="AU64" s="2324"/>
      <c r="AV64" s="2324"/>
      <c r="AW64" s="2325"/>
      <c r="AX64" s="1203"/>
      <c r="AY64" s="1203"/>
      <c r="AZ64" s="1203"/>
      <c r="BA64" s="1203"/>
      <c r="BB64" s="1203"/>
      <c r="BC64" s="1203"/>
      <c r="BD64" s="1203"/>
      <c r="BE64" s="1210"/>
    </row>
    <row r="65" spans="1:94" ht="15.75" customHeight="1">
      <c r="A65" s="1203"/>
      <c r="B65" s="1203"/>
      <c r="C65" s="1203"/>
      <c r="D65" s="1203"/>
      <c r="E65" s="1203"/>
      <c r="F65" s="1203"/>
      <c r="G65" s="1203"/>
      <c r="H65" s="1203"/>
      <c r="I65" s="1203"/>
      <c r="J65" s="1203"/>
      <c r="K65" s="1203"/>
      <c r="L65" s="1203"/>
      <c r="M65" s="1203"/>
      <c r="N65" s="1203"/>
      <c r="O65" s="1203"/>
      <c r="P65" s="1203"/>
      <c r="Q65" s="1203"/>
      <c r="R65" s="1203"/>
      <c r="S65" s="1203"/>
      <c r="T65" s="1203"/>
      <c r="U65" s="1203"/>
      <c r="V65" s="1203"/>
      <c r="W65" s="1203"/>
      <c r="X65" s="1203"/>
      <c r="Y65" s="1203"/>
      <c r="Z65" s="1203"/>
      <c r="AA65" s="1203"/>
      <c r="AB65" s="1203"/>
      <c r="AC65" s="1203"/>
      <c r="AD65" s="1203"/>
      <c r="AE65" s="1203"/>
      <c r="AF65" s="1203"/>
      <c r="AG65" s="1203"/>
      <c r="AH65" s="1203"/>
      <c r="AI65" s="1203"/>
      <c r="AJ65" s="1203"/>
      <c r="AK65" s="1203"/>
      <c r="AL65" s="1203"/>
      <c r="AM65" s="1203"/>
      <c r="AN65" s="1203"/>
      <c r="AO65" s="1203"/>
      <c r="AP65" s="1203"/>
      <c r="AQ65" s="1203"/>
      <c r="AR65" s="1203"/>
      <c r="AS65" s="1203"/>
      <c r="AT65" s="1203"/>
      <c r="AU65" s="1203"/>
      <c r="AV65" s="1203"/>
      <c r="AW65" s="1203"/>
      <c r="AX65" s="1203"/>
      <c r="AY65" s="1203"/>
      <c r="AZ65" s="1203"/>
      <c r="BA65" s="1203"/>
      <c r="BB65" s="1203"/>
      <c r="BC65" s="1203"/>
      <c r="BD65" s="1203"/>
      <c r="BE65" s="1210"/>
    </row>
    <row r="66" spans="1:94" ht="15.75" customHeight="1">
      <c r="A66" s="1203"/>
      <c r="B66" s="1214" t="s">
        <v>2325</v>
      </c>
      <c r="C66" s="1214"/>
      <c r="D66" s="1214"/>
      <c r="E66" s="1214"/>
      <c r="F66" s="1214"/>
      <c r="G66" s="1214"/>
      <c r="H66" s="1214"/>
      <c r="I66" s="1214"/>
      <c r="J66" s="1214"/>
      <c r="K66" s="1214"/>
      <c r="L66" s="1203"/>
      <c r="M66" s="1203"/>
      <c r="N66" s="1203"/>
      <c r="O66" s="1203"/>
      <c r="P66" s="1203"/>
      <c r="Q66" s="1203"/>
      <c r="R66" s="1203"/>
      <c r="S66" s="1203"/>
      <c r="T66" s="1203"/>
      <c r="U66" s="1203"/>
      <c r="V66" s="1203"/>
      <c r="W66" s="1203"/>
      <c r="X66" s="1203"/>
      <c r="Y66" s="1203"/>
      <c r="Z66" s="1203"/>
      <c r="AA66" s="1203"/>
      <c r="AB66" s="1203"/>
      <c r="AC66" s="1203"/>
      <c r="AD66" s="1203"/>
      <c r="AE66" s="1203"/>
      <c r="AF66" s="1203"/>
      <c r="AG66" s="1203"/>
      <c r="AH66" s="1203"/>
      <c r="AI66" s="1203"/>
      <c r="AJ66" s="1203"/>
      <c r="AK66" s="1203"/>
      <c r="AL66" s="1203"/>
      <c r="AM66" s="1203"/>
      <c r="AN66" s="1203"/>
      <c r="AO66" s="1203"/>
      <c r="AP66" s="1203"/>
      <c r="AQ66" s="1203"/>
      <c r="AR66" s="1203"/>
      <c r="AS66" s="1203"/>
      <c r="AT66" s="1203"/>
      <c r="AU66" s="1203"/>
      <c r="AV66" s="1203"/>
      <c r="AW66" s="1203"/>
      <c r="AX66" s="1203"/>
      <c r="AY66" s="1203"/>
      <c r="AZ66" s="1203"/>
      <c r="BA66" s="1203"/>
      <c r="BB66" s="1203"/>
      <c r="BC66" s="1203"/>
      <c r="BD66" s="1203"/>
      <c r="BE66" s="1210"/>
    </row>
    <row r="67" spans="1:94" ht="15.75" customHeight="1" thickBot="1">
      <c r="A67" s="1203"/>
      <c r="B67" s="1203"/>
      <c r="C67" s="1203"/>
      <c r="D67" s="1203"/>
      <c r="E67" s="1203"/>
      <c r="F67" s="1203"/>
      <c r="G67" s="1203"/>
      <c r="H67" s="1203"/>
      <c r="I67" s="1203"/>
      <c r="J67" s="1203"/>
      <c r="K67" s="1203"/>
      <c r="L67" s="1203"/>
      <c r="M67" s="1203"/>
      <c r="N67" s="1203"/>
      <c r="O67" s="1203"/>
      <c r="P67" s="1203"/>
      <c r="Q67" s="1203"/>
      <c r="R67" s="1203"/>
      <c r="S67" s="1203"/>
      <c r="T67" s="1203"/>
      <c r="U67" s="1203"/>
      <c r="V67" s="1203"/>
      <c r="W67" s="1203"/>
      <c r="X67" s="1203"/>
      <c r="Y67" s="1203"/>
      <c r="Z67" s="1203"/>
      <c r="AA67" s="1203"/>
      <c r="AB67" s="1203"/>
      <c r="AC67" s="1203"/>
      <c r="AD67" s="1203"/>
      <c r="AE67" s="1203"/>
      <c r="AF67" s="1203"/>
      <c r="AG67" s="1203"/>
      <c r="AH67" s="1203"/>
      <c r="AI67" s="1203"/>
      <c r="AJ67" s="1203"/>
      <c r="AK67" s="1203"/>
      <c r="AL67" s="1203"/>
      <c r="AM67" s="1203"/>
      <c r="AN67" s="1203"/>
      <c r="AO67" s="1203"/>
      <c r="AP67" s="1203"/>
      <c r="AQ67" s="1203"/>
      <c r="AR67" s="1203"/>
      <c r="AS67" s="1203"/>
      <c r="AT67" s="1203"/>
      <c r="AU67" s="1203"/>
      <c r="AV67" s="1203"/>
      <c r="AW67" s="1203"/>
      <c r="AX67" s="1203"/>
      <c r="AY67" s="1203"/>
      <c r="AZ67" s="1203"/>
      <c r="BA67" s="1203"/>
      <c r="BB67" s="1203"/>
      <c r="BC67" s="1203"/>
      <c r="BD67" s="1203"/>
      <c r="BE67" s="1210"/>
    </row>
    <row r="68" spans="1:94" ht="15.75" customHeight="1" thickBot="1">
      <c r="A68" s="1203"/>
      <c r="B68" s="2190" t="s">
        <v>2324</v>
      </c>
      <c r="C68" s="2191"/>
      <c r="D68" s="2191"/>
      <c r="E68" s="2191"/>
      <c r="F68" s="2191"/>
      <c r="G68" s="2191"/>
      <c r="H68" s="2191"/>
      <c r="I68" s="2191"/>
      <c r="J68" s="2191"/>
      <c r="K68" s="2191"/>
      <c r="L68" s="2191"/>
      <c r="M68" s="2191"/>
      <c r="N68" s="2191"/>
      <c r="O68" s="2191"/>
      <c r="P68" s="2191"/>
      <c r="Q68" s="2191"/>
      <c r="R68" s="2191"/>
      <c r="S68" s="2191"/>
      <c r="T68" s="2191"/>
      <c r="U68" s="2191"/>
      <c r="V68" s="2191"/>
      <c r="W68" s="2191"/>
      <c r="X68" s="2191"/>
      <c r="Y68" s="2191"/>
      <c r="Z68" s="2191"/>
      <c r="AA68" s="2192"/>
      <c r="AB68" s="1203"/>
      <c r="AC68" s="2332" t="s">
        <v>2323</v>
      </c>
      <c r="AD68" s="2333"/>
      <c r="AE68" s="2333"/>
      <c r="AF68" s="2333"/>
      <c r="AG68" s="2333"/>
      <c r="AH68" s="2333"/>
      <c r="AI68" s="2333"/>
      <c r="AJ68" s="2333"/>
      <c r="AK68" s="2333"/>
      <c r="AL68" s="2333"/>
      <c r="AM68" s="2333"/>
      <c r="AN68" s="2333"/>
      <c r="AO68" s="2333"/>
      <c r="AP68" s="2333"/>
      <c r="AQ68" s="2333"/>
      <c r="AR68" s="2333"/>
      <c r="AS68" s="2333"/>
      <c r="AT68" s="2333"/>
      <c r="AU68" s="2333"/>
      <c r="AV68" s="2312" t="s">
        <v>668</v>
      </c>
      <c r="AW68" s="2313"/>
      <c r="AX68" s="2313"/>
      <c r="AY68" s="2313"/>
      <c r="AZ68" s="2313"/>
      <c r="BA68" s="2313"/>
      <c r="BB68" s="2313"/>
      <c r="BC68" s="2314"/>
      <c r="BD68" s="1203"/>
      <c r="BE68" s="1210"/>
      <c r="BM68" s="1216" t="s">
        <v>2322</v>
      </c>
    </row>
    <row r="69" spans="1:94" ht="15.75" customHeight="1" thickTop="1" thickBot="1">
      <c r="A69" s="1203"/>
      <c r="B69" s="2315" t="s">
        <v>2321</v>
      </c>
      <c r="C69" s="2316"/>
      <c r="D69" s="2316"/>
      <c r="E69" s="2316"/>
      <c r="F69" s="2316"/>
      <c r="G69" s="2316"/>
      <c r="H69" s="2316"/>
      <c r="I69" s="2316"/>
      <c r="J69" s="2316"/>
      <c r="K69" s="2316"/>
      <c r="L69" s="2316"/>
      <c r="M69" s="2316"/>
      <c r="N69" s="2316"/>
      <c r="O69" s="2163" t="s">
        <v>2320</v>
      </c>
      <c r="P69" s="2164"/>
      <c r="Q69" s="2164"/>
      <c r="R69" s="2164"/>
      <c r="S69" s="2164"/>
      <c r="T69" s="2164"/>
      <c r="U69" s="2164"/>
      <c r="V69" s="2164"/>
      <c r="W69" s="2164"/>
      <c r="X69" s="2164"/>
      <c r="Y69" s="2164"/>
      <c r="Z69" s="2164"/>
      <c r="AA69" s="2317"/>
      <c r="AB69" s="1203"/>
      <c r="AC69" s="2318" t="s">
        <v>2319</v>
      </c>
      <c r="AD69" s="2319"/>
      <c r="AE69" s="2319"/>
      <c r="AF69" s="2319"/>
      <c r="AG69" s="2319"/>
      <c r="AH69" s="2319"/>
      <c r="AI69" s="2319"/>
      <c r="AJ69" s="2319"/>
      <c r="AK69" s="2319"/>
      <c r="AL69" s="2319"/>
      <c r="AM69" s="2319"/>
      <c r="AN69" s="2319"/>
      <c r="AO69" s="2319"/>
      <c r="AP69" s="2319"/>
      <c r="AQ69" s="2319"/>
      <c r="AR69" s="2319"/>
      <c r="AS69" s="2319"/>
      <c r="AT69" s="2319"/>
      <c r="AU69" s="2319"/>
      <c r="AV69" s="2312" t="s">
        <v>668</v>
      </c>
      <c r="AW69" s="2313"/>
      <c r="AX69" s="2313"/>
      <c r="AY69" s="2313"/>
      <c r="AZ69" s="2313"/>
      <c r="BA69" s="2313"/>
      <c r="BB69" s="2313"/>
      <c r="BC69" s="2314"/>
      <c r="BD69" s="1203"/>
      <c r="BE69" s="1210"/>
      <c r="BM69" s="1217" t="s">
        <v>544</v>
      </c>
    </row>
    <row r="70" spans="1:94" ht="15.75" customHeight="1">
      <c r="A70" s="1203"/>
      <c r="B70" s="2269" t="s">
        <v>2318</v>
      </c>
      <c r="C70" s="2270"/>
      <c r="D70" s="2270"/>
      <c r="E70" s="2270"/>
      <c r="F70" s="2270"/>
      <c r="G70" s="2270"/>
      <c r="H70" s="2270"/>
      <c r="I70" s="2270"/>
      <c r="J70" s="2270"/>
      <c r="K70" s="2270"/>
      <c r="L70" s="2270"/>
      <c r="M70" s="2270"/>
      <c r="N70" s="2270"/>
      <c r="O70" s="2326">
        <v>0</v>
      </c>
      <c r="P70" s="2326"/>
      <c r="Q70" s="2326"/>
      <c r="R70" s="2326"/>
      <c r="S70" s="2326"/>
      <c r="T70" s="2326"/>
      <c r="U70" s="2326"/>
      <c r="V70" s="2326"/>
      <c r="W70" s="2326"/>
      <c r="X70" s="2326"/>
      <c r="Y70" s="2326"/>
      <c r="Z70" s="2326"/>
      <c r="AA70" s="2327"/>
      <c r="AB70" s="1203"/>
      <c r="AC70" s="2285" t="s">
        <v>2317</v>
      </c>
      <c r="AD70" s="2286"/>
      <c r="AE70" s="2286"/>
      <c r="AF70" s="2328" t="str">
        <f>Application!J394</f>
        <v>City of Sacramento</v>
      </c>
      <c r="AG70" s="2328"/>
      <c r="AH70" s="2328"/>
      <c r="AI70" s="2328"/>
      <c r="AJ70" s="2328"/>
      <c r="AK70" s="2328"/>
      <c r="AL70" s="2328"/>
      <c r="AM70" s="2328"/>
      <c r="AN70" s="2328"/>
      <c r="AO70" s="2328"/>
      <c r="AP70" s="2328"/>
      <c r="AQ70" s="2328"/>
      <c r="AR70" s="2328"/>
      <c r="AS70" s="2328"/>
      <c r="AT70" s="2328"/>
      <c r="AU70" s="2329"/>
      <c r="AV70" s="1203"/>
      <c r="AW70" s="1203"/>
      <c r="AX70" s="1203"/>
      <c r="AY70" s="1203"/>
      <c r="AZ70" s="1203"/>
      <c r="BA70" s="1203"/>
      <c r="BB70" s="1203"/>
      <c r="BC70" s="1203"/>
      <c r="BD70" s="1203"/>
      <c r="BE70" s="1210"/>
      <c r="BM70" s="1218" t="s">
        <v>668</v>
      </c>
    </row>
    <row r="71" spans="1:94" ht="15.75" customHeight="1" thickBot="1">
      <c r="A71" s="1203"/>
      <c r="B71" s="2269" t="s">
        <v>2316</v>
      </c>
      <c r="C71" s="2270"/>
      <c r="D71" s="2270"/>
      <c r="E71" s="2270"/>
      <c r="F71" s="2270"/>
      <c r="G71" s="2270"/>
      <c r="H71" s="2270"/>
      <c r="I71" s="2270"/>
      <c r="J71" s="2270"/>
      <c r="K71" s="2270"/>
      <c r="L71" s="2270"/>
      <c r="M71" s="2270"/>
      <c r="N71" s="2270"/>
      <c r="O71" s="2326">
        <v>5000</v>
      </c>
      <c r="P71" s="2326"/>
      <c r="Q71" s="2326"/>
      <c r="R71" s="2326"/>
      <c r="S71" s="2326"/>
      <c r="T71" s="2326"/>
      <c r="U71" s="2326"/>
      <c r="V71" s="2326"/>
      <c r="W71" s="2326"/>
      <c r="X71" s="2326"/>
      <c r="Y71" s="2326"/>
      <c r="Z71" s="2326"/>
      <c r="AA71" s="2327"/>
      <c r="AB71" s="1203"/>
      <c r="AC71" s="2330" t="s">
        <v>2315</v>
      </c>
      <c r="AD71" s="2331"/>
      <c r="AE71" s="2331"/>
      <c r="AF71" s="2324" t="str">
        <f>Application!H16</f>
        <v>Fong Natomas L.P.</v>
      </c>
      <c r="AG71" s="2324"/>
      <c r="AH71" s="2324"/>
      <c r="AI71" s="2324"/>
      <c r="AJ71" s="2324"/>
      <c r="AK71" s="2324"/>
      <c r="AL71" s="2324"/>
      <c r="AM71" s="2324"/>
      <c r="AN71" s="2324"/>
      <c r="AO71" s="2324"/>
      <c r="AP71" s="2324"/>
      <c r="AQ71" s="2324"/>
      <c r="AR71" s="2324"/>
      <c r="AS71" s="2324"/>
      <c r="AT71" s="2324"/>
      <c r="AU71" s="2325"/>
      <c r="AV71" s="1203"/>
      <c r="AW71" s="1203"/>
      <c r="AX71" s="1203"/>
      <c r="AY71" s="1203"/>
      <c r="AZ71" s="1203"/>
      <c r="BA71" s="1203"/>
      <c r="BB71" s="1203"/>
      <c r="BC71" s="1203"/>
      <c r="BD71" s="1203"/>
      <c r="BE71" s="1210"/>
      <c r="BM71" s="1199" t="s">
        <v>2314</v>
      </c>
    </row>
    <row r="72" spans="1:94" ht="15.75" customHeight="1">
      <c r="A72" s="1203"/>
      <c r="B72" s="2269" t="s">
        <v>2313</v>
      </c>
      <c r="C72" s="2270"/>
      <c r="D72" s="2270"/>
      <c r="E72" s="2270"/>
      <c r="F72" s="2270"/>
      <c r="G72" s="2270"/>
      <c r="H72" s="2270"/>
      <c r="I72" s="2270"/>
      <c r="J72" s="2270"/>
      <c r="K72" s="2270"/>
      <c r="L72" s="2270"/>
      <c r="M72" s="2270"/>
      <c r="N72" s="2270"/>
      <c r="O72" s="2326">
        <v>10000</v>
      </c>
      <c r="P72" s="2326"/>
      <c r="Q72" s="2326"/>
      <c r="R72" s="2326"/>
      <c r="S72" s="2326"/>
      <c r="T72" s="2326"/>
      <c r="U72" s="2326"/>
      <c r="V72" s="2326"/>
      <c r="W72" s="2326"/>
      <c r="X72" s="2326"/>
      <c r="Y72" s="2326"/>
      <c r="Z72" s="2326"/>
      <c r="AA72" s="2327"/>
      <c r="AB72" s="1203"/>
      <c r="AC72" s="2334" t="s">
        <v>2312</v>
      </c>
      <c r="AD72" s="2335"/>
      <c r="AE72" s="2335"/>
      <c r="AF72" s="2335"/>
      <c r="AG72" s="2335"/>
      <c r="AH72" s="2335"/>
      <c r="AI72" s="2335"/>
      <c r="AJ72" s="2335"/>
      <c r="AK72" s="2335"/>
      <c r="AL72" s="2335"/>
      <c r="AM72" s="2335"/>
      <c r="AN72" s="2335"/>
      <c r="AO72" s="2335"/>
      <c r="AP72" s="2335"/>
      <c r="AQ72" s="2335"/>
      <c r="AR72" s="2335"/>
      <c r="AS72" s="2335"/>
      <c r="AT72" s="2335"/>
      <c r="AU72" s="2335"/>
      <c r="AV72" s="2286"/>
      <c r="AW72" s="2286"/>
      <c r="AX72" s="2286"/>
      <c r="AY72" s="2286"/>
      <c r="AZ72" s="2286"/>
      <c r="BA72" s="2286"/>
      <c r="BB72" s="2286"/>
      <c r="BC72" s="2287"/>
      <c r="BD72" s="1203"/>
      <c r="BE72" s="1210"/>
    </row>
    <row r="73" spans="1:94" ht="15.75" customHeight="1">
      <c r="A73" s="1203"/>
      <c r="B73" s="2273" t="s">
        <v>2765</v>
      </c>
      <c r="C73" s="2274"/>
      <c r="D73" s="2274"/>
      <c r="E73" s="2274"/>
      <c r="F73" s="2274"/>
      <c r="G73" s="2274"/>
      <c r="H73" s="2274"/>
      <c r="I73" s="2274"/>
      <c r="J73" s="2274"/>
      <c r="K73" s="2274"/>
      <c r="L73" s="2274"/>
      <c r="M73" s="2274"/>
      <c r="N73" s="2274"/>
      <c r="O73" s="2326">
        <v>0</v>
      </c>
      <c r="P73" s="2326"/>
      <c r="Q73" s="2326"/>
      <c r="R73" s="2326"/>
      <c r="S73" s="2326"/>
      <c r="T73" s="2326"/>
      <c r="U73" s="2326"/>
      <c r="V73" s="2326"/>
      <c r="W73" s="2326"/>
      <c r="X73" s="2326"/>
      <c r="Y73" s="2326"/>
      <c r="Z73" s="2326"/>
      <c r="AA73" s="2327"/>
      <c r="AB73" s="1203"/>
      <c r="AC73" s="2336" t="s">
        <v>2267</v>
      </c>
      <c r="AD73" s="2337"/>
      <c r="AE73" s="2337"/>
      <c r="AF73" s="2337"/>
      <c r="AG73" s="2337"/>
      <c r="AH73" s="2337"/>
      <c r="AI73" s="2337"/>
      <c r="AJ73" s="2337"/>
      <c r="AK73" s="2337"/>
      <c r="AL73" s="2337"/>
      <c r="AM73" s="2337"/>
      <c r="AN73" s="2337"/>
      <c r="AO73" s="2337"/>
      <c r="AP73" s="2337"/>
      <c r="AQ73" s="2337"/>
      <c r="AR73" s="2337"/>
      <c r="AS73" s="2337"/>
      <c r="AT73" s="2337"/>
      <c r="AU73" s="2337"/>
      <c r="AV73" s="2337"/>
      <c r="AW73" s="2337"/>
      <c r="AX73" s="2337"/>
      <c r="AY73" s="2337"/>
      <c r="AZ73" s="2337"/>
      <c r="BA73" s="2337"/>
      <c r="BB73" s="2337"/>
      <c r="BC73" s="2338"/>
      <c r="BD73" s="1203"/>
      <c r="BE73" s="1210"/>
      <c r="CK73" s="1201"/>
      <c r="CL73" s="1201"/>
      <c r="CM73" s="1201"/>
      <c r="CN73" s="1201"/>
      <c r="CO73" s="1201"/>
      <c r="CP73" s="1201"/>
    </row>
    <row r="74" spans="1:94" ht="15.75" customHeight="1">
      <c r="A74" s="1203"/>
      <c r="B74" s="2342" t="s">
        <v>2787</v>
      </c>
      <c r="C74" s="2292"/>
      <c r="D74" s="2292"/>
      <c r="E74" s="2292"/>
      <c r="F74" s="2292"/>
      <c r="G74" s="2292"/>
      <c r="H74" s="2292"/>
      <c r="I74" s="2292"/>
      <c r="J74" s="2292"/>
      <c r="K74" s="2292"/>
      <c r="L74" s="2292"/>
      <c r="M74" s="2292"/>
      <c r="N74" s="2292"/>
      <c r="O74" s="2326">
        <v>50000</v>
      </c>
      <c r="P74" s="2326"/>
      <c r="Q74" s="2326"/>
      <c r="R74" s="2326"/>
      <c r="S74" s="2326"/>
      <c r="T74" s="2326"/>
      <c r="U74" s="2326"/>
      <c r="V74" s="2326"/>
      <c r="W74" s="2326"/>
      <c r="X74" s="2326"/>
      <c r="Y74" s="2326"/>
      <c r="Z74" s="2326"/>
      <c r="AA74" s="2327"/>
      <c r="AB74" s="1203"/>
      <c r="AC74" s="2336"/>
      <c r="AD74" s="2337"/>
      <c r="AE74" s="2337"/>
      <c r="AF74" s="2337"/>
      <c r="AG74" s="2337"/>
      <c r="AH74" s="2337"/>
      <c r="AI74" s="2337"/>
      <c r="AJ74" s="2337"/>
      <c r="AK74" s="2337"/>
      <c r="AL74" s="2337"/>
      <c r="AM74" s="2337"/>
      <c r="AN74" s="2337"/>
      <c r="AO74" s="2337"/>
      <c r="AP74" s="2337"/>
      <c r="AQ74" s="2337"/>
      <c r="AR74" s="2337"/>
      <c r="AS74" s="2337"/>
      <c r="AT74" s="2337"/>
      <c r="AU74" s="2337"/>
      <c r="AV74" s="2337"/>
      <c r="AW74" s="2337"/>
      <c r="AX74" s="2337"/>
      <c r="AY74" s="2337"/>
      <c r="AZ74" s="2337"/>
      <c r="BA74" s="2337"/>
      <c r="BB74" s="2337"/>
      <c r="BC74" s="2338"/>
      <c r="BD74" s="1203"/>
      <c r="BE74" s="1210"/>
      <c r="CK74" s="1201"/>
      <c r="CL74" s="1201"/>
      <c r="CM74" s="1201"/>
      <c r="CN74" s="1201"/>
      <c r="CO74" s="1201"/>
      <c r="CP74" s="1201"/>
    </row>
    <row r="75" spans="1:94" ht="15.75" customHeight="1" thickBot="1">
      <c r="A75" s="1203"/>
      <c r="B75" s="2343" t="s">
        <v>124</v>
      </c>
      <c r="C75" s="2344"/>
      <c r="D75" s="2344"/>
      <c r="E75" s="2344"/>
      <c r="F75" s="2344"/>
      <c r="G75" s="2344"/>
      <c r="H75" s="2344"/>
      <c r="I75" s="2344"/>
      <c r="J75" s="2344"/>
      <c r="K75" s="2344"/>
      <c r="L75" s="2344"/>
      <c r="M75" s="2344"/>
      <c r="N75" s="2344"/>
      <c r="O75" s="2345">
        <f>SUM(O70:AA74)</f>
        <v>65000</v>
      </c>
      <c r="P75" s="2345"/>
      <c r="Q75" s="2345"/>
      <c r="R75" s="2345"/>
      <c r="S75" s="2345"/>
      <c r="T75" s="2345"/>
      <c r="U75" s="2345"/>
      <c r="V75" s="2345"/>
      <c r="W75" s="2345"/>
      <c r="X75" s="2345"/>
      <c r="Y75" s="2345"/>
      <c r="Z75" s="2345"/>
      <c r="AA75" s="2346"/>
      <c r="AB75" s="1203"/>
      <c r="AC75" s="2336"/>
      <c r="AD75" s="2337"/>
      <c r="AE75" s="2337"/>
      <c r="AF75" s="2337"/>
      <c r="AG75" s="2337"/>
      <c r="AH75" s="2337"/>
      <c r="AI75" s="2337"/>
      <c r="AJ75" s="2337"/>
      <c r="AK75" s="2337"/>
      <c r="AL75" s="2337"/>
      <c r="AM75" s="2337"/>
      <c r="AN75" s="2337"/>
      <c r="AO75" s="2337"/>
      <c r="AP75" s="2337"/>
      <c r="AQ75" s="2337"/>
      <c r="AR75" s="2337"/>
      <c r="AS75" s="2337"/>
      <c r="AT75" s="2337"/>
      <c r="AU75" s="2337"/>
      <c r="AV75" s="2337"/>
      <c r="AW75" s="2337"/>
      <c r="AX75" s="2337"/>
      <c r="AY75" s="2337"/>
      <c r="AZ75" s="2337"/>
      <c r="BA75" s="2337"/>
      <c r="BB75" s="2337"/>
      <c r="BC75" s="2338"/>
      <c r="BD75" s="1203"/>
      <c r="BE75" s="1210"/>
      <c r="CK75" s="1201"/>
      <c r="CL75" s="1201"/>
      <c r="CM75" s="1201"/>
      <c r="CN75" s="1201"/>
      <c r="CO75" s="1201"/>
      <c r="CP75" s="1201"/>
    </row>
    <row r="76" spans="1:94" ht="15.75" customHeight="1">
      <c r="A76" s="1203"/>
      <c r="B76" s="1203"/>
      <c r="C76" s="1203"/>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2336"/>
      <c r="AD76" s="2337"/>
      <c r="AE76" s="2337"/>
      <c r="AF76" s="2337"/>
      <c r="AG76" s="2337"/>
      <c r="AH76" s="2337"/>
      <c r="AI76" s="2337"/>
      <c r="AJ76" s="2337"/>
      <c r="AK76" s="2337"/>
      <c r="AL76" s="2337"/>
      <c r="AM76" s="2337"/>
      <c r="AN76" s="2337"/>
      <c r="AO76" s="2337"/>
      <c r="AP76" s="2337"/>
      <c r="AQ76" s="2337"/>
      <c r="AR76" s="2337"/>
      <c r="AS76" s="2337"/>
      <c r="AT76" s="2337"/>
      <c r="AU76" s="2337"/>
      <c r="AV76" s="2337"/>
      <c r="AW76" s="2337"/>
      <c r="AX76" s="2337"/>
      <c r="AY76" s="2337"/>
      <c r="AZ76" s="2337"/>
      <c r="BA76" s="2337"/>
      <c r="BB76" s="2337"/>
      <c r="BC76" s="2338"/>
      <c r="BD76" s="1203"/>
      <c r="BE76" s="1210"/>
      <c r="CK76" s="1201"/>
      <c r="CL76" s="1201"/>
      <c r="CM76" s="1201"/>
      <c r="CN76" s="1201"/>
      <c r="CO76" s="1201"/>
      <c r="CP76" s="1201"/>
    </row>
    <row r="77" spans="1:94" ht="15.75" customHeight="1" thickBot="1">
      <c r="A77" s="1203"/>
      <c r="B77" s="1203"/>
      <c r="C77" s="1203"/>
      <c r="D77" s="1203"/>
      <c r="E77" s="1203"/>
      <c r="F77" s="1203"/>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2339"/>
      <c r="AD77" s="2340"/>
      <c r="AE77" s="2340"/>
      <c r="AF77" s="2340"/>
      <c r="AG77" s="2340"/>
      <c r="AH77" s="2340"/>
      <c r="AI77" s="2340"/>
      <c r="AJ77" s="2340"/>
      <c r="AK77" s="2340"/>
      <c r="AL77" s="2340"/>
      <c r="AM77" s="2340"/>
      <c r="AN77" s="2340"/>
      <c r="AO77" s="2340"/>
      <c r="AP77" s="2340"/>
      <c r="AQ77" s="2340"/>
      <c r="AR77" s="2340"/>
      <c r="AS77" s="2340"/>
      <c r="AT77" s="2340"/>
      <c r="AU77" s="2340"/>
      <c r="AV77" s="2340"/>
      <c r="AW77" s="2340"/>
      <c r="AX77" s="2340"/>
      <c r="AY77" s="2340"/>
      <c r="AZ77" s="2340"/>
      <c r="BA77" s="2340"/>
      <c r="BB77" s="2340"/>
      <c r="BC77" s="2341"/>
      <c r="BD77" s="1203"/>
      <c r="BE77" s="1210"/>
      <c r="CK77" s="1201"/>
      <c r="CL77" s="1201"/>
      <c r="CM77" s="1201"/>
      <c r="CN77" s="1201"/>
      <c r="CO77" s="1201"/>
      <c r="CP77" s="1201"/>
    </row>
    <row r="78" spans="1:94" ht="15.75" customHeight="1" thickBot="1">
      <c r="A78" s="1203"/>
      <c r="B78" s="1219" t="s">
        <v>2311</v>
      </c>
      <c r="C78" s="1220"/>
      <c r="D78" s="1221"/>
      <c r="E78" s="1221"/>
      <c r="F78" s="1221"/>
      <c r="G78" s="1221"/>
      <c r="H78" s="1221"/>
      <c r="I78" s="1221"/>
      <c r="J78" s="1221"/>
      <c r="K78" s="1221"/>
      <c r="L78" s="1221"/>
      <c r="M78" s="1221"/>
      <c r="N78" s="1221"/>
      <c r="O78" s="1221"/>
      <c r="P78" s="1221"/>
      <c r="Q78" s="1221"/>
      <c r="R78" s="1221"/>
      <c r="S78" s="1221"/>
      <c r="T78" s="1222"/>
      <c r="U78" s="1203"/>
      <c r="V78" s="1203"/>
      <c r="W78" s="1203"/>
      <c r="X78" s="1203"/>
      <c r="Y78" s="1203"/>
      <c r="Z78" s="1203"/>
      <c r="AA78" s="1203"/>
      <c r="AB78" s="1203"/>
      <c r="AC78" s="1203"/>
      <c r="AD78" s="1203"/>
      <c r="AE78" s="1203"/>
      <c r="AF78" s="1203"/>
      <c r="AG78" s="1203"/>
      <c r="AH78" s="1203"/>
      <c r="AI78" s="1203"/>
      <c r="AJ78" s="1203"/>
      <c r="AK78" s="1203"/>
      <c r="AL78" s="1203"/>
      <c r="AM78" s="1203"/>
      <c r="AN78" s="1203"/>
      <c r="AO78" s="1203"/>
      <c r="AP78" s="1203"/>
      <c r="AQ78" s="1203"/>
      <c r="AR78" s="1203"/>
      <c r="AS78" s="1203"/>
      <c r="AT78" s="1203"/>
      <c r="AU78" s="1203"/>
      <c r="AV78" s="1203"/>
      <c r="AW78" s="1203"/>
      <c r="AX78" s="1203"/>
      <c r="AY78" s="1203"/>
      <c r="AZ78" s="1203"/>
      <c r="BA78" s="1203"/>
      <c r="BB78" s="1203"/>
      <c r="BC78" s="1203"/>
      <c r="BD78" s="1203"/>
      <c r="BE78" s="1210"/>
      <c r="CK78" s="1201"/>
      <c r="CL78" s="1201"/>
      <c r="CM78" s="1201"/>
      <c r="CN78" s="1201"/>
      <c r="CO78" s="1201"/>
      <c r="CP78" s="1201"/>
    </row>
    <row r="79" spans="1:94" ht="15.75" customHeight="1">
      <c r="A79" s="1203"/>
      <c r="B79" s="1219" t="s">
        <v>2221</v>
      </c>
      <c r="C79" s="1223"/>
      <c r="D79" s="1223"/>
      <c r="E79" s="1224"/>
      <c r="F79" s="2347" t="s">
        <v>2649</v>
      </c>
      <c r="G79" s="2348"/>
      <c r="H79" s="2348"/>
      <c r="I79" s="2348"/>
      <c r="J79" s="2348"/>
      <c r="K79" s="2348"/>
      <c r="L79" s="2348"/>
      <c r="M79" s="2348"/>
      <c r="N79" s="2348"/>
      <c r="O79" s="2348"/>
      <c r="P79" s="2348"/>
      <c r="Q79" s="2348"/>
      <c r="R79" s="2348"/>
      <c r="S79" s="2348"/>
      <c r="T79" s="2349"/>
      <c r="U79" s="1203"/>
      <c r="V79" s="1203"/>
      <c r="W79" s="1203"/>
      <c r="X79" s="1203"/>
      <c r="Y79" s="1203"/>
      <c r="Z79" s="1203"/>
      <c r="AA79" s="1203"/>
      <c r="AB79" s="1203"/>
      <c r="AC79" s="1203"/>
      <c r="AD79" s="1203"/>
      <c r="AE79" s="1203"/>
      <c r="AF79" s="1203"/>
      <c r="AG79" s="1203"/>
      <c r="AH79" s="1203"/>
      <c r="AI79" s="1203"/>
      <c r="AJ79" s="1203"/>
      <c r="AK79" s="1203"/>
      <c r="AL79" s="1203"/>
      <c r="AM79" s="1203"/>
      <c r="AN79" s="1203"/>
      <c r="AO79" s="1203"/>
      <c r="AP79" s="1203"/>
      <c r="AQ79" s="1203"/>
      <c r="AR79" s="1203"/>
      <c r="AS79" s="1203"/>
      <c r="AT79" s="1203"/>
      <c r="AU79" s="1203"/>
      <c r="AV79" s="1203"/>
      <c r="AW79" s="1203"/>
      <c r="AX79" s="1203"/>
      <c r="AY79" s="1203"/>
      <c r="AZ79" s="1203"/>
      <c r="BA79" s="1203"/>
      <c r="BB79" s="1203"/>
      <c r="BC79" s="1203"/>
      <c r="BD79" s="1203"/>
      <c r="BE79" s="1210"/>
      <c r="CK79" s="1201"/>
      <c r="CL79" s="1201"/>
      <c r="CM79" s="1201"/>
      <c r="CN79" s="1201"/>
      <c r="CO79" s="1201"/>
      <c r="CP79" s="1201"/>
    </row>
    <row r="80" spans="1:94" ht="15.75" customHeight="1" thickBot="1">
      <c r="A80" s="1203"/>
      <c r="B80" s="1203"/>
      <c r="C80" s="1203"/>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3"/>
      <c r="AG80" s="1203"/>
      <c r="AH80" s="1203"/>
      <c r="AI80" s="1203"/>
      <c r="AJ80" s="1203"/>
      <c r="AK80" s="1203"/>
      <c r="AL80" s="1203"/>
      <c r="AM80" s="1203"/>
      <c r="AN80" s="1203"/>
      <c r="AO80" s="1203"/>
      <c r="AP80" s="1203"/>
      <c r="AQ80" s="1203"/>
      <c r="AR80" s="1203"/>
      <c r="AS80" s="1203"/>
      <c r="AT80" s="1203"/>
      <c r="AU80" s="1203"/>
      <c r="AV80" s="1203"/>
      <c r="AW80" s="1203"/>
      <c r="AX80" s="1203"/>
      <c r="AY80" s="1203"/>
      <c r="AZ80" s="1203"/>
      <c r="BA80" s="1203"/>
      <c r="BB80" s="1203"/>
      <c r="BC80" s="1203"/>
      <c r="BD80" s="1203"/>
      <c r="BE80" s="1210"/>
      <c r="CK80" s="1201"/>
      <c r="CL80" s="1201"/>
      <c r="CM80" s="1201"/>
      <c r="CN80" s="1201"/>
      <c r="CO80" s="1201"/>
      <c r="CP80" s="1201"/>
    </row>
    <row r="81" spans="1:94" ht="15.75" customHeight="1">
      <c r="A81" s="1203"/>
      <c r="B81" s="2350" t="s">
        <v>2310</v>
      </c>
      <c r="C81" s="2351"/>
      <c r="D81" s="2351"/>
      <c r="E81" s="2351"/>
      <c r="F81" s="2351"/>
      <c r="G81" s="2351"/>
      <c r="H81" s="2351"/>
      <c r="I81" s="2351"/>
      <c r="J81" s="2351"/>
      <c r="K81" s="2351"/>
      <c r="L81" s="2351"/>
      <c r="M81" s="2351"/>
      <c r="N81" s="2351"/>
      <c r="O81" s="2351"/>
      <c r="P81" s="2351"/>
      <c r="Q81" s="2351"/>
      <c r="R81" s="2351"/>
      <c r="S81" s="2351"/>
      <c r="T81" s="2351"/>
      <c r="U81" s="2351"/>
      <c r="V81" s="2351"/>
      <c r="W81" s="2351"/>
      <c r="X81" s="2351"/>
      <c r="Y81" s="2351"/>
      <c r="Z81" s="2351"/>
      <c r="AA81" s="2351"/>
      <c r="AB81" s="2351"/>
      <c r="AC81" s="2351"/>
      <c r="AD81" s="2351"/>
      <c r="AE81" s="2351"/>
      <c r="AF81" s="2351"/>
      <c r="AG81" s="2351"/>
      <c r="AH81" s="2352"/>
      <c r="AI81" s="1203"/>
      <c r="AJ81" s="2353" t="s">
        <v>2610</v>
      </c>
      <c r="AK81" s="2354"/>
      <c r="AL81" s="2354"/>
      <c r="AM81" s="2354"/>
      <c r="AN81" s="2354"/>
      <c r="AO81" s="2354"/>
      <c r="AP81" s="2354"/>
      <c r="AQ81" s="2354"/>
      <c r="AR81" s="2354"/>
      <c r="AS81" s="2354"/>
      <c r="AT81" s="2354"/>
      <c r="AU81" s="2354"/>
      <c r="AV81" s="2354"/>
      <c r="AW81" s="2354"/>
      <c r="AX81" s="2354"/>
      <c r="AY81" s="2357" t="s">
        <v>544</v>
      </c>
      <c r="AZ81" s="2357"/>
      <c r="BA81" s="2357"/>
      <c r="BB81" s="2358"/>
      <c r="BC81" s="1203"/>
      <c r="BD81" s="1203"/>
      <c r="BE81" s="1210"/>
      <c r="CK81" s="1201"/>
      <c r="CL81" s="1201"/>
      <c r="CM81" s="1201"/>
      <c r="CN81" s="1201"/>
      <c r="CO81" s="1201"/>
      <c r="CP81" s="1201"/>
    </row>
    <row r="82" spans="1:94" ht="15.75" customHeight="1">
      <c r="A82" s="1203"/>
      <c r="B82" s="2288"/>
      <c r="C82" s="2289"/>
      <c r="D82" s="2289"/>
      <c r="E82" s="2289"/>
      <c r="F82" s="2289"/>
      <c r="G82" s="2289"/>
      <c r="H82" s="2289"/>
      <c r="I82" s="2289" t="s">
        <v>2304</v>
      </c>
      <c r="J82" s="2289"/>
      <c r="K82" s="2289"/>
      <c r="L82" s="2289"/>
      <c r="M82" s="2289"/>
      <c r="N82" s="2289"/>
      <c r="O82" s="2289" t="s">
        <v>2283</v>
      </c>
      <c r="P82" s="2289"/>
      <c r="Q82" s="2289"/>
      <c r="R82" s="2289"/>
      <c r="S82" s="2289"/>
      <c r="T82" s="2289"/>
      <c r="U82" s="2289"/>
      <c r="V82" s="2361" t="s">
        <v>2282</v>
      </c>
      <c r="W82" s="2361"/>
      <c r="X82" s="2361"/>
      <c r="Y82" s="2361"/>
      <c r="Z82" s="2361"/>
      <c r="AA82" s="2361"/>
      <c r="AB82" s="2362" t="s">
        <v>2303</v>
      </c>
      <c r="AC82" s="2362"/>
      <c r="AD82" s="2362"/>
      <c r="AE82" s="2362"/>
      <c r="AF82" s="2362"/>
      <c r="AG82" s="2362"/>
      <c r="AH82" s="2363"/>
      <c r="AI82" s="1203"/>
      <c r="AJ82" s="2355"/>
      <c r="AK82" s="2356"/>
      <c r="AL82" s="2356"/>
      <c r="AM82" s="2356"/>
      <c r="AN82" s="2356"/>
      <c r="AO82" s="2356"/>
      <c r="AP82" s="2356"/>
      <c r="AQ82" s="2356"/>
      <c r="AR82" s="2356"/>
      <c r="AS82" s="2356"/>
      <c r="AT82" s="2356"/>
      <c r="AU82" s="2356"/>
      <c r="AV82" s="2356"/>
      <c r="AW82" s="2356"/>
      <c r="AX82" s="2356"/>
      <c r="AY82" s="2359"/>
      <c r="AZ82" s="2359"/>
      <c r="BA82" s="2359"/>
      <c r="BB82" s="2360"/>
      <c r="BC82" s="1203"/>
      <c r="BD82" s="1203"/>
      <c r="BE82" s="1210"/>
      <c r="CK82" s="1201"/>
      <c r="CL82" s="1201"/>
      <c r="CM82" s="1201"/>
      <c r="CN82" s="1201"/>
      <c r="CO82" s="1201"/>
      <c r="CP82" s="1201"/>
    </row>
    <row r="83" spans="1:94" ht="15.75" customHeight="1">
      <c r="A83" s="1203"/>
      <c r="B83" s="2288"/>
      <c r="C83" s="2289"/>
      <c r="D83" s="2289"/>
      <c r="E83" s="2289"/>
      <c r="F83" s="2289"/>
      <c r="G83" s="2289"/>
      <c r="H83" s="2289"/>
      <c r="I83" s="2289"/>
      <c r="J83" s="2289"/>
      <c r="K83" s="2289"/>
      <c r="L83" s="2289"/>
      <c r="M83" s="2289"/>
      <c r="N83" s="2289"/>
      <c r="O83" s="2289"/>
      <c r="P83" s="2289"/>
      <c r="Q83" s="2289"/>
      <c r="R83" s="2289"/>
      <c r="S83" s="2289"/>
      <c r="T83" s="2289"/>
      <c r="U83" s="2289"/>
      <c r="V83" s="2361"/>
      <c r="W83" s="2361"/>
      <c r="X83" s="2361"/>
      <c r="Y83" s="2361"/>
      <c r="Z83" s="2361"/>
      <c r="AA83" s="2361"/>
      <c r="AB83" s="2362"/>
      <c r="AC83" s="2362"/>
      <c r="AD83" s="2362"/>
      <c r="AE83" s="2362"/>
      <c r="AF83" s="2362"/>
      <c r="AG83" s="2362"/>
      <c r="AH83" s="2363"/>
      <c r="AI83" s="1203"/>
      <c r="AJ83" s="2355"/>
      <c r="AK83" s="2356"/>
      <c r="AL83" s="2356"/>
      <c r="AM83" s="2356"/>
      <c r="AN83" s="2356"/>
      <c r="AO83" s="2356"/>
      <c r="AP83" s="2356"/>
      <c r="AQ83" s="2356"/>
      <c r="AR83" s="2356"/>
      <c r="AS83" s="2356"/>
      <c r="AT83" s="2356"/>
      <c r="AU83" s="2356"/>
      <c r="AV83" s="2356"/>
      <c r="AW83" s="2356"/>
      <c r="AX83" s="2356"/>
      <c r="AY83" s="2359"/>
      <c r="AZ83" s="2359"/>
      <c r="BA83" s="2359"/>
      <c r="BB83" s="2360"/>
      <c r="BC83" s="1203"/>
      <c r="BD83" s="1203"/>
      <c r="BE83" s="1210"/>
      <c r="CK83" s="1201"/>
      <c r="CL83" s="1201"/>
      <c r="CM83" s="1201"/>
      <c r="CN83" s="1201"/>
      <c r="CO83" s="1201"/>
      <c r="CP83" s="1201"/>
    </row>
    <row r="84" spans="1:94" ht="15.75" customHeight="1">
      <c r="A84" s="1203"/>
      <c r="B84" s="2288" t="s">
        <v>2302</v>
      </c>
      <c r="C84" s="2289"/>
      <c r="D84" s="2289"/>
      <c r="E84" s="2289"/>
      <c r="F84" s="2289"/>
      <c r="G84" s="2289"/>
      <c r="H84" s="2289"/>
      <c r="I84" s="2366">
        <v>2</v>
      </c>
      <c r="J84" s="2366"/>
      <c r="K84" s="2366"/>
      <c r="L84" s="2366"/>
      <c r="M84" s="2366"/>
      <c r="N84" s="2366"/>
      <c r="O84" s="2366">
        <v>1</v>
      </c>
      <c r="P84" s="2366"/>
      <c r="Q84" s="2366"/>
      <c r="R84" s="2366"/>
      <c r="S84" s="2366"/>
      <c r="T84" s="2366"/>
      <c r="U84" s="2366"/>
      <c r="V84" s="2366">
        <v>2</v>
      </c>
      <c r="W84" s="2366"/>
      <c r="X84" s="2366"/>
      <c r="Y84" s="2366"/>
      <c r="Z84" s="2366"/>
      <c r="AA84" s="2366"/>
      <c r="AB84" s="2366">
        <v>2</v>
      </c>
      <c r="AC84" s="2366"/>
      <c r="AD84" s="2366"/>
      <c r="AE84" s="2366"/>
      <c r="AF84" s="2366"/>
      <c r="AG84" s="2366"/>
      <c r="AH84" s="2367"/>
      <c r="AI84" s="1203"/>
      <c r="AJ84" s="2355"/>
      <c r="AK84" s="2356"/>
      <c r="AL84" s="2356"/>
      <c r="AM84" s="2356"/>
      <c r="AN84" s="2356"/>
      <c r="AO84" s="2356"/>
      <c r="AP84" s="2356"/>
      <c r="AQ84" s="2356"/>
      <c r="AR84" s="2356"/>
      <c r="AS84" s="2356"/>
      <c r="AT84" s="2356"/>
      <c r="AU84" s="2356"/>
      <c r="AV84" s="2356"/>
      <c r="AW84" s="2356"/>
      <c r="AX84" s="2356"/>
      <c r="AY84" s="2359"/>
      <c r="AZ84" s="2359"/>
      <c r="BA84" s="2359"/>
      <c r="BB84" s="2360"/>
      <c r="BC84" s="1203"/>
      <c r="BD84" s="1203"/>
      <c r="BE84" s="1210"/>
      <c r="CK84" s="1201"/>
      <c r="CL84" s="1201"/>
      <c r="CM84" s="1201"/>
      <c r="CN84" s="1201"/>
      <c r="CO84" s="1201"/>
      <c r="CP84" s="1201"/>
    </row>
    <row r="85" spans="1:94" ht="15.75" customHeight="1">
      <c r="A85" s="1203"/>
      <c r="B85" s="2288" t="s">
        <v>2301</v>
      </c>
      <c r="C85" s="2289"/>
      <c r="D85" s="2289"/>
      <c r="E85" s="2289"/>
      <c r="F85" s="2289"/>
      <c r="G85" s="2289"/>
      <c r="H85" s="2289"/>
      <c r="I85" s="2366">
        <v>0</v>
      </c>
      <c r="J85" s="2366"/>
      <c r="K85" s="2366"/>
      <c r="L85" s="2366"/>
      <c r="M85" s="2366"/>
      <c r="N85" s="2366"/>
      <c r="O85" s="2366">
        <v>0</v>
      </c>
      <c r="P85" s="2366"/>
      <c r="Q85" s="2366"/>
      <c r="R85" s="2366"/>
      <c r="S85" s="2366"/>
      <c r="T85" s="2366"/>
      <c r="U85" s="2366"/>
      <c r="V85" s="2366">
        <v>7</v>
      </c>
      <c r="W85" s="2366"/>
      <c r="X85" s="2366"/>
      <c r="Y85" s="2366"/>
      <c r="Z85" s="2366"/>
      <c r="AA85" s="2366"/>
      <c r="AB85" s="2366">
        <v>0</v>
      </c>
      <c r="AC85" s="2366"/>
      <c r="AD85" s="2366"/>
      <c r="AE85" s="2366"/>
      <c r="AF85" s="2366"/>
      <c r="AG85" s="2366"/>
      <c r="AH85" s="2367"/>
      <c r="AI85" s="1203"/>
      <c r="AJ85" s="2336" t="s">
        <v>2307</v>
      </c>
      <c r="AK85" s="2337"/>
      <c r="AL85" s="2337"/>
      <c r="AM85" s="2337"/>
      <c r="AN85" s="2337"/>
      <c r="AO85" s="2337"/>
      <c r="AP85" s="2337"/>
      <c r="AQ85" s="2337"/>
      <c r="AR85" s="2337"/>
      <c r="AS85" s="2337"/>
      <c r="AT85" s="2337"/>
      <c r="AU85" s="2337"/>
      <c r="AV85" s="2337"/>
      <c r="AW85" s="2337"/>
      <c r="AX85" s="2337"/>
      <c r="AY85" s="2337"/>
      <c r="AZ85" s="2337"/>
      <c r="BA85" s="2337"/>
      <c r="BB85" s="2338"/>
      <c r="BC85" s="1203"/>
      <c r="BD85" s="1203"/>
      <c r="BE85" s="1210"/>
      <c r="CK85" s="1201"/>
      <c r="CL85" s="1201"/>
      <c r="CM85" s="1201"/>
      <c r="CN85" s="1201"/>
      <c r="CO85" s="1201"/>
      <c r="CP85" s="1201"/>
    </row>
    <row r="86" spans="1:94" ht="15.75" customHeight="1" thickBot="1">
      <c r="A86" s="1203"/>
      <c r="B86" s="2306" t="s">
        <v>2300</v>
      </c>
      <c r="C86" s="2307"/>
      <c r="D86" s="2307"/>
      <c r="E86" s="2307"/>
      <c r="F86" s="2307"/>
      <c r="G86" s="2307"/>
      <c r="H86" s="2307"/>
      <c r="I86" s="2364">
        <v>292</v>
      </c>
      <c r="J86" s="2364"/>
      <c r="K86" s="2364"/>
      <c r="L86" s="2364"/>
      <c r="M86" s="2364"/>
      <c r="N86" s="2364"/>
      <c r="O86" s="2364">
        <v>317</v>
      </c>
      <c r="P86" s="2364"/>
      <c r="Q86" s="2364"/>
      <c r="R86" s="2364"/>
      <c r="S86" s="2364"/>
      <c r="T86" s="2364"/>
      <c r="U86" s="2364"/>
      <c r="V86" s="2364">
        <v>2039</v>
      </c>
      <c r="W86" s="2364"/>
      <c r="X86" s="2364"/>
      <c r="Y86" s="2364"/>
      <c r="Z86" s="2364"/>
      <c r="AA86" s="2364"/>
      <c r="AB86" s="2364">
        <v>364</v>
      </c>
      <c r="AC86" s="2364"/>
      <c r="AD86" s="2364"/>
      <c r="AE86" s="2364"/>
      <c r="AF86" s="2364"/>
      <c r="AG86" s="2364"/>
      <c r="AH86" s="2365"/>
      <c r="AI86" s="1203"/>
      <c r="AJ86" s="2339"/>
      <c r="AK86" s="2340"/>
      <c r="AL86" s="2340"/>
      <c r="AM86" s="2340"/>
      <c r="AN86" s="2340"/>
      <c r="AO86" s="2340"/>
      <c r="AP86" s="2340"/>
      <c r="AQ86" s="2340"/>
      <c r="AR86" s="2340"/>
      <c r="AS86" s="2340"/>
      <c r="AT86" s="2340"/>
      <c r="AU86" s="2340"/>
      <c r="AV86" s="2340"/>
      <c r="AW86" s="2340"/>
      <c r="AX86" s="2340"/>
      <c r="AY86" s="2340"/>
      <c r="AZ86" s="2340"/>
      <c r="BA86" s="2340"/>
      <c r="BB86" s="2341"/>
      <c r="BC86" s="1203"/>
      <c r="BD86" s="1203"/>
      <c r="BE86" s="1210"/>
      <c r="CK86" s="1201"/>
      <c r="CL86" s="1201"/>
      <c r="CM86" s="1201"/>
      <c r="CN86" s="1201"/>
      <c r="CO86" s="1201"/>
      <c r="CP86" s="1201"/>
    </row>
    <row r="87" spans="1:94" ht="15.75" customHeight="1">
      <c r="A87" s="1203"/>
      <c r="B87" s="1203"/>
      <c r="C87" s="1203"/>
      <c r="D87" s="1203"/>
      <c r="E87" s="1203"/>
      <c r="F87" s="1203"/>
      <c r="G87" s="1203"/>
      <c r="H87" s="1203"/>
      <c r="I87" s="1203"/>
      <c r="J87" s="1203"/>
      <c r="K87" s="1203"/>
      <c r="L87" s="1203"/>
      <c r="M87" s="1203"/>
      <c r="N87" s="1203"/>
      <c r="O87" s="1203"/>
      <c r="P87" s="1203"/>
      <c r="Q87" s="1203"/>
      <c r="R87" s="1203"/>
      <c r="S87" s="1203"/>
      <c r="T87" s="1203"/>
      <c r="U87" s="1203"/>
      <c r="V87" s="1203"/>
      <c r="W87" s="1203"/>
      <c r="X87" s="1203"/>
      <c r="Y87" s="1203"/>
      <c r="Z87" s="1203"/>
      <c r="AA87" s="1203"/>
      <c r="AB87" s="1203"/>
      <c r="AC87" s="1203"/>
      <c r="AD87" s="1203"/>
      <c r="AE87" s="1203"/>
      <c r="AF87" s="1203"/>
      <c r="AG87" s="1203"/>
      <c r="AH87" s="1203"/>
      <c r="AI87" s="1203"/>
      <c r="AJ87" s="1203"/>
      <c r="AK87" s="1203"/>
      <c r="AL87" s="1203"/>
      <c r="AM87" s="1203"/>
      <c r="AN87" s="1203"/>
      <c r="AO87" s="1203"/>
      <c r="AP87" s="1203"/>
      <c r="AQ87" s="1203"/>
      <c r="AR87" s="1203"/>
      <c r="AS87" s="1203"/>
      <c r="AT87" s="1203"/>
      <c r="AU87" s="1203"/>
      <c r="AV87" s="1203"/>
      <c r="AW87" s="1203"/>
      <c r="AX87" s="1203"/>
      <c r="AY87" s="1203"/>
      <c r="AZ87" s="1203"/>
      <c r="BA87" s="1203"/>
      <c r="BB87" s="1203"/>
      <c r="BC87" s="1203"/>
      <c r="BD87" s="1203"/>
      <c r="BE87" s="1210"/>
      <c r="CM87" s="1201"/>
      <c r="CN87" s="1201"/>
      <c r="CO87" s="1201"/>
      <c r="CP87" s="1201"/>
    </row>
    <row r="88" spans="1:94" ht="15.75" customHeight="1" thickBot="1">
      <c r="A88" s="1203"/>
      <c r="B88" s="1203"/>
      <c r="C88" s="1203"/>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Z88" s="1203"/>
      <c r="AA88" s="1203"/>
      <c r="AB88" s="1203"/>
      <c r="AC88" s="1203"/>
      <c r="AD88" s="1203"/>
      <c r="AE88" s="1203"/>
      <c r="AF88" s="1203"/>
      <c r="AG88" s="1203"/>
      <c r="AH88" s="1203"/>
      <c r="AI88" s="1203"/>
      <c r="AJ88" s="1203"/>
      <c r="AK88" s="1203"/>
      <c r="AL88" s="1203"/>
      <c r="AM88" s="1203"/>
      <c r="AN88" s="1203"/>
      <c r="AO88" s="1203"/>
      <c r="AP88" s="1203"/>
      <c r="AQ88" s="1203"/>
      <c r="AR88" s="1203"/>
      <c r="AS88" s="1203"/>
      <c r="AT88" s="1203"/>
      <c r="AU88" s="1203"/>
      <c r="AV88" s="1203"/>
      <c r="AW88" s="1203"/>
      <c r="AX88" s="1203"/>
      <c r="AY88" s="1203"/>
      <c r="AZ88" s="1203"/>
      <c r="BA88" s="1203"/>
      <c r="BB88" s="1203"/>
      <c r="BC88" s="1203"/>
      <c r="BD88" s="1203"/>
      <c r="BE88" s="1210"/>
      <c r="CM88" s="1201"/>
      <c r="CN88" s="1201"/>
      <c r="CO88" s="1201"/>
      <c r="CP88" s="1201"/>
    </row>
    <row r="89" spans="1:94" ht="15.75" customHeight="1" thickBot="1">
      <c r="A89" s="1203"/>
      <c r="B89" s="1219" t="s">
        <v>2309</v>
      </c>
      <c r="C89" s="1225"/>
      <c r="D89" s="1226"/>
      <c r="E89" s="1227"/>
      <c r="F89" s="1227"/>
      <c r="G89" s="1227"/>
      <c r="H89" s="1227"/>
      <c r="I89" s="1227"/>
      <c r="J89" s="1227"/>
      <c r="K89" s="1227"/>
      <c r="L89" s="1227"/>
      <c r="M89" s="1227"/>
      <c r="N89" s="1227"/>
      <c r="O89" s="1227"/>
      <c r="P89" s="1227"/>
      <c r="Q89" s="1227"/>
      <c r="R89" s="1227"/>
      <c r="S89" s="1227"/>
      <c r="T89" s="1228"/>
      <c r="U89" s="1203"/>
      <c r="V89" s="1203"/>
      <c r="W89" s="1203"/>
      <c r="X89" s="1203"/>
      <c r="Y89" s="1203"/>
      <c r="Z89" s="1203"/>
      <c r="AA89" s="1203"/>
      <c r="AB89" s="1203"/>
      <c r="AC89" s="1203"/>
      <c r="AD89" s="1203"/>
      <c r="AE89" s="1203"/>
      <c r="AF89" s="1203"/>
      <c r="AG89" s="1203"/>
      <c r="AH89" s="1203"/>
      <c r="AI89" s="1203"/>
      <c r="AJ89" s="1203"/>
      <c r="AK89" s="1203"/>
      <c r="AL89" s="1203"/>
      <c r="AM89" s="1203"/>
      <c r="AN89" s="1203"/>
      <c r="AO89" s="1203"/>
      <c r="AP89" s="1203"/>
      <c r="AQ89" s="1203"/>
      <c r="AR89" s="1203"/>
      <c r="AS89" s="1203"/>
      <c r="AT89" s="1203"/>
      <c r="AU89" s="1203"/>
      <c r="AV89" s="1203"/>
      <c r="AW89" s="1203"/>
      <c r="AX89" s="1203"/>
      <c r="AY89" s="1203"/>
      <c r="AZ89" s="1203"/>
      <c r="BA89" s="1203"/>
      <c r="BB89" s="1203"/>
      <c r="BC89" s="1203"/>
      <c r="BD89" s="1203"/>
      <c r="BE89" s="1210"/>
      <c r="BQ89" s="1185"/>
      <c r="CM89" s="1201"/>
      <c r="CN89" s="1201"/>
      <c r="CO89" s="1201"/>
      <c r="CP89" s="1201"/>
    </row>
    <row r="90" spans="1:94" ht="15.75" customHeight="1">
      <c r="A90" s="1203"/>
      <c r="B90" s="1229" t="s">
        <v>2221</v>
      </c>
      <c r="C90" s="1229"/>
      <c r="D90" s="1230"/>
      <c r="E90" s="1231"/>
      <c r="F90" s="2368" t="str">
        <f>Application!M260</f>
        <v>PacH Anton South Holdings, LLC</v>
      </c>
      <c r="G90" s="2348"/>
      <c r="H90" s="2348"/>
      <c r="I90" s="2348"/>
      <c r="J90" s="2348"/>
      <c r="K90" s="2348"/>
      <c r="L90" s="2348"/>
      <c r="M90" s="2348"/>
      <c r="N90" s="2348"/>
      <c r="O90" s="2348"/>
      <c r="P90" s="2348"/>
      <c r="Q90" s="2348"/>
      <c r="R90" s="2348"/>
      <c r="S90" s="2348"/>
      <c r="T90" s="2349"/>
      <c r="U90" s="1203"/>
      <c r="V90" s="1203"/>
      <c r="W90" s="1203"/>
      <c r="X90" s="1203"/>
      <c r="Y90" s="1203"/>
      <c r="Z90" s="1203"/>
      <c r="AA90" s="1203"/>
      <c r="AB90" s="1203"/>
      <c r="AC90" s="1203"/>
      <c r="AD90" s="1203"/>
      <c r="AE90" s="1203"/>
      <c r="AF90" s="1203"/>
      <c r="AG90" s="1203"/>
      <c r="AH90" s="1203"/>
      <c r="AI90" s="1203"/>
      <c r="AJ90" s="1203"/>
      <c r="AK90" s="1203"/>
      <c r="AL90" s="1203"/>
      <c r="AM90" s="1203"/>
      <c r="AN90" s="1203"/>
      <c r="AO90" s="1203"/>
      <c r="AP90" s="1203"/>
      <c r="AQ90" s="1203"/>
      <c r="AR90" s="1203"/>
      <c r="AS90" s="1203"/>
      <c r="AT90" s="1203"/>
      <c r="AU90" s="1203"/>
      <c r="AV90" s="1203"/>
      <c r="AW90" s="1203"/>
      <c r="AX90" s="1203"/>
      <c r="AY90" s="1203"/>
      <c r="AZ90" s="1203"/>
      <c r="BA90" s="1203"/>
      <c r="BB90" s="1203"/>
      <c r="BC90" s="1203"/>
      <c r="BD90" s="1203"/>
      <c r="BE90" s="1210"/>
      <c r="CM90" s="1201"/>
      <c r="CN90" s="1201"/>
      <c r="CO90" s="1201"/>
      <c r="CP90" s="1201"/>
    </row>
    <row r="91" spans="1:94" ht="15.75" customHeight="1" thickBot="1">
      <c r="A91" s="1203"/>
      <c r="B91" s="1203"/>
      <c r="C91" s="1203"/>
      <c r="D91" s="1203"/>
      <c r="E91" s="1203"/>
      <c r="F91" s="1203"/>
      <c r="G91" s="1203"/>
      <c r="H91" s="1203"/>
      <c r="I91" s="1203"/>
      <c r="J91" s="1203"/>
      <c r="K91" s="1203"/>
      <c r="L91" s="1203"/>
      <c r="M91" s="1203"/>
      <c r="N91" s="1203"/>
      <c r="O91" s="1203"/>
      <c r="P91" s="1203"/>
      <c r="Q91" s="1203"/>
      <c r="R91" s="1203"/>
      <c r="S91" s="1203"/>
      <c r="T91" s="1203"/>
      <c r="U91" s="1203"/>
      <c r="V91" s="1203"/>
      <c r="W91" s="1203"/>
      <c r="X91" s="1203"/>
      <c r="Y91" s="1203"/>
      <c r="Z91" s="1203"/>
      <c r="AA91" s="1203"/>
      <c r="AB91" s="1203"/>
      <c r="AC91" s="1203"/>
      <c r="AD91" s="1203"/>
      <c r="AE91" s="1203"/>
      <c r="AF91" s="1203"/>
      <c r="AG91" s="1203"/>
      <c r="AH91" s="1203"/>
      <c r="AI91" s="1203"/>
      <c r="AJ91" s="1203"/>
      <c r="AK91" s="1203"/>
      <c r="AL91" s="1203"/>
      <c r="AM91" s="1203"/>
      <c r="AN91" s="1203"/>
      <c r="AO91" s="1203"/>
      <c r="AP91" s="1203"/>
      <c r="AQ91" s="1203"/>
      <c r="AR91" s="1203"/>
      <c r="AS91" s="1203"/>
      <c r="AT91" s="1203"/>
      <c r="AU91" s="1203"/>
      <c r="AV91" s="1203"/>
      <c r="AW91" s="1203"/>
      <c r="AX91" s="1203"/>
      <c r="AY91" s="1203"/>
      <c r="AZ91" s="1203"/>
      <c r="BA91" s="1203"/>
      <c r="BB91" s="1203"/>
      <c r="BC91" s="1203"/>
      <c r="BD91" s="1203"/>
      <c r="BE91" s="1210"/>
      <c r="BH91" s="1232"/>
      <c r="BI91" s="1232"/>
      <c r="BJ91" s="1232"/>
      <c r="BK91" s="1232"/>
      <c r="BL91" s="1232"/>
      <c r="BM91" s="1232"/>
      <c r="BN91" s="1232"/>
      <c r="BO91" s="1232"/>
      <c r="BP91" s="1232"/>
      <c r="BQ91" s="1232"/>
      <c r="BR91" s="1232"/>
      <c r="BS91" s="1232"/>
      <c r="CM91" s="1201"/>
      <c r="CN91" s="1201"/>
      <c r="CO91" s="1201"/>
      <c r="CP91" s="1201"/>
    </row>
    <row r="92" spans="1:94" ht="15.75" customHeight="1">
      <c r="A92" s="1203"/>
      <c r="B92" s="2350" t="s">
        <v>2308</v>
      </c>
      <c r="C92" s="2351"/>
      <c r="D92" s="2351"/>
      <c r="E92" s="2351"/>
      <c r="F92" s="2351"/>
      <c r="G92" s="2351"/>
      <c r="H92" s="2351"/>
      <c r="I92" s="2351"/>
      <c r="J92" s="2351"/>
      <c r="K92" s="2351"/>
      <c r="L92" s="2351"/>
      <c r="M92" s="2351"/>
      <c r="N92" s="2351"/>
      <c r="O92" s="2351"/>
      <c r="P92" s="2351"/>
      <c r="Q92" s="2351"/>
      <c r="R92" s="2351"/>
      <c r="S92" s="2351"/>
      <c r="T92" s="2351"/>
      <c r="U92" s="2351"/>
      <c r="V92" s="2351"/>
      <c r="W92" s="2351"/>
      <c r="X92" s="2351"/>
      <c r="Y92" s="2351"/>
      <c r="Z92" s="2351"/>
      <c r="AA92" s="2351"/>
      <c r="AB92" s="2351"/>
      <c r="AC92" s="2351"/>
      <c r="AD92" s="2351"/>
      <c r="AE92" s="2351"/>
      <c r="AF92" s="2351"/>
      <c r="AG92" s="2351"/>
      <c r="AH92" s="2352"/>
      <c r="AI92" s="1203"/>
      <c r="AJ92" s="2353" t="s">
        <v>2611</v>
      </c>
      <c r="AK92" s="2354"/>
      <c r="AL92" s="2354"/>
      <c r="AM92" s="2354"/>
      <c r="AN92" s="2354"/>
      <c r="AO92" s="2354"/>
      <c r="AP92" s="2354"/>
      <c r="AQ92" s="2354"/>
      <c r="AR92" s="2354"/>
      <c r="AS92" s="2354"/>
      <c r="AT92" s="2354"/>
      <c r="AU92" s="2354"/>
      <c r="AV92" s="2354"/>
      <c r="AW92" s="2354"/>
      <c r="AX92" s="2354"/>
      <c r="AY92" s="2357" t="s">
        <v>544</v>
      </c>
      <c r="AZ92" s="2357"/>
      <c r="BA92" s="2357"/>
      <c r="BB92" s="2358"/>
      <c r="BC92" s="1203"/>
      <c r="BD92" s="1203"/>
      <c r="BE92" s="1210"/>
      <c r="BH92" s="1232"/>
      <c r="BI92" s="1232"/>
      <c r="BJ92" s="1232"/>
      <c r="BK92" s="1232"/>
      <c r="BL92" s="1232"/>
      <c r="BM92" s="1232"/>
      <c r="BN92" s="1232"/>
      <c r="BO92" s="1232"/>
      <c r="BP92" s="1232"/>
      <c r="BQ92" s="1232"/>
      <c r="BR92" s="1233"/>
      <c r="BS92" s="1232"/>
      <c r="CM92" s="1201"/>
      <c r="CN92" s="1201"/>
      <c r="CO92" s="1201"/>
      <c r="CP92" s="1201"/>
    </row>
    <row r="93" spans="1:94" ht="15.75" customHeight="1">
      <c r="A93" s="1203"/>
      <c r="B93" s="2288"/>
      <c r="C93" s="2289"/>
      <c r="D93" s="2289"/>
      <c r="E93" s="2289"/>
      <c r="F93" s="2289"/>
      <c r="G93" s="2289"/>
      <c r="H93" s="2289"/>
      <c r="I93" s="2289" t="s">
        <v>2304</v>
      </c>
      <c r="J93" s="2289"/>
      <c r="K93" s="2289"/>
      <c r="L93" s="2289"/>
      <c r="M93" s="2289"/>
      <c r="N93" s="2289"/>
      <c r="O93" s="2289" t="s">
        <v>2283</v>
      </c>
      <c r="P93" s="2289"/>
      <c r="Q93" s="2289"/>
      <c r="R93" s="2289"/>
      <c r="S93" s="2289"/>
      <c r="T93" s="2289"/>
      <c r="U93" s="2289"/>
      <c r="V93" s="2361" t="s">
        <v>2282</v>
      </c>
      <c r="W93" s="2361"/>
      <c r="X93" s="2361"/>
      <c r="Y93" s="2361"/>
      <c r="Z93" s="2361"/>
      <c r="AA93" s="2361"/>
      <c r="AB93" s="2362" t="s">
        <v>2303</v>
      </c>
      <c r="AC93" s="2362"/>
      <c r="AD93" s="2362"/>
      <c r="AE93" s="2362"/>
      <c r="AF93" s="2362"/>
      <c r="AG93" s="2362"/>
      <c r="AH93" s="2363"/>
      <c r="AI93" s="1203"/>
      <c r="AJ93" s="2355"/>
      <c r="AK93" s="2356"/>
      <c r="AL93" s="2356"/>
      <c r="AM93" s="2356"/>
      <c r="AN93" s="2356"/>
      <c r="AO93" s="2356"/>
      <c r="AP93" s="2356"/>
      <c r="AQ93" s="2356"/>
      <c r="AR93" s="2356"/>
      <c r="AS93" s="2356"/>
      <c r="AT93" s="2356"/>
      <c r="AU93" s="2356"/>
      <c r="AV93" s="2356"/>
      <c r="AW93" s="2356"/>
      <c r="AX93" s="2356"/>
      <c r="AY93" s="2359"/>
      <c r="AZ93" s="2359"/>
      <c r="BA93" s="2359"/>
      <c r="BB93" s="2360"/>
      <c r="BC93" s="1203"/>
      <c r="BD93" s="1203"/>
      <c r="BE93" s="1210"/>
      <c r="BH93" s="1232"/>
      <c r="BI93" s="1232"/>
      <c r="BJ93" s="1232"/>
      <c r="BK93" s="1232"/>
      <c r="BL93" s="1232"/>
      <c r="BM93" s="1232"/>
      <c r="BN93" s="1232"/>
      <c r="BO93" s="1232"/>
      <c r="BP93" s="1232"/>
      <c r="BQ93" s="1232"/>
      <c r="BR93" s="1233"/>
      <c r="BS93" s="1232"/>
      <c r="CM93" s="1201"/>
      <c r="CN93" s="1201"/>
      <c r="CO93" s="1201"/>
      <c r="CP93" s="1201"/>
    </row>
    <row r="94" spans="1:94" ht="15.75" customHeight="1">
      <c r="A94" s="1203"/>
      <c r="B94" s="2288"/>
      <c r="C94" s="2289"/>
      <c r="D94" s="2289"/>
      <c r="E94" s="2289"/>
      <c r="F94" s="2289"/>
      <c r="G94" s="2289"/>
      <c r="H94" s="2289"/>
      <c r="I94" s="2289"/>
      <c r="J94" s="2289"/>
      <c r="K94" s="2289"/>
      <c r="L94" s="2289"/>
      <c r="M94" s="2289"/>
      <c r="N94" s="2289"/>
      <c r="O94" s="2289"/>
      <c r="P94" s="2289"/>
      <c r="Q94" s="2289"/>
      <c r="R94" s="2289"/>
      <c r="S94" s="2289"/>
      <c r="T94" s="2289"/>
      <c r="U94" s="2289"/>
      <c r="V94" s="2361"/>
      <c r="W94" s="2361"/>
      <c r="X94" s="2361"/>
      <c r="Y94" s="2361"/>
      <c r="Z94" s="2361"/>
      <c r="AA94" s="2361"/>
      <c r="AB94" s="2362"/>
      <c r="AC94" s="2362"/>
      <c r="AD94" s="2362"/>
      <c r="AE94" s="2362"/>
      <c r="AF94" s="2362"/>
      <c r="AG94" s="2362"/>
      <c r="AH94" s="2363"/>
      <c r="AI94" s="1203"/>
      <c r="AJ94" s="2355"/>
      <c r="AK94" s="2356"/>
      <c r="AL94" s="2356"/>
      <c r="AM94" s="2356"/>
      <c r="AN94" s="2356"/>
      <c r="AO94" s="2356"/>
      <c r="AP94" s="2356"/>
      <c r="AQ94" s="2356"/>
      <c r="AR94" s="2356"/>
      <c r="AS94" s="2356"/>
      <c r="AT94" s="2356"/>
      <c r="AU94" s="2356"/>
      <c r="AV94" s="2356"/>
      <c r="AW94" s="2356"/>
      <c r="AX94" s="2356"/>
      <c r="AY94" s="2359"/>
      <c r="AZ94" s="2359"/>
      <c r="BA94" s="2359"/>
      <c r="BB94" s="2360"/>
      <c r="BC94" s="1203"/>
      <c r="BD94" s="1203"/>
      <c r="BE94" s="1210"/>
      <c r="BH94" s="1232"/>
      <c r="BI94" s="1232"/>
      <c r="BJ94" s="1232"/>
      <c r="BK94" s="1232"/>
      <c r="BL94" s="1232"/>
      <c r="BM94" s="1232"/>
      <c r="BN94" s="1232"/>
      <c r="BO94" s="1232"/>
      <c r="BP94" s="1232"/>
      <c r="BQ94" s="1232"/>
      <c r="BR94" s="1233"/>
      <c r="BS94" s="1232"/>
      <c r="CM94" s="1201"/>
      <c r="CN94" s="1201"/>
      <c r="CO94" s="1201"/>
      <c r="CP94" s="1201"/>
    </row>
    <row r="95" spans="1:94" ht="15.75" customHeight="1">
      <c r="A95" s="1203"/>
      <c r="B95" s="2288" t="s">
        <v>2302</v>
      </c>
      <c r="C95" s="2289"/>
      <c r="D95" s="2289"/>
      <c r="E95" s="2289"/>
      <c r="F95" s="2289"/>
      <c r="G95" s="2289"/>
      <c r="H95" s="2289"/>
      <c r="I95" s="2366">
        <v>5</v>
      </c>
      <c r="J95" s="2366"/>
      <c r="K95" s="2366"/>
      <c r="L95" s="2366"/>
      <c r="M95" s="2366"/>
      <c r="N95" s="2366"/>
      <c r="O95" s="2366">
        <v>5</v>
      </c>
      <c r="P95" s="2366"/>
      <c r="Q95" s="2366"/>
      <c r="R95" s="2366"/>
      <c r="S95" s="2366"/>
      <c r="T95" s="2366"/>
      <c r="U95" s="2366"/>
      <c r="V95" s="2366">
        <v>40</v>
      </c>
      <c r="W95" s="2366"/>
      <c r="X95" s="2366"/>
      <c r="Y95" s="2366"/>
      <c r="Z95" s="2366"/>
      <c r="AA95" s="2366"/>
      <c r="AB95" s="2366">
        <v>12</v>
      </c>
      <c r="AC95" s="2366"/>
      <c r="AD95" s="2366"/>
      <c r="AE95" s="2366"/>
      <c r="AF95" s="2366"/>
      <c r="AG95" s="2366"/>
      <c r="AH95" s="2367"/>
      <c r="AI95" s="1203"/>
      <c r="AJ95" s="2355"/>
      <c r="AK95" s="2356"/>
      <c r="AL95" s="2356"/>
      <c r="AM95" s="2356"/>
      <c r="AN95" s="2356"/>
      <c r="AO95" s="2356"/>
      <c r="AP95" s="2356"/>
      <c r="AQ95" s="2356"/>
      <c r="AR95" s="2356"/>
      <c r="AS95" s="2356"/>
      <c r="AT95" s="2356"/>
      <c r="AU95" s="2356"/>
      <c r="AV95" s="2356"/>
      <c r="AW95" s="2356"/>
      <c r="AX95" s="2356"/>
      <c r="AY95" s="2359"/>
      <c r="AZ95" s="2359"/>
      <c r="BA95" s="2359"/>
      <c r="BB95" s="2360"/>
      <c r="BC95" s="1203"/>
      <c r="BD95" s="1203"/>
      <c r="BE95" s="1210"/>
      <c r="BH95" s="1232"/>
      <c r="BI95" s="1232"/>
      <c r="BJ95" s="1232"/>
      <c r="BK95" s="1232"/>
      <c r="BL95" s="1232"/>
      <c r="BM95" s="1232"/>
      <c r="BN95" s="1232"/>
      <c r="BO95" s="1232"/>
      <c r="BP95" s="1232"/>
      <c r="BQ95" s="1232"/>
      <c r="BR95" s="1232"/>
      <c r="BS95" s="1232"/>
      <c r="CM95" s="1201"/>
      <c r="CN95" s="1201"/>
      <c r="CO95" s="1201"/>
      <c r="CP95" s="1201"/>
    </row>
    <row r="96" spans="1:94" ht="15.75" customHeight="1">
      <c r="A96" s="1203"/>
      <c r="B96" s="2288" t="s">
        <v>2301</v>
      </c>
      <c r="C96" s="2289"/>
      <c r="D96" s="2289"/>
      <c r="E96" s="2289"/>
      <c r="F96" s="2289"/>
      <c r="G96" s="2289"/>
      <c r="H96" s="2289"/>
      <c r="I96" s="2366">
        <v>0</v>
      </c>
      <c r="J96" s="2366"/>
      <c r="K96" s="2366"/>
      <c r="L96" s="2366"/>
      <c r="M96" s="2366"/>
      <c r="N96" s="2366"/>
      <c r="O96" s="2366">
        <v>0</v>
      </c>
      <c r="P96" s="2366"/>
      <c r="Q96" s="2366"/>
      <c r="R96" s="2366"/>
      <c r="S96" s="2366"/>
      <c r="T96" s="2366"/>
      <c r="U96" s="2366"/>
      <c r="V96" s="2366">
        <v>0</v>
      </c>
      <c r="W96" s="2366"/>
      <c r="X96" s="2366"/>
      <c r="Y96" s="2366"/>
      <c r="Z96" s="2366"/>
      <c r="AA96" s="2366"/>
      <c r="AB96" s="2366">
        <v>0</v>
      </c>
      <c r="AC96" s="2366"/>
      <c r="AD96" s="2366"/>
      <c r="AE96" s="2366"/>
      <c r="AF96" s="2366"/>
      <c r="AG96" s="2366"/>
      <c r="AH96" s="2367"/>
      <c r="AI96" s="1203"/>
      <c r="AJ96" s="2336" t="s">
        <v>2307</v>
      </c>
      <c r="AK96" s="2337"/>
      <c r="AL96" s="2337"/>
      <c r="AM96" s="2337"/>
      <c r="AN96" s="2337"/>
      <c r="AO96" s="2337"/>
      <c r="AP96" s="2337"/>
      <c r="AQ96" s="2337"/>
      <c r="AR96" s="2337"/>
      <c r="AS96" s="2337"/>
      <c r="AT96" s="2337"/>
      <c r="AU96" s="2337"/>
      <c r="AV96" s="2337"/>
      <c r="AW96" s="2337"/>
      <c r="AX96" s="2337"/>
      <c r="AY96" s="2337"/>
      <c r="AZ96" s="2337"/>
      <c r="BA96" s="2337"/>
      <c r="BB96" s="2338"/>
      <c r="BC96" s="1203"/>
      <c r="BD96" s="1203"/>
      <c r="BE96" s="1210"/>
      <c r="BH96" s="1232"/>
      <c r="BI96" s="1232"/>
      <c r="BJ96" s="1232"/>
      <c r="BK96" s="1232"/>
      <c r="BL96" s="1232"/>
      <c r="BM96" s="1232"/>
      <c r="BN96" s="1232"/>
      <c r="BO96" s="1232"/>
      <c r="BP96" s="1232"/>
      <c r="BQ96" s="1232"/>
      <c r="BR96" s="1232"/>
      <c r="BS96" s="1232"/>
      <c r="CM96" s="1201"/>
      <c r="CN96" s="1201"/>
      <c r="CO96" s="1201"/>
      <c r="CP96" s="1201"/>
    </row>
    <row r="97" spans="1:94" ht="15.75" customHeight="1" thickBot="1">
      <c r="A97" s="1203"/>
      <c r="B97" s="2306" t="s">
        <v>2300</v>
      </c>
      <c r="C97" s="2307"/>
      <c r="D97" s="2307"/>
      <c r="E97" s="2307"/>
      <c r="F97" s="2307"/>
      <c r="G97" s="2307"/>
      <c r="H97" s="2307"/>
      <c r="I97" s="2364">
        <v>500</v>
      </c>
      <c r="J97" s="2364"/>
      <c r="K97" s="2364"/>
      <c r="L97" s="2364"/>
      <c r="M97" s="2364"/>
      <c r="N97" s="2364"/>
      <c r="O97" s="2364">
        <v>700</v>
      </c>
      <c r="P97" s="2364"/>
      <c r="Q97" s="2364"/>
      <c r="R97" s="2364"/>
      <c r="S97" s="2364"/>
      <c r="T97" s="2364"/>
      <c r="U97" s="2364"/>
      <c r="V97" s="2364">
        <v>6000</v>
      </c>
      <c r="W97" s="2364"/>
      <c r="X97" s="2364"/>
      <c r="Y97" s="2364"/>
      <c r="Z97" s="2364"/>
      <c r="AA97" s="2364"/>
      <c r="AB97" s="2364">
        <v>1200</v>
      </c>
      <c r="AC97" s="2364"/>
      <c r="AD97" s="2364"/>
      <c r="AE97" s="2364"/>
      <c r="AF97" s="2364"/>
      <c r="AG97" s="2364"/>
      <c r="AH97" s="2365"/>
      <c r="AI97" s="1203"/>
      <c r="AJ97" s="2339"/>
      <c r="AK97" s="2340"/>
      <c r="AL97" s="2340"/>
      <c r="AM97" s="2340"/>
      <c r="AN97" s="2340"/>
      <c r="AO97" s="2340"/>
      <c r="AP97" s="2340"/>
      <c r="AQ97" s="2340"/>
      <c r="AR97" s="2340"/>
      <c r="AS97" s="2340"/>
      <c r="AT97" s="2340"/>
      <c r="AU97" s="2340"/>
      <c r="AV97" s="2340"/>
      <c r="AW97" s="2340"/>
      <c r="AX97" s="2340"/>
      <c r="AY97" s="2340"/>
      <c r="AZ97" s="2340"/>
      <c r="BA97" s="2340"/>
      <c r="BB97" s="2341"/>
      <c r="BC97" s="1203"/>
      <c r="BD97" s="1203"/>
      <c r="BE97" s="1210"/>
      <c r="BH97" s="1232"/>
      <c r="BI97" s="1232"/>
      <c r="BJ97" s="1232"/>
      <c r="BK97" s="1232"/>
      <c r="BL97" s="1232"/>
      <c r="BM97" s="1232"/>
      <c r="BN97" s="1232"/>
      <c r="BO97" s="1232"/>
      <c r="BP97" s="1232"/>
      <c r="BQ97" s="1232"/>
      <c r="BR97" s="1232"/>
      <c r="BS97" s="1232"/>
      <c r="CM97" s="1201"/>
      <c r="CN97" s="1201"/>
      <c r="CO97" s="1201"/>
      <c r="CP97" s="1201"/>
    </row>
    <row r="98" spans="1:94" ht="15.75" customHeight="1" thickBot="1">
      <c r="A98" s="1203"/>
      <c r="B98" s="1203"/>
      <c r="C98" s="1203"/>
      <c r="D98" s="1203"/>
      <c r="E98" s="1203"/>
      <c r="F98" s="1203"/>
      <c r="G98" s="1203"/>
      <c r="H98" s="1203"/>
      <c r="I98" s="1203"/>
      <c r="J98" s="1203"/>
      <c r="K98" s="1203"/>
      <c r="L98" s="1203"/>
      <c r="M98" s="1203"/>
      <c r="N98" s="1203"/>
      <c r="O98" s="1203"/>
      <c r="P98" s="1203"/>
      <c r="Q98" s="1203"/>
      <c r="R98" s="1203"/>
      <c r="S98" s="1203"/>
      <c r="T98" s="1203"/>
      <c r="U98" s="1203"/>
      <c r="V98" s="1203"/>
      <c r="W98" s="1203"/>
      <c r="X98" s="1203"/>
      <c r="Y98" s="1203"/>
      <c r="Z98" s="1203"/>
      <c r="AA98" s="1203"/>
      <c r="AB98" s="1203"/>
      <c r="AC98" s="1203"/>
      <c r="AD98" s="1203"/>
      <c r="AE98" s="1203"/>
      <c r="AF98" s="1203"/>
      <c r="AG98" s="1203"/>
      <c r="AH98" s="1203"/>
      <c r="AI98" s="1203"/>
      <c r="AJ98" s="1203"/>
      <c r="AK98" s="1203"/>
      <c r="AL98" s="1203"/>
      <c r="AM98" s="1203"/>
      <c r="AN98" s="1203"/>
      <c r="AO98" s="1203"/>
      <c r="AP98" s="1203"/>
      <c r="AQ98" s="1203"/>
      <c r="AR98" s="1203"/>
      <c r="AS98" s="1203"/>
      <c r="AT98" s="1203"/>
      <c r="AU98" s="1203"/>
      <c r="AV98" s="1203"/>
      <c r="AW98" s="1203"/>
      <c r="AX98" s="1203"/>
      <c r="AY98" s="1203"/>
      <c r="AZ98" s="1203"/>
      <c r="BA98" s="1203"/>
      <c r="BB98" s="1203"/>
      <c r="BC98" s="1203"/>
      <c r="BD98" s="1203"/>
      <c r="BE98" s="1210"/>
      <c r="BH98" s="1232"/>
      <c r="BI98" s="1232"/>
      <c r="BJ98" s="1232"/>
      <c r="BK98" s="1232"/>
      <c r="BL98" s="1232"/>
      <c r="BM98" s="1232"/>
      <c r="BN98" s="1232"/>
      <c r="BO98" s="1232"/>
      <c r="BP98" s="1232"/>
      <c r="BQ98" s="1232"/>
      <c r="BR98" s="1232"/>
      <c r="BS98" s="1232"/>
      <c r="CM98" s="1201"/>
      <c r="CN98" s="1201"/>
      <c r="CO98" s="1201"/>
      <c r="CP98" s="1201"/>
    </row>
    <row r="99" spans="1:94" ht="15.75" customHeight="1" thickBot="1">
      <c r="A99" s="1203"/>
      <c r="B99" s="1226" t="s">
        <v>2306</v>
      </c>
      <c r="C99" s="1220"/>
      <c r="D99" s="1221"/>
      <c r="E99" s="1221"/>
      <c r="F99" s="1234"/>
      <c r="G99" s="1234"/>
      <c r="H99" s="1234"/>
      <c r="I99" s="1234"/>
      <c r="J99" s="1234"/>
      <c r="K99" s="1234"/>
      <c r="L99" s="1234"/>
      <c r="M99" s="1234"/>
      <c r="N99" s="1234"/>
      <c r="O99" s="1235"/>
      <c r="P99" s="1234"/>
      <c r="Q99" s="1234"/>
      <c r="R99" s="1235"/>
      <c r="S99" s="1203" t="s">
        <v>249</v>
      </c>
      <c r="T99" s="1203"/>
      <c r="U99" s="1203"/>
      <c r="V99" s="1203"/>
      <c r="W99" s="1203"/>
      <c r="X99" s="1203"/>
      <c r="Y99" s="1203"/>
      <c r="Z99" s="1203"/>
      <c r="AA99" s="1203"/>
      <c r="AB99" s="1203"/>
      <c r="AC99" s="1203"/>
      <c r="AD99" s="1203"/>
      <c r="AE99" s="1203"/>
      <c r="AF99" s="1203"/>
      <c r="AG99" s="1203"/>
      <c r="AH99" s="1203"/>
      <c r="AI99" s="1203"/>
      <c r="AJ99" s="1203"/>
      <c r="AK99" s="1203"/>
      <c r="AL99" s="1203"/>
      <c r="AM99" s="1203"/>
      <c r="AN99" s="1203"/>
      <c r="AO99" s="1203"/>
      <c r="AP99" s="1203"/>
      <c r="AQ99" s="1203"/>
      <c r="AR99" s="1203"/>
      <c r="AS99" s="1203"/>
      <c r="AT99" s="1203"/>
      <c r="AU99" s="1203"/>
      <c r="AV99" s="1203"/>
      <c r="AW99" s="1203"/>
      <c r="AX99" s="1203"/>
      <c r="AY99" s="1203"/>
      <c r="AZ99" s="1203"/>
      <c r="BA99" s="1203"/>
      <c r="BB99" s="1203"/>
      <c r="BC99" s="1203"/>
      <c r="BD99" s="1203"/>
      <c r="BE99" s="1210"/>
      <c r="BH99" s="1232"/>
      <c r="BI99" s="1232"/>
      <c r="BJ99" s="1232"/>
      <c r="BK99" s="1232"/>
      <c r="BL99" s="1232"/>
      <c r="BM99" s="1232"/>
      <c r="BN99" s="1232"/>
      <c r="BO99" s="1232"/>
      <c r="BP99" s="1232"/>
      <c r="BQ99" s="1232"/>
      <c r="BR99" s="1232"/>
      <c r="BS99" s="1232"/>
      <c r="CM99" s="1201"/>
      <c r="CN99" s="1201"/>
      <c r="CO99" s="1201"/>
      <c r="CP99" s="1201"/>
    </row>
    <row r="100" spans="1:94" ht="15.75" customHeight="1">
      <c r="A100" s="1203"/>
      <c r="B100" s="1229" t="s">
        <v>2221</v>
      </c>
      <c r="C100" s="1229"/>
      <c r="D100" s="1236"/>
      <c r="E100" s="1237"/>
      <c r="F100" s="2369"/>
      <c r="G100" s="2370"/>
      <c r="H100" s="2370"/>
      <c r="I100" s="2370"/>
      <c r="J100" s="2370"/>
      <c r="K100" s="2370"/>
      <c r="L100" s="2370"/>
      <c r="M100" s="2370"/>
      <c r="N100" s="2370"/>
      <c r="O100" s="2370"/>
      <c r="P100" s="2370"/>
      <c r="Q100" s="2370"/>
      <c r="R100" s="2371"/>
      <c r="S100" s="1203"/>
      <c r="T100" s="1203"/>
      <c r="U100" s="1203"/>
      <c r="V100" s="1203"/>
      <c r="W100" s="1203"/>
      <c r="X100" s="1203"/>
      <c r="Y100" s="1203"/>
      <c r="Z100" s="1203"/>
      <c r="AA100" s="1203"/>
      <c r="AB100" s="1203"/>
      <c r="AC100" s="1203"/>
      <c r="AD100" s="1203"/>
      <c r="AE100" s="1203"/>
      <c r="AF100" s="1203"/>
      <c r="AG100" s="1203"/>
      <c r="AH100" s="1203"/>
      <c r="AI100" s="1203"/>
      <c r="AJ100" s="1203"/>
      <c r="AK100" s="1203"/>
      <c r="AL100" s="1203"/>
      <c r="AM100" s="1203"/>
      <c r="AN100" s="1203"/>
      <c r="AO100" s="1203"/>
      <c r="AP100" s="1203"/>
      <c r="AQ100" s="1203"/>
      <c r="AR100" s="1203"/>
      <c r="AS100" s="1203"/>
      <c r="AT100" s="1203"/>
      <c r="AU100" s="1203"/>
      <c r="AV100" s="1203"/>
      <c r="AW100" s="1203"/>
      <c r="AX100" s="1203"/>
      <c r="AY100" s="1203"/>
      <c r="AZ100" s="1203"/>
      <c r="BA100" s="1203"/>
      <c r="BB100" s="1203"/>
      <c r="BC100" s="1203"/>
      <c r="BD100" s="1203"/>
      <c r="BE100" s="1210"/>
      <c r="CM100" s="1201"/>
      <c r="CN100" s="1201"/>
      <c r="CO100" s="1201"/>
      <c r="CP100" s="1201"/>
    </row>
    <row r="101" spans="1:94" ht="15.75" customHeight="1" thickBot="1">
      <c r="A101" s="1203"/>
      <c r="B101" s="1203"/>
      <c r="C101" s="1203"/>
      <c r="D101" s="1203"/>
      <c r="E101" s="1203"/>
      <c r="F101" s="1203"/>
      <c r="G101" s="1203"/>
      <c r="H101" s="1203"/>
      <c r="I101" s="1203"/>
      <c r="J101" s="1203"/>
      <c r="K101" s="1203"/>
      <c r="L101" s="1203"/>
      <c r="M101" s="1203"/>
      <c r="N101" s="1203"/>
      <c r="O101" s="1203"/>
      <c r="P101" s="1238"/>
      <c r="Q101" s="1203"/>
      <c r="R101" s="1203"/>
      <c r="S101" s="1203"/>
      <c r="T101" s="1203"/>
      <c r="U101" s="1203"/>
      <c r="V101" s="1203"/>
      <c r="W101" s="1203"/>
      <c r="X101" s="1203"/>
      <c r="Y101" s="1203"/>
      <c r="Z101" s="1203"/>
      <c r="AA101" s="1203"/>
      <c r="AB101" s="1203"/>
      <c r="AC101" s="1203"/>
      <c r="AD101" s="1203"/>
      <c r="AE101" s="1203"/>
      <c r="AF101" s="1203"/>
      <c r="AG101" s="1203"/>
      <c r="AH101" s="1203"/>
      <c r="AI101" s="1203"/>
      <c r="AJ101" s="1203"/>
      <c r="AK101" s="1203"/>
      <c r="AL101" s="1203"/>
      <c r="AM101" s="1203"/>
      <c r="AN101" s="1203"/>
      <c r="AO101" s="1203"/>
      <c r="AP101" s="1203"/>
      <c r="AQ101" s="1203"/>
      <c r="AR101" s="1203"/>
      <c r="AS101" s="1203"/>
      <c r="AT101" s="1203"/>
      <c r="AU101" s="1203"/>
      <c r="AV101" s="1203"/>
      <c r="AW101" s="1203"/>
      <c r="AX101" s="1203"/>
      <c r="AY101" s="1203"/>
      <c r="AZ101" s="1203"/>
      <c r="BA101" s="1203"/>
      <c r="BB101" s="1203"/>
      <c r="BC101" s="1203"/>
      <c r="BD101" s="1203"/>
      <c r="BE101" s="1210"/>
      <c r="CM101" s="1201"/>
      <c r="CN101" s="1201"/>
      <c r="CO101" s="1201"/>
      <c r="CP101" s="1201"/>
    </row>
    <row r="102" spans="1:94" ht="15.75" customHeight="1">
      <c r="A102" s="1203"/>
      <c r="B102" s="2332" t="s">
        <v>2305</v>
      </c>
      <c r="C102" s="2333"/>
      <c r="D102" s="2333"/>
      <c r="E102" s="2333"/>
      <c r="F102" s="2333"/>
      <c r="G102" s="2333"/>
      <c r="H102" s="2333"/>
      <c r="I102" s="2333"/>
      <c r="J102" s="2333"/>
      <c r="K102" s="2333"/>
      <c r="L102" s="2333"/>
      <c r="M102" s="2333"/>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72"/>
      <c r="AI102" s="1203"/>
      <c r="AJ102" s="1203"/>
      <c r="AK102" s="1203"/>
      <c r="AL102" s="1203"/>
      <c r="AM102" s="1203"/>
      <c r="AN102" s="1203"/>
      <c r="AO102" s="1203"/>
      <c r="AP102" s="1203"/>
      <c r="AQ102" s="1203"/>
      <c r="AR102" s="1203"/>
      <c r="AS102" s="1203"/>
      <c r="AT102" s="1203"/>
      <c r="AU102" s="1203"/>
      <c r="AV102" s="1203"/>
      <c r="AW102" s="1203"/>
      <c r="AX102" s="1203"/>
      <c r="AY102" s="1203"/>
      <c r="AZ102" s="1203"/>
      <c r="BA102" s="1203"/>
      <c r="BB102" s="1203"/>
      <c r="BC102" s="1203"/>
      <c r="BD102" s="1203"/>
      <c r="BE102" s="1210"/>
      <c r="CM102" s="1201"/>
      <c r="CN102" s="1201"/>
      <c r="CO102" s="1201"/>
      <c r="CP102" s="1201"/>
    </row>
    <row r="103" spans="1:94" ht="16.5" customHeight="1">
      <c r="A103" s="1203"/>
      <c r="B103" s="2288"/>
      <c r="C103" s="2289"/>
      <c r="D103" s="2289"/>
      <c r="E103" s="2289"/>
      <c r="F103" s="2289"/>
      <c r="G103" s="2289"/>
      <c r="H103" s="2289"/>
      <c r="I103" s="2289" t="s">
        <v>2304</v>
      </c>
      <c r="J103" s="2289"/>
      <c r="K103" s="2289"/>
      <c r="L103" s="2289"/>
      <c r="M103" s="2289"/>
      <c r="N103" s="2289"/>
      <c r="O103" s="2289" t="s">
        <v>2283</v>
      </c>
      <c r="P103" s="2289"/>
      <c r="Q103" s="2289"/>
      <c r="R103" s="2289"/>
      <c r="S103" s="2289"/>
      <c r="T103" s="2289"/>
      <c r="U103" s="2289"/>
      <c r="V103" s="2361" t="s">
        <v>2282</v>
      </c>
      <c r="W103" s="2361"/>
      <c r="X103" s="2361"/>
      <c r="Y103" s="2361"/>
      <c r="Z103" s="2361"/>
      <c r="AA103" s="2361"/>
      <c r="AB103" s="2362" t="s">
        <v>2303</v>
      </c>
      <c r="AC103" s="2362"/>
      <c r="AD103" s="2362"/>
      <c r="AE103" s="2362"/>
      <c r="AF103" s="2362"/>
      <c r="AG103" s="2362"/>
      <c r="AH103" s="2363"/>
      <c r="AI103" s="1203"/>
      <c r="AJ103" s="1203"/>
      <c r="AK103" s="1203"/>
      <c r="AL103" s="1203"/>
      <c r="AM103" s="1203"/>
      <c r="AN103" s="1203"/>
      <c r="AO103" s="1203"/>
      <c r="AP103" s="1203"/>
      <c r="AQ103" s="1203"/>
      <c r="AR103" s="1203"/>
      <c r="AS103" s="1203"/>
      <c r="AT103" s="1203"/>
      <c r="AU103" s="1203"/>
      <c r="AV103" s="1203"/>
      <c r="AW103" s="1203"/>
      <c r="AX103" s="1203"/>
      <c r="AY103" s="1203"/>
      <c r="AZ103" s="1203"/>
      <c r="BA103" s="1203"/>
      <c r="BB103" s="1203"/>
      <c r="BC103" s="1203"/>
      <c r="BD103" s="1203"/>
      <c r="BE103" s="1210"/>
      <c r="CM103" s="1201"/>
      <c r="CN103" s="1201"/>
      <c r="CO103" s="1201"/>
      <c r="CP103" s="1201"/>
    </row>
    <row r="104" spans="1:94" ht="16.5" customHeight="1">
      <c r="A104" s="1203"/>
      <c r="B104" s="2288"/>
      <c r="C104" s="2289"/>
      <c r="D104" s="2289"/>
      <c r="E104" s="2289"/>
      <c r="F104" s="2289"/>
      <c r="G104" s="2289"/>
      <c r="H104" s="2289"/>
      <c r="I104" s="2289"/>
      <c r="J104" s="2289"/>
      <c r="K104" s="2289"/>
      <c r="L104" s="2289"/>
      <c r="M104" s="2289"/>
      <c r="N104" s="2289"/>
      <c r="O104" s="2289"/>
      <c r="P104" s="2289"/>
      <c r="Q104" s="2289"/>
      <c r="R104" s="2289"/>
      <c r="S104" s="2289"/>
      <c r="T104" s="2289"/>
      <c r="U104" s="2289"/>
      <c r="V104" s="2361"/>
      <c r="W104" s="2361"/>
      <c r="X104" s="2361"/>
      <c r="Y104" s="2361"/>
      <c r="Z104" s="2361"/>
      <c r="AA104" s="2361"/>
      <c r="AB104" s="2362"/>
      <c r="AC104" s="2362"/>
      <c r="AD104" s="2362"/>
      <c r="AE104" s="2362"/>
      <c r="AF104" s="2362"/>
      <c r="AG104" s="2362"/>
      <c r="AH104" s="2363"/>
      <c r="AI104" s="1203"/>
      <c r="AJ104" s="1203"/>
      <c r="AK104" s="1203"/>
      <c r="AL104" s="1203"/>
      <c r="AM104" s="1203"/>
      <c r="AN104" s="1203"/>
      <c r="AO104" s="1203"/>
      <c r="AP104" s="1203"/>
      <c r="AQ104" s="1203"/>
      <c r="AR104" s="1203"/>
      <c r="AS104" s="1203"/>
      <c r="AT104" s="1203"/>
      <c r="AU104" s="1203"/>
      <c r="AV104" s="1203"/>
      <c r="AW104" s="1203"/>
      <c r="AX104" s="1203"/>
      <c r="AY104" s="1203"/>
      <c r="AZ104" s="1203"/>
      <c r="BA104" s="1203"/>
      <c r="BB104" s="1203"/>
      <c r="BC104" s="1203"/>
      <c r="BD104" s="1203"/>
      <c r="BE104" s="1210"/>
      <c r="CM104" s="1201"/>
      <c r="CN104" s="1201"/>
      <c r="CO104" s="1201"/>
      <c r="CP104" s="1201"/>
    </row>
    <row r="105" spans="1:94" ht="15.75" customHeight="1">
      <c r="A105" s="1203"/>
      <c r="B105" s="2288" t="s">
        <v>2302</v>
      </c>
      <c r="C105" s="2289"/>
      <c r="D105" s="2289"/>
      <c r="E105" s="2289"/>
      <c r="F105" s="2289"/>
      <c r="G105" s="2289"/>
      <c r="H105" s="2289"/>
      <c r="I105" s="2366">
        <v>0</v>
      </c>
      <c r="J105" s="2366"/>
      <c r="K105" s="2366"/>
      <c r="L105" s="2366"/>
      <c r="M105" s="2366"/>
      <c r="N105" s="2366"/>
      <c r="O105" s="2366">
        <v>0</v>
      </c>
      <c r="P105" s="2366"/>
      <c r="Q105" s="2366"/>
      <c r="R105" s="2366"/>
      <c r="S105" s="2366"/>
      <c r="T105" s="2366"/>
      <c r="U105" s="2366"/>
      <c r="V105" s="2366">
        <v>0</v>
      </c>
      <c r="W105" s="2366"/>
      <c r="X105" s="2366"/>
      <c r="Y105" s="2366"/>
      <c r="Z105" s="2366"/>
      <c r="AA105" s="2366"/>
      <c r="AB105" s="2366">
        <v>0</v>
      </c>
      <c r="AC105" s="2366"/>
      <c r="AD105" s="2366"/>
      <c r="AE105" s="2366"/>
      <c r="AF105" s="2366"/>
      <c r="AG105" s="2366"/>
      <c r="AH105" s="2367"/>
      <c r="AI105" s="1203"/>
      <c r="AJ105" s="1203"/>
      <c r="AK105" s="1203"/>
      <c r="AL105" s="1203"/>
      <c r="AM105" s="1203"/>
      <c r="AN105" s="1203"/>
      <c r="AO105" s="1203"/>
      <c r="AP105" s="1203"/>
      <c r="AQ105" s="1203"/>
      <c r="AR105" s="1203"/>
      <c r="AS105" s="1203"/>
      <c r="AT105" s="1203"/>
      <c r="AU105" s="1203"/>
      <c r="AV105" s="1203"/>
      <c r="AW105" s="1203"/>
      <c r="AX105" s="1203"/>
      <c r="AY105" s="1203"/>
      <c r="AZ105" s="1203"/>
      <c r="BA105" s="1203"/>
      <c r="BB105" s="1203"/>
      <c r="BC105" s="1203"/>
      <c r="BD105" s="1203"/>
      <c r="BE105" s="1210"/>
      <c r="CM105" s="1201"/>
      <c r="CN105" s="1201"/>
      <c r="CO105" s="1201"/>
      <c r="CP105" s="1201"/>
    </row>
    <row r="106" spans="1:94" ht="15.75" customHeight="1">
      <c r="A106" s="1203"/>
      <c r="B106" s="2288" t="s">
        <v>2301</v>
      </c>
      <c r="C106" s="2289"/>
      <c r="D106" s="2289"/>
      <c r="E106" s="2289"/>
      <c r="F106" s="2289"/>
      <c r="G106" s="2289"/>
      <c r="H106" s="2289"/>
      <c r="I106" s="2366">
        <v>0</v>
      </c>
      <c r="J106" s="2366"/>
      <c r="K106" s="2366"/>
      <c r="L106" s="2366"/>
      <c r="M106" s="2366"/>
      <c r="N106" s="2366"/>
      <c r="O106" s="2366">
        <v>0</v>
      </c>
      <c r="P106" s="2366"/>
      <c r="Q106" s="2366"/>
      <c r="R106" s="2366"/>
      <c r="S106" s="2366"/>
      <c r="T106" s="2366"/>
      <c r="U106" s="2366"/>
      <c r="V106" s="2366">
        <v>0</v>
      </c>
      <c r="W106" s="2366"/>
      <c r="X106" s="2366"/>
      <c r="Y106" s="2366"/>
      <c r="Z106" s="2366"/>
      <c r="AA106" s="2366"/>
      <c r="AB106" s="2366">
        <v>0</v>
      </c>
      <c r="AC106" s="2366"/>
      <c r="AD106" s="2366"/>
      <c r="AE106" s="2366"/>
      <c r="AF106" s="2366"/>
      <c r="AG106" s="2366"/>
      <c r="AH106" s="2367"/>
      <c r="AI106" s="1203"/>
      <c r="AJ106" s="1203"/>
      <c r="AK106" s="1203"/>
      <c r="AL106" s="1203"/>
      <c r="AM106" s="1203"/>
      <c r="AN106" s="1203"/>
      <c r="AO106" s="1203"/>
      <c r="AP106" s="1203"/>
      <c r="AQ106" s="1203"/>
      <c r="AR106" s="1203"/>
      <c r="AS106" s="1203"/>
      <c r="AT106" s="1203"/>
      <c r="AU106" s="1203"/>
      <c r="AV106" s="1203"/>
      <c r="AW106" s="1203"/>
      <c r="AX106" s="1203"/>
      <c r="AY106" s="1203"/>
      <c r="AZ106" s="1203"/>
      <c r="BA106" s="1203"/>
      <c r="BB106" s="1203"/>
      <c r="BC106" s="1203"/>
      <c r="BD106" s="1203"/>
      <c r="BE106" s="1210"/>
      <c r="CM106" s="1201"/>
      <c r="CN106" s="1201"/>
      <c r="CO106" s="1201"/>
      <c r="CP106" s="1201"/>
    </row>
    <row r="107" spans="1:94" ht="15.75" customHeight="1" thickBot="1">
      <c r="A107" s="1203"/>
      <c r="B107" s="2306" t="s">
        <v>2300</v>
      </c>
      <c r="C107" s="2307"/>
      <c r="D107" s="2307"/>
      <c r="E107" s="2307"/>
      <c r="F107" s="2307"/>
      <c r="G107" s="2307"/>
      <c r="H107" s="2307"/>
      <c r="I107" s="2364">
        <v>0</v>
      </c>
      <c r="J107" s="2364"/>
      <c r="K107" s="2364"/>
      <c r="L107" s="2364"/>
      <c r="M107" s="2364"/>
      <c r="N107" s="2364"/>
      <c r="O107" s="2364">
        <v>0</v>
      </c>
      <c r="P107" s="2364"/>
      <c r="Q107" s="2364"/>
      <c r="R107" s="2364"/>
      <c r="S107" s="2364"/>
      <c r="T107" s="2364"/>
      <c r="U107" s="2364"/>
      <c r="V107" s="2364">
        <v>0</v>
      </c>
      <c r="W107" s="2364"/>
      <c r="X107" s="2364"/>
      <c r="Y107" s="2364"/>
      <c r="Z107" s="2364"/>
      <c r="AA107" s="2364"/>
      <c r="AB107" s="2364">
        <v>0</v>
      </c>
      <c r="AC107" s="2364"/>
      <c r="AD107" s="2364"/>
      <c r="AE107" s="2364"/>
      <c r="AF107" s="2364"/>
      <c r="AG107" s="2364"/>
      <c r="AH107" s="2365"/>
      <c r="AI107" s="1203"/>
      <c r="AJ107" s="1203"/>
      <c r="AK107" s="1203"/>
      <c r="AL107" s="1203"/>
      <c r="AM107" s="1203"/>
      <c r="AN107" s="1203"/>
      <c r="AO107" s="1203"/>
      <c r="AP107" s="1203"/>
      <c r="AQ107" s="1203"/>
      <c r="AR107" s="1203"/>
      <c r="AS107" s="1203"/>
      <c r="AT107" s="1203"/>
      <c r="AU107" s="1203"/>
      <c r="AV107" s="1203"/>
      <c r="AW107" s="1203"/>
      <c r="AX107" s="1203"/>
      <c r="AY107" s="1203"/>
      <c r="AZ107" s="1203"/>
      <c r="BA107" s="1203"/>
      <c r="BB107" s="1203"/>
      <c r="BC107" s="1203"/>
      <c r="BD107" s="1203"/>
      <c r="BE107" s="1210"/>
      <c r="CM107" s="1201"/>
      <c r="CN107" s="1201"/>
      <c r="CO107" s="1201"/>
      <c r="CP107" s="1201"/>
    </row>
    <row r="108" spans="1:94" ht="15.75" customHeight="1" thickBot="1">
      <c r="A108" s="1203"/>
      <c r="B108" s="1203"/>
      <c r="C108" s="1203"/>
      <c r="D108" s="1203"/>
      <c r="E108" s="1203"/>
      <c r="F108" s="1203"/>
      <c r="G108" s="1203"/>
      <c r="H108" s="1203"/>
      <c r="I108" s="1203"/>
      <c r="J108" s="1203"/>
      <c r="K108" s="1203"/>
      <c r="L108" s="1203"/>
      <c r="M108" s="1203"/>
      <c r="N108" s="1203"/>
      <c r="O108" s="1203"/>
      <c r="P108" s="1203"/>
      <c r="Q108" s="1203"/>
      <c r="R108" s="1203"/>
      <c r="S108" s="1203"/>
      <c r="T108" s="1203"/>
      <c r="U108" s="1203" t="s">
        <v>249</v>
      </c>
      <c r="V108" s="1203"/>
      <c r="W108" s="1203"/>
      <c r="X108" s="1203"/>
      <c r="Y108" s="1203"/>
      <c r="Z108" s="1203"/>
      <c r="AA108" s="1203"/>
      <c r="AB108" s="1203"/>
      <c r="AC108" s="1203"/>
      <c r="AD108" s="1203"/>
      <c r="AE108" s="1203"/>
      <c r="AF108" s="1203"/>
      <c r="AG108" s="1203"/>
      <c r="AH108" s="1203"/>
      <c r="AI108" s="1203"/>
      <c r="AJ108" s="1203"/>
      <c r="AK108" s="1203"/>
      <c r="AL108" s="1203"/>
      <c r="AM108" s="1203"/>
      <c r="AN108" s="1203"/>
      <c r="AO108" s="1203"/>
      <c r="AP108" s="1203"/>
      <c r="AQ108" s="1203"/>
      <c r="AR108" s="1203"/>
      <c r="AS108" s="1203"/>
      <c r="AT108" s="1203"/>
      <c r="AU108" s="1203"/>
      <c r="AV108" s="1203"/>
      <c r="AW108" s="1203"/>
      <c r="AX108" s="1203"/>
      <c r="AY108" s="1203"/>
      <c r="AZ108" s="1203"/>
      <c r="BA108" s="1203"/>
      <c r="BB108" s="1203"/>
      <c r="BC108" s="1203"/>
      <c r="BD108" s="1203"/>
      <c r="BE108" s="1210"/>
    </row>
    <row r="109" spans="1:94" ht="15.75" customHeight="1" thickBot="1">
      <c r="A109" s="1203"/>
      <c r="B109" s="1219" t="s">
        <v>2299</v>
      </c>
      <c r="C109" s="1225"/>
      <c r="D109" s="1225"/>
      <c r="E109" s="1225"/>
      <c r="F109" s="1225"/>
      <c r="G109" s="1225"/>
      <c r="H109" s="1225"/>
      <c r="I109" s="1225"/>
      <c r="J109" s="1225"/>
      <c r="K109" s="1225"/>
      <c r="L109" s="1225"/>
      <c r="M109" s="1225"/>
      <c r="N109" s="1225"/>
      <c r="O109" s="1225"/>
      <c r="P109" s="1225"/>
      <c r="Q109" s="1225"/>
      <c r="R109" s="1239"/>
      <c r="S109" s="1203"/>
      <c r="T109" s="1203"/>
      <c r="U109" s="1203"/>
      <c r="V109" s="1203"/>
      <c r="W109" s="1203"/>
      <c r="X109" s="1203"/>
      <c r="Y109" s="1203"/>
      <c r="Z109" s="1203"/>
      <c r="AA109" s="1203"/>
      <c r="AB109" s="1203"/>
      <c r="AC109" s="1203"/>
      <c r="AD109" s="1203"/>
      <c r="AE109" s="1203"/>
      <c r="AF109" s="1203"/>
      <c r="AG109" s="1203"/>
      <c r="AH109" s="1203"/>
      <c r="AI109" s="1203"/>
      <c r="AJ109" s="1203"/>
      <c r="AK109" s="1203"/>
      <c r="AL109" s="1203"/>
      <c r="AM109" s="1203"/>
      <c r="AN109" s="1203"/>
      <c r="AO109" s="1203"/>
      <c r="AP109" s="1203"/>
      <c r="AQ109" s="1203"/>
      <c r="AR109" s="1203"/>
      <c r="AS109" s="1203"/>
      <c r="AT109" s="1203"/>
      <c r="AU109" s="1203"/>
      <c r="AV109" s="1203"/>
      <c r="AW109" s="1203"/>
      <c r="AX109" s="1203"/>
      <c r="AY109" s="1203"/>
      <c r="AZ109" s="1203"/>
      <c r="BA109" s="1203"/>
      <c r="BB109" s="1203"/>
      <c r="BC109" s="1203"/>
      <c r="BD109" s="1203"/>
      <c r="BE109" s="1210"/>
    </row>
    <row r="110" spans="1:94" ht="15.75" customHeight="1">
      <c r="A110" s="1203"/>
      <c r="B110" s="1229" t="s">
        <v>2221</v>
      </c>
      <c r="C110" s="1229"/>
      <c r="D110" s="1236"/>
      <c r="E110" s="1237"/>
      <c r="F110" s="2369"/>
      <c r="G110" s="2370"/>
      <c r="H110" s="2370"/>
      <c r="I110" s="2370"/>
      <c r="J110" s="2370"/>
      <c r="K110" s="2370"/>
      <c r="L110" s="2370"/>
      <c r="M110" s="2370"/>
      <c r="N110" s="2370"/>
      <c r="O110" s="2370"/>
      <c r="P110" s="2370"/>
      <c r="Q110" s="2370"/>
      <c r="R110" s="2371"/>
      <c r="S110" s="1203"/>
      <c r="T110" s="1203"/>
      <c r="U110" s="1203"/>
      <c r="V110" s="1203"/>
      <c r="W110" s="1203"/>
      <c r="X110" s="1203"/>
      <c r="Y110" s="1203"/>
      <c r="Z110" s="1203"/>
      <c r="AA110" s="1203"/>
      <c r="AB110" s="1203"/>
      <c r="AC110" s="1203"/>
      <c r="AD110" s="1203"/>
      <c r="AE110" s="1203"/>
      <c r="AF110" s="1203"/>
      <c r="AG110" s="1203"/>
      <c r="AH110" s="1203"/>
      <c r="AI110" s="1203"/>
      <c r="AJ110" s="1203"/>
      <c r="AK110" s="1203"/>
      <c r="AL110" s="1203"/>
      <c r="AM110" s="1203"/>
      <c r="AN110" s="1203"/>
      <c r="AO110" s="1203"/>
      <c r="AP110" s="1203"/>
      <c r="AQ110" s="1203"/>
      <c r="AR110" s="1203"/>
      <c r="AS110" s="1203"/>
      <c r="AT110" s="1203"/>
      <c r="AU110" s="1203"/>
      <c r="AV110" s="1203"/>
      <c r="AW110" s="1203"/>
      <c r="AX110" s="1203"/>
      <c r="AY110" s="1203"/>
      <c r="AZ110" s="1203"/>
      <c r="BA110" s="1203"/>
      <c r="BB110" s="1203"/>
      <c r="BC110" s="1203"/>
      <c r="BD110" s="1203"/>
      <c r="BE110" s="1210"/>
    </row>
    <row r="111" spans="1:94" ht="15.75" customHeight="1" thickBot="1">
      <c r="A111" s="1203"/>
      <c r="B111" s="1203"/>
      <c r="C111" s="1203"/>
      <c r="D111" s="1203"/>
      <c r="E111" s="1203"/>
      <c r="F111" s="1203"/>
      <c r="G111" s="1203"/>
      <c r="H111" s="1203"/>
      <c r="I111" s="1203"/>
      <c r="J111" s="1203"/>
      <c r="K111" s="1203"/>
      <c r="L111" s="1203"/>
      <c r="M111" s="1203"/>
      <c r="N111" s="1203"/>
      <c r="O111" s="1203"/>
      <c r="P111" s="1203"/>
      <c r="Q111" s="1203"/>
      <c r="R111" s="1203"/>
      <c r="S111" s="1203"/>
      <c r="T111" s="1203"/>
      <c r="U111" s="1203"/>
      <c r="V111" s="1203"/>
      <c r="W111" s="1203"/>
      <c r="X111" s="1203"/>
      <c r="Y111" s="1203"/>
      <c r="Z111" s="1203"/>
      <c r="AA111" s="1203"/>
      <c r="AB111" s="1203"/>
      <c r="AC111" s="1203"/>
      <c r="AD111" s="1203"/>
      <c r="AE111" s="1203"/>
      <c r="AF111" s="1203"/>
      <c r="AG111" s="1203"/>
      <c r="AH111" s="1203"/>
      <c r="AI111" s="1203"/>
      <c r="AJ111" s="1203"/>
      <c r="AK111" s="1203"/>
      <c r="AL111" s="1203"/>
      <c r="AM111" s="1203"/>
      <c r="AN111" s="1203"/>
      <c r="AO111" s="1203"/>
      <c r="AP111" s="1203"/>
      <c r="AQ111" s="1203"/>
      <c r="AR111" s="1203"/>
      <c r="AS111" s="1203"/>
      <c r="AT111" s="1203"/>
      <c r="AU111" s="1203"/>
      <c r="AV111" s="1203"/>
      <c r="AW111" s="1203"/>
      <c r="AX111" s="1203"/>
      <c r="AY111" s="1203"/>
      <c r="AZ111" s="1203"/>
      <c r="BA111" s="1203"/>
      <c r="BB111" s="1203"/>
      <c r="BC111" s="1203"/>
      <c r="BD111" s="1203"/>
      <c r="BE111" s="1210"/>
    </row>
    <row r="112" spans="1:94" ht="15.75" customHeight="1">
      <c r="A112" s="1203"/>
      <c r="B112" s="2373" t="s">
        <v>2612</v>
      </c>
      <c r="C112" s="2374"/>
      <c r="D112" s="2374"/>
      <c r="E112" s="2374"/>
      <c r="F112" s="2374"/>
      <c r="G112" s="2374"/>
      <c r="H112" s="2374"/>
      <c r="I112" s="2374"/>
      <c r="J112" s="2374"/>
      <c r="K112" s="2374"/>
      <c r="L112" s="2374"/>
      <c r="M112" s="2374"/>
      <c r="N112" s="2374"/>
      <c r="O112" s="2374"/>
      <c r="P112" s="2374"/>
      <c r="Q112" s="2374"/>
      <c r="R112" s="2374"/>
      <c r="S112" s="2374"/>
      <c r="T112" s="2374"/>
      <c r="U112" s="2377" t="s">
        <v>544</v>
      </c>
      <c r="V112" s="2377"/>
      <c r="W112" s="2377"/>
      <c r="X112" s="2378"/>
      <c r="Y112" s="1203"/>
      <c r="Z112" s="1203"/>
      <c r="AA112" s="1203"/>
      <c r="AB112" s="1203"/>
      <c r="AC112" s="1203"/>
      <c r="AD112" s="1203"/>
      <c r="AE112" s="1203"/>
      <c r="AF112" s="1203"/>
      <c r="AG112" s="1203"/>
      <c r="AH112" s="1203"/>
      <c r="AI112" s="1203"/>
      <c r="AJ112" s="1203"/>
      <c r="AK112" s="1203"/>
      <c r="AL112" s="1203"/>
      <c r="AM112" s="1203"/>
      <c r="AN112" s="1203"/>
      <c r="AO112" s="1203"/>
      <c r="AP112" s="1203"/>
      <c r="AQ112" s="1203"/>
      <c r="AR112" s="1203"/>
      <c r="AS112" s="1203"/>
      <c r="AT112" s="1203"/>
      <c r="AU112" s="1203"/>
      <c r="AV112" s="1203"/>
      <c r="AW112" s="1203"/>
      <c r="AX112" s="1203"/>
      <c r="AY112" s="1203"/>
      <c r="AZ112" s="1203"/>
      <c r="BA112" s="1203"/>
      <c r="BB112" s="1203"/>
      <c r="BC112" s="1203"/>
      <c r="BD112" s="1203"/>
      <c r="BE112" s="1210"/>
    </row>
    <row r="113" spans="1:57" ht="15.75" customHeight="1">
      <c r="A113" s="1203"/>
      <c r="B113" s="2375"/>
      <c r="C113" s="2376"/>
      <c r="D113" s="2376"/>
      <c r="E113" s="2376"/>
      <c r="F113" s="2376"/>
      <c r="G113" s="2376"/>
      <c r="H113" s="2376"/>
      <c r="I113" s="2376"/>
      <c r="J113" s="2376"/>
      <c r="K113" s="2376"/>
      <c r="L113" s="2376"/>
      <c r="M113" s="2376"/>
      <c r="N113" s="2376"/>
      <c r="O113" s="2376"/>
      <c r="P113" s="2376"/>
      <c r="Q113" s="2376"/>
      <c r="R113" s="2376"/>
      <c r="S113" s="2376"/>
      <c r="T113" s="2376"/>
      <c r="U113" s="2379"/>
      <c r="V113" s="2379"/>
      <c r="W113" s="2379"/>
      <c r="X113" s="2380"/>
      <c r="Y113" s="1203"/>
      <c r="Z113" s="1203"/>
      <c r="AA113" s="1203"/>
      <c r="AB113" s="1203"/>
      <c r="AC113" s="1203"/>
      <c r="AD113" s="1203"/>
      <c r="AE113" s="1203"/>
      <c r="AF113" s="1203"/>
      <c r="AG113" s="1203"/>
      <c r="AH113" s="1203"/>
      <c r="AI113" s="1203"/>
      <c r="AJ113" s="1203"/>
      <c r="AK113" s="1203"/>
      <c r="AL113" s="1203"/>
      <c r="AM113" s="1203"/>
      <c r="AN113" s="1203"/>
      <c r="AO113" s="1203"/>
      <c r="AP113" s="1203"/>
      <c r="AQ113" s="1203"/>
      <c r="AR113" s="1203"/>
      <c r="AS113" s="1203"/>
      <c r="AT113" s="1203"/>
      <c r="AU113" s="1203"/>
      <c r="AV113" s="1203"/>
      <c r="AW113" s="1203"/>
      <c r="AX113" s="1203"/>
      <c r="AY113" s="1203"/>
      <c r="AZ113" s="1203"/>
      <c r="BA113" s="1203"/>
      <c r="BB113" s="1203"/>
      <c r="BC113" s="1203"/>
      <c r="BD113" s="1203"/>
      <c r="BE113" s="1210"/>
    </row>
    <row r="114" spans="1:57" ht="15.75" customHeight="1">
      <c r="A114" s="1203"/>
      <c r="B114" s="2375"/>
      <c r="C114" s="2376"/>
      <c r="D114" s="2376"/>
      <c r="E114" s="2376"/>
      <c r="F114" s="2376"/>
      <c r="G114" s="2376"/>
      <c r="H114" s="2376"/>
      <c r="I114" s="2376"/>
      <c r="J114" s="2376"/>
      <c r="K114" s="2376"/>
      <c r="L114" s="2376"/>
      <c r="M114" s="2376"/>
      <c r="N114" s="2376"/>
      <c r="O114" s="2376"/>
      <c r="P114" s="2376"/>
      <c r="Q114" s="2376"/>
      <c r="R114" s="2376"/>
      <c r="S114" s="2376"/>
      <c r="T114" s="2376"/>
      <c r="U114" s="2379"/>
      <c r="V114" s="2379"/>
      <c r="W114" s="2379"/>
      <c r="X114" s="2380"/>
      <c r="Y114" s="1203"/>
      <c r="Z114" s="1203"/>
      <c r="AA114" s="1203"/>
      <c r="AB114" s="1203"/>
      <c r="AC114" s="1203"/>
      <c r="AD114" s="1203"/>
      <c r="AE114" s="1203"/>
      <c r="AF114" s="1203"/>
      <c r="AG114" s="1203"/>
      <c r="AH114" s="1203"/>
      <c r="AI114" s="1203"/>
      <c r="AJ114" s="1203"/>
      <c r="AK114" s="1203"/>
      <c r="AL114" s="1203"/>
      <c r="AM114" s="1203"/>
      <c r="AN114" s="1203"/>
      <c r="AO114" s="1203"/>
      <c r="AP114" s="1203"/>
      <c r="AQ114" s="1203"/>
      <c r="AR114" s="1203"/>
      <c r="AS114" s="1203"/>
      <c r="AT114" s="1203"/>
      <c r="AU114" s="1203"/>
      <c r="AV114" s="1203"/>
      <c r="AW114" s="1203"/>
      <c r="AX114" s="1203"/>
      <c r="AY114" s="1203"/>
      <c r="AZ114" s="1203"/>
      <c r="BA114" s="1203"/>
      <c r="BB114" s="1203"/>
      <c r="BC114" s="1203"/>
      <c r="BD114" s="1203"/>
      <c r="BE114" s="1210"/>
    </row>
    <row r="115" spans="1:57" ht="15.75" customHeight="1">
      <c r="A115" s="1203"/>
      <c r="B115" s="2375"/>
      <c r="C115" s="2376"/>
      <c r="D115" s="2376"/>
      <c r="E115" s="2376"/>
      <c r="F115" s="2376"/>
      <c r="G115" s="2376"/>
      <c r="H115" s="2376"/>
      <c r="I115" s="2376"/>
      <c r="J115" s="2376"/>
      <c r="K115" s="2376"/>
      <c r="L115" s="2376"/>
      <c r="M115" s="2376"/>
      <c r="N115" s="2376"/>
      <c r="O115" s="2376"/>
      <c r="P115" s="2376"/>
      <c r="Q115" s="2376"/>
      <c r="R115" s="2376"/>
      <c r="S115" s="2376"/>
      <c r="T115" s="2376"/>
      <c r="U115" s="2379"/>
      <c r="V115" s="2379"/>
      <c r="W115" s="2379"/>
      <c r="X115" s="2380"/>
      <c r="Y115" s="1203"/>
      <c r="Z115" s="1203"/>
      <c r="AA115" s="1203"/>
      <c r="AB115" s="1203"/>
      <c r="AC115" s="1203"/>
      <c r="AD115" s="1203"/>
      <c r="AE115" s="1203"/>
      <c r="AF115" s="1203"/>
      <c r="AG115" s="1203"/>
      <c r="AH115" s="1203"/>
      <c r="AI115" s="1203"/>
      <c r="AJ115" s="1203"/>
      <c r="AK115" s="1203"/>
      <c r="AL115" s="1203"/>
      <c r="AM115" s="1203"/>
      <c r="AN115" s="1203"/>
      <c r="AO115" s="1203"/>
      <c r="AP115" s="1203"/>
      <c r="AQ115" s="1203"/>
      <c r="AR115" s="1203"/>
      <c r="AS115" s="1203"/>
      <c r="AT115" s="1203"/>
      <c r="AU115" s="1203"/>
      <c r="AV115" s="1203"/>
      <c r="AW115" s="1203"/>
      <c r="AX115" s="1203"/>
      <c r="AY115" s="1203"/>
      <c r="AZ115" s="1203"/>
      <c r="BA115" s="1203"/>
      <c r="BB115" s="1203"/>
      <c r="BC115" s="1203"/>
      <c r="BD115" s="1203"/>
      <c r="BE115" s="1210"/>
    </row>
    <row r="116" spans="1:57" ht="15.75" customHeight="1">
      <c r="A116" s="1203"/>
      <c r="B116" s="2381" t="s">
        <v>2612</v>
      </c>
      <c r="C116" s="2382"/>
      <c r="D116" s="2382"/>
      <c r="E116" s="2382"/>
      <c r="F116" s="2382"/>
      <c r="G116" s="2382"/>
      <c r="H116" s="2382"/>
      <c r="I116" s="2382"/>
      <c r="J116" s="2382"/>
      <c r="K116" s="2382"/>
      <c r="L116" s="2382"/>
      <c r="M116" s="2382"/>
      <c r="N116" s="2382"/>
      <c r="O116" s="2382"/>
      <c r="P116" s="2382"/>
      <c r="Q116" s="2382"/>
      <c r="R116" s="2382"/>
      <c r="S116" s="2382"/>
      <c r="T116" s="2382"/>
      <c r="U116" s="2385" t="s">
        <v>544</v>
      </c>
      <c r="V116" s="2385"/>
      <c r="W116" s="2385"/>
      <c r="X116" s="2386"/>
      <c r="Y116" s="1203"/>
      <c r="Z116" s="1203"/>
      <c r="AA116" s="1203"/>
      <c r="AB116" s="1203"/>
      <c r="AC116" s="1203"/>
      <c r="AD116" s="1203"/>
      <c r="AE116" s="1203"/>
      <c r="AF116" s="1203"/>
      <c r="AG116" s="1203"/>
      <c r="AH116" s="1203"/>
      <c r="AI116" s="1203"/>
      <c r="AJ116" s="1203"/>
      <c r="AK116" s="1203"/>
      <c r="AL116" s="1203"/>
      <c r="AM116" s="1203"/>
      <c r="AN116" s="1203"/>
      <c r="AO116" s="1203"/>
      <c r="AP116" s="1203"/>
      <c r="AQ116" s="1203"/>
      <c r="AR116" s="1203"/>
      <c r="AS116" s="1203"/>
      <c r="AT116" s="1203"/>
      <c r="AU116" s="1203"/>
      <c r="AV116" s="1203"/>
      <c r="AW116" s="1203"/>
      <c r="AX116" s="1203"/>
      <c r="AY116" s="1203"/>
      <c r="AZ116" s="1203"/>
      <c r="BA116" s="1203"/>
      <c r="BB116" s="1203"/>
      <c r="BC116" s="1203"/>
      <c r="BD116" s="1203"/>
      <c r="BE116" s="1210"/>
    </row>
    <row r="117" spans="1:57" ht="15.75" customHeight="1" thickBot="1">
      <c r="A117" s="1203"/>
      <c r="B117" s="2383"/>
      <c r="C117" s="2384"/>
      <c r="D117" s="2384"/>
      <c r="E117" s="2384"/>
      <c r="F117" s="2384"/>
      <c r="G117" s="2384"/>
      <c r="H117" s="2384"/>
      <c r="I117" s="2384"/>
      <c r="J117" s="2384"/>
      <c r="K117" s="2384"/>
      <c r="L117" s="2384"/>
      <c r="M117" s="2384"/>
      <c r="N117" s="2384"/>
      <c r="O117" s="2384"/>
      <c r="P117" s="2384"/>
      <c r="Q117" s="2384"/>
      <c r="R117" s="2384"/>
      <c r="S117" s="2384"/>
      <c r="T117" s="2384"/>
      <c r="U117" s="2387"/>
      <c r="V117" s="2387"/>
      <c r="W117" s="2387"/>
      <c r="X117" s="2388"/>
      <c r="Y117" s="1203"/>
      <c r="Z117" s="1203"/>
      <c r="AA117" s="1203"/>
      <c r="AB117" s="1203"/>
      <c r="AC117" s="1203"/>
      <c r="AD117" s="1203"/>
      <c r="AE117" s="1203"/>
      <c r="AF117" s="1203"/>
      <c r="AG117" s="1203"/>
      <c r="AH117" s="1203"/>
      <c r="AI117" s="1203"/>
      <c r="AJ117" s="1203"/>
      <c r="AK117" s="1203"/>
      <c r="AL117" s="1203"/>
      <c r="AM117" s="1203"/>
      <c r="AN117" s="1203"/>
      <c r="AO117" s="1203"/>
      <c r="AP117" s="1203"/>
      <c r="AQ117" s="1203"/>
      <c r="AR117" s="1203"/>
      <c r="AS117" s="1203"/>
      <c r="AT117" s="1203"/>
      <c r="AU117" s="1203"/>
      <c r="AV117" s="1203"/>
      <c r="AW117" s="1203"/>
      <c r="AX117" s="1203"/>
      <c r="AY117" s="1203"/>
      <c r="AZ117" s="1203"/>
      <c r="BA117" s="1203"/>
      <c r="BB117" s="1203"/>
      <c r="BC117" s="1203"/>
      <c r="BD117" s="1203"/>
      <c r="BE117" s="1210"/>
    </row>
    <row r="118" spans="1:57" ht="15.75" customHeight="1" thickBot="1">
      <c r="A118" s="1203"/>
      <c r="B118" s="1203"/>
      <c r="C118" s="1203"/>
      <c r="D118" s="1203"/>
      <c r="E118" s="1203"/>
      <c r="F118" s="1203"/>
      <c r="G118" s="1203"/>
      <c r="H118" s="1203"/>
      <c r="I118" s="1203"/>
      <c r="J118" s="1203"/>
      <c r="K118" s="1203"/>
      <c r="L118" s="1203"/>
      <c r="M118" s="1203"/>
      <c r="N118" s="1203"/>
      <c r="O118" s="1203"/>
      <c r="P118" s="1203"/>
      <c r="Q118" s="1203"/>
      <c r="R118" s="1203"/>
      <c r="S118" s="1203"/>
      <c r="T118" s="1203"/>
      <c r="U118" s="1203"/>
      <c r="V118" s="1203"/>
      <c r="W118" s="1203"/>
      <c r="X118" s="1203"/>
      <c r="Y118" s="1203"/>
      <c r="Z118" s="1203"/>
      <c r="AA118" s="1203"/>
      <c r="AB118" s="1203"/>
      <c r="AC118" s="1203"/>
      <c r="AD118" s="1203"/>
      <c r="AE118" s="1203"/>
      <c r="AF118" s="1203"/>
      <c r="AG118" s="1203"/>
      <c r="AH118" s="1203"/>
      <c r="AI118" s="1203"/>
      <c r="AJ118" s="1203"/>
      <c r="AK118" s="1203"/>
      <c r="AL118" s="1203"/>
      <c r="AM118" s="1203"/>
      <c r="AN118" s="1203"/>
      <c r="AO118" s="1203"/>
      <c r="AP118" s="1203"/>
      <c r="AQ118" s="1203"/>
      <c r="AR118" s="1203"/>
      <c r="AS118" s="1203"/>
      <c r="AT118" s="1203"/>
      <c r="AU118" s="1203"/>
      <c r="AV118" s="1203"/>
      <c r="AW118" s="1203"/>
      <c r="AX118" s="1203"/>
      <c r="AY118" s="1203"/>
      <c r="AZ118" s="1203"/>
      <c r="BA118" s="1203"/>
      <c r="BB118" s="1203"/>
      <c r="BC118" s="1203"/>
      <c r="BD118" s="1203"/>
      <c r="BE118" s="1210"/>
    </row>
    <row r="119" spans="1:57" ht="15.75" customHeight="1" thickBot="1">
      <c r="A119" s="1203"/>
      <c r="B119" s="1226" t="s">
        <v>2298</v>
      </c>
      <c r="C119" s="1221"/>
      <c r="D119" s="1221"/>
      <c r="E119" s="1221"/>
      <c r="F119" s="1221"/>
      <c r="G119" s="1221"/>
      <c r="H119" s="1221"/>
      <c r="I119" s="1221"/>
      <c r="J119" s="1221"/>
      <c r="K119" s="1221"/>
      <c r="L119" s="1221"/>
      <c r="M119" s="1221"/>
      <c r="N119" s="1221"/>
      <c r="O119" s="1221"/>
      <c r="P119" s="1221"/>
      <c r="Q119" s="1221"/>
      <c r="R119" s="1222"/>
      <c r="S119" s="1203"/>
      <c r="T119" s="1203"/>
      <c r="U119" s="1203"/>
      <c r="V119" s="1203"/>
      <c r="W119" s="1203"/>
      <c r="X119" s="1203"/>
      <c r="Y119" s="1203"/>
      <c r="Z119" s="1203"/>
      <c r="AA119" s="1203"/>
      <c r="AB119" s="1203"/>
      <c r="AC119" s="1203"/>
      <c r="AD119" s="1203"/>
      <c r="AE119" s="1203"/>
      <c r="AF119" s="1203"/>
      <c r="AG119" s="1203"/>
      <c r="AH119" s="1203"/>
      <c r="AI119" s="1203"/>
      <c r="AJ119" s="1203"/>
      <c r="AK119" s="1203"/>
      <c r="AL119" s="1203"/>
      <c r="AM119" s="1203"/>
      <c r="AN119" s="1203"/>
      <c r="AO119" s="1203"/>
      <c r="AP119" s="1203"/>
      <c r="AQ119" s="1203"/>
      <c r="AR119" s="1203"/>
      <c r="AS119" s="1203"/>
      <c r="AT119" s="1203"/>
      <c r="AU119" s="1203"/>
      <c r="AV119" s="1203"/>
      <c r="AW119" s="1203"/>
      <c r="AX119" s="1203"/>
      <c r="AY119" s="1203"/>
      <c r="AZ119" s="1203"/>
      <c r="BA119" s="1203"/>
      <c r="BB119" s="1203"/>
      <c r="BC119" s="1203"/>
      <c r="BD119" s="1203"/>
      <c r="BE119" s="1210"/>
    </row>
    <row r="120" spans="1:57" ht="15.75" customHeight="1" thickBot="1">
      <c r="A120" s="1203"/>
      <c r="B120" s="1203"/>
      <c r="C120" s="1203"/>
      <c r="D120" s="1203"/>
      <c r="E120" s="1203"/>
      <c r="F120" s="1203"/>
      <c r="G120" s="1203"/>
      <c r="H120" s="1203"/>
      <c r="I120" s="1203"/>
      <c r="J120" s="1203"/>
      <c r="K120" s="1203"/>
      <c r="L120" s="1203"/>
      <c r="M120" s="1203"/>
      <c r="N120" s="1203"/>
      <c r="O120" s="1203"/>
      <c r="P120" s="1238"/>
      <c r="Q120" s="1203"/>
      <c r="R120" s="1203"/>
      <c r="S120" s="1203"/>
      <c r="T120" s="1203"/>
      <c r="U120" s="1203"/>
      <c r="V120" s="1203"/>
      <c r="W120" s="1203"/>
      <c r="X120" s="2353" t="s">
        <v>2297</v>
      </c>
      <c r="Y120" s="2354"/>
      <c r="Z120" s="2354"/>
      <c r="AA120" s="2354"/>
      <c r="AB120" s="2354"/>
      <c r="AC120" s="2354"/>
      <c r="AD120" s="2354"/>
      <c r="AE120" s="2354"/>
      <c r="AF120" s="2354"/>
      <c r="AG120" s="2354"/>
      <c r="AH120" s="2354"/>
      <c r="AI120" s="2354"/>
      <c r="AJ120" s="2354"/>
      <c r="AK120" s="2354"/>
      <c r="AL120" s="2354"/>
      <c r="AM120" s="2354"/>
      <c r="AN120" s="2354"/>
      <c r="AO120" s="2354"/>
      <c r="AP120" s="2354"/>
      <c r="AQ120" s="2354"/>
      <c r="AR120" s="2354"/>
      <c r="AS120" s="2354"/>
      <c r="AT120" s="2354"/>
      <c r="AU120" s="2354"/>
      <c r="AV120" s="2354"/>
      <c r="AW120" s="2354"/>
      <c r="AX120" s="2354"/>
      <c r="AY120" s="2354"/>
      <c r="AZ120" s="2354"/>
      <c r="BA120" s="2354"/>
      <c r="BB120" s="2354"/>
      <c r="BC120" s="2354"/>
      <c r="BD120" s="2395"/>
      <c r="BE120" s="1210"/>
    </row>
    <row r="121" spans="1:57" ht="15.75" customHeight="1">
      <c r="A121" s="1203"/>
      <c r="B121" s="2397" t="s">
        <v>1563</v>
      </c>
      <c r="C121" s="2398"/>
      <c r="D121" s="2398"/>
      <c r="E121" s="2398"/>
      <c r="F121" s="2398"/>
      <c r="G121" s="2398"/>
      <c r="H121" s="2398"/>
      <c r="I121" s="2398"/>
      <c r="J121" s="2398"/>
      <c r="K121" s="2398"/>
      <c r="L121" s="2398"/>
      <c r="M121" s="2398"/>
      <c r="N121" s="2398"/>
      <c r="O121" s="2398"/>
      <c r="P121" s="2398"/>
      <c r="Q121" s="2398"/>
      <c r="R121" s="2398"/>
      <c r="S121" s="2398"/>
      <c r="T121" s="2398"/>
      <c r="U121" s="2399"/>
      <c r="V121" s="1203"/>
      <c r="W121" s="1203"/>
      <c r="X121" s="2355"/>
      <c r="Y121" s="2356"/>
      <c r="Z121" s="2356"/>
      <c r="AA121" s="2356"/>
      <c r="AB121" s="2356"/>
      <c r="AC121" s="2356"/>
      <c r="AD121" s="2356"/>
      <c r="AE121" s="2356"/>
      <c r="AF121" s="2356"/>
      <c r="AG121" s="2356"/>
      <c r="AH121" s="2356"/>
      <c r="AI121" s="2356"/>
      <c r="AJ121" s="2356"/>
      <c r="AK121" s="2356"/>
      <c r="AL121" s="2356"/>
      <c r="AM121" s="2356"/>
      <c r="AN121" s="2356"/>
      <c r="AO121" s="2356"/>
      <c r="AP121" s="2356"/>
      <c r="AQ121" s="2356"/>
      <c r="AR121" s="2356"/>
      <c r="AS121" s="2356"/>
      <c r="AT121" s="2356"/>
      <c r="AU121" s="2356"/>
      <c r="AV121" s="2356"/>
      <c r="AW121" s="2356"/>
      <c r="AX121" s="2356"/>
      <c r="AY121" s="2356"/>
      <c r="AZ121" s="2356"/>
      <c r="BA121" s="2356"/>
      <c r="BB121" s="2356"/>
      <c r="BC121" s="2356"/>
      <c r="BD121" s="2396"/>
      <c r="BE121" s="1210"/>
    </row>
    <row r="122" spans="1:57" ht="15.75" customHeight="1">
      <c r="A122" s="1203"/>
      <c r="B122" s="2415"/>
      <c r="C122" s="2416"/>
      <c r="D122" s="2416"/>
      <c r="E122" s="2416"/>
      <c r="F122" s="2416"/>
      <c r="G122" s="2416"/>
      <c r="H122" s="2416"/>
      <c r="I122" s="2289" t="s">
        <v>2296</v>
      </c>
      <c r="J122" s="2289"/>
      <c r="K122" s="2289"/>
      <c r="L122" s="2289"/>
      <c r="M122" s="2289"/>
      <c r="N122" s="2289"/>
      <c r="O122" s="2419" t="s">
        <v>2295</v>
      </c>
      <c r="P122" s="2419"/>
      <c r="Q122" s="2419"/>
      <c r="R122" s="2419"/>
      <c r="S122" s="2419"/>
      <c r="T122" s="2419"/>
      <c r="U122" s="2420"/>
      <c r="V122" s="1203"/>
      <c r="W122" s="1203"/>
      <c r="X122" s="2336" t="s">
        <v>2766</v>
      </c>
      <c r="Y122" s="2337"/>
      <c r="Z122" s="2337"/>
      <c r="AA122" s="2337"/>
      <c r="AB122" s="2337"/>
      <c r="AC122" s="2337"/>
      <c r="AD122" s="2337"/>
      <c r="AE122" s="2337"/>
      <c r="AF122" s="2337"/>
      <c r="AG122" s="2337"/>
      <c r="AH122" s="2337"/>
      <c r="AI122" s="2337"/>
      <c r="AJ122" s="2337"/>
      <c r="AK122" s="2337"/>
      <c r="AL122" s="2337"/>
      <c r="AM122" s="2337"/>
      <c r="AN122" s="2337"/>
      <c r="AO122" s="2337"/>
      <c r="AP122" s="2337"/>
      <c r="AQ122" s="2337"/>
      <c r="AR122" s="2337"/>
      <c r="AS122" s="2337"/>
      <c r="AT122" s="2337"/>
      <c r="AU122" s="2337"/>
      <c r="AV122" s="2337"/>
      <c r="AW122" s="2337"/>
      <c r="AX122" s="2337"/>
      <c r="AY122" s="2337"/>
      <c r="AZ122" s="2337"/>
      <c r="BA122" s="2337"/>
      <c r="BB122" s="2337"/>
      <c r="BC122" s="2337"/>
      <c r="BD122" s="2338"/>
      <c r="BE122" s="1210"/>
    </row>
    <row r="123" spans="1:57" ht="15.75" customHeight="1">
      <c r="A123" s="1203"/>
      <c r="B123" s="2389" t="s">
        <v>2281</v>
      </c>
      <c r="C123" s="2390"/>
      <c r="D123" s="2390"/>
      <c r="E123" s="2390"/>
      <c r="F123" s="2390"/>
      <c r="G123" s="2390"/>
      <c r="H123" s="2390"/>
      <c r="I123" s="2366">
        <v>3</v>
      </c>
      <c r="J123" s="2366"/>
      <c r="K123" s="2366"/>
      <c r="L123" s="2366"/>
      <c r="M123" s="2366"/>
      <c r="N123" s="2366"/>
      <c r="O123" s="2366">
        <v>2</v>
      </c>
      <c r="P123" s="2366"/>
      <c r="Q123" s="2366"/>
      <c r="R123" s="2366"/>
      <c r="S123" s="2366"/>
      <c r="T123" s="2366"/>
      <c r="U123" s="2367"/>
      <c r="V123" s="1203"/>
      <c r="W123" s="1203"/>
      <c r="X123" s="2336"/>
      <c r="Y123" s="2337"/>
      <c r="Z123" s="2337"/>
      <c r="AA123" s="2337"/>
      <c r="AB123" s="2337"/>
      <c r="AC123" s="2337"/>
      <c r="AD123" s="2337"/>
      <c r="AE123" s="2337"/>
      <c r="AF123" s="2337"/>
      <c r="AG123" s="2337"/>
      <c r="AH123" s="2337"/>
      <c r="AI123" s="2337"/>
      <c r="AJ123" s="2337"/>
      <c r="AK123" s="2337"/>
      <c r="AL123" s="2337"/>
      <c r="AM123" s="2337"/>
      <c r="AN123" s="2337"/>
      <c r="AO123" s="2337"/>
      <c r="AP123" s="2337"/>
      <c r="AQ123" s="2337"/>
      <c r="AR123" s="2337"/>
      <c r="AS123" s="2337"/>
      <c r="AT123" s="2337"/>
      <c r="AU123" s="2337"/>
      <c r="AV123" s="2337"/>
      <c r="AW123" s="2337"/>
      <c r="AX123" s="2337"/>
      <c r="AY123" s="2337"/>
      <c r="AZ123" s="2337"/>
      <c r="BA123" s="2337"/>
      <c r="BB123" s="2337"/>
      <c r="BC123" s="2337"/>
      <c r="BD123" s="2338"/>
      <c r="BE123" s="1210"/>
    </row>
    <row r="124" spans="1:57" ht="15.75" customHeight="1" thickBot="1">
      <c r="A124" s="1203"/>
      <c r="B124" s="2391" t="s">
        <v>2280</v>
      </c>
      <c r="C124" s="2392"/>
      <c r="D124" s="2392"/>
      <c r="E124" s="2392"/>
      <c r="F124" s="2392"/>
      <c r="G124" s="2392"/>
      <c r="H124" s="2392"/>
      <c r="I124" s="2364">
        <v>7</v>
      </c>
      <c r="J124" s="2364"/>
      <c r="K124" s="2364"/>
      <c r="L124" s="2364"/>
      <c r="M124" s="2364"/>
      <c r="N124" s="2364"/>
      <c r="O124" s="2393"/>
      <c r="P124" s="2393"/>
      <c r="Q124" s="2393"/>
      <c r="R124" s="2393"/>
      <c r="S124" s="2393"/>
      <c r="T124" s="2393"/>
      <c r="U124" s="2394"/>
      <c r="V124" s="1203"/>
      <c r="W124" s="1203"/>
      <c r="X124" s="2336"/>
      <c r="Y124" s="2337"/>
      <c r="Z124" s="2337"/>
      <c r="AA124" s="2337"/>
      <c r="AB124" s="2337"/>
      <c r="AC124" s="2337"/>
      <c r="AD124" s="2337"/>
      <c r="AE124" s="2337"/>
      <c r="AF124" s="2337"/>
      <c r="AG124" s="2337"/>
      <c r="AH124" s="2337"/>
      <c r="AI124" s="2337"/>
      <c r="AJ124" s="2337"/>
      <c r="AK124" s="2337"/>
      <c r="AL124" s="2337"/>
      <c r="AM124" s="2337"/>
      <c r="AN124" s="2337"/>
      <c r="AO124" s="2337"/>
      <c r="AP124" s="2337"/>
      <c r="AQ124" s="2337"/>
      <c r="AR124" s="2337"/>
      <c r="AS124" s="2337"/>
      <c r="AT124" s="2337"/>
      <c r="AU124" s="2337"/>
      <c r="AV124" s="2337"/>
      <c r="AW124" s="2337"/>
      <c r="AX124" s="2337"/>
      <c r="AY124" s="2337"/>
      <c r="AZ124" s="2337"/>
      <c r="BA124" s="2337"/>
      <c r="BB124" s="2337"/>
      <c r="BC124" s="2337"/>
      <c r="BD124" s="2338"/>
      <c r="BE124" s="1210"/>
    </row>
    <row r="125" spans="1:57" ht="15.75" customHeight="1" thickBot="1">
      <c r="A125" s="1203"/>
      <c r="B125" s="1203"/>
      <c r="C125" s="1203"/>
      <c r="D125" s="1203"/>
      <c r="E125" s="1203"/>
      <c r="F125" s="1203"/>
      <c r="G125" s="1203"/>
      <c r="H125" s="1203"/>
      <c r="I125" s="1203"/>
      <c r="J125" s="1203"/>
      <c r="K125" s="1203"/>
      <c r="L125" s="1203"/>
      <c r="M125" s="1203"/>
      <c r="N125" s="1203"/>
      <c r="O125" s="1203"/>
      <c r="P125" s="1203"/>
      <c r="Q125" s="1203"/>
      <c r="R125" s="1203"/>
      <c r="S125" s="1203"/>
      <c r="T125" s="1203"/>
      <c r="U125" s="1203"/>
      <c r="V125" s="1203"/>
      <c r="W125" s="1203"/>
      <c r="X125" s="2336"/>
      <c r="Y125" s="2337"/>
      <c r="Z125" s="2337"/>
      <c r="AA125" s="2337"/>
      <c r="AB125" s="2337"/>
      <c r="AC125" s="2337"/>
      <c r="AD125" s="2337"/>
      <c r="AE125" s="2337"/>
      <c r="AF125" s="2337"/>
      <c r="AG125" s="2337"/>
      <c r="AH125" s="2337"/>
      <c r="AI125" s="2337"/>
      <c r="AJ125" s="2337"/>
      <c r="AK125" s="2337"/>
      <c r="AL125" s="2337"/>
      <c r="AM125" s="2337"/>
      <c r="AN125" s="2337"/>
      <c r="AO125" s="2337"/>
      <c r="AP125" s="2337"/>
      <c r="AQ125" s="2337"/>
      <c r="AR125" s="2337"/>
      <c r="AS125" s="2337"/>
      <c r="AT125" s="2337"/>
      <c r="AU125" s="2337"/>
      <c r="AV125" s="2337"/>
      <c r="AW125" s="2337"/>
      <c r="AX125" s="2337"/>
      <c r="AY125" s="2337"/>
      <c r="AZ125" s="2337"/>
      <c r="BA125" s="2337"/>
      <c r="BB125" s="2337"/>
      <c r="BC125" s="2337"/>
      <c r="BD125" s="2338"/>
      <c r="BE125" s="1210"/>
    </row>
    <row r="126" spans="1:57" ht="15.75" customHeight="1" thickBot="1">
      <c r="A126" s="1203"/>
      <c r="B126" s="1226" t="s">
        <v>2294</v>
      </c>
      <c r="C126" s="1227"/>
      <c r="D126" s="1227"/>
      <c r="E126" s="1227"/>
      <c r="F126" s="1227"/>
      <c r="G126" s="1227"/>
      <c r="H126" s="1227"/>
      <c r="I126" s="1227"/>
      <c r="J126" s="1227"/>
      <c r="K126" s="1227"/>
      <c r="L126" s="1227"/>
      <c r="M126" s="1227"/>
      <c r="N126" s="1227"/>
      <c r="O126" s="1227"/>
      <c r="P126" s="1228"/>
      <c r="Q126" s="1211" t="s">
        <v>249</v>
      </c>
      <c r="R126" s="1211" t="s">
        <v>249</v>
      </c>
      <c r="S126" s="1203"/>
      <c r="T126" s="1203"/>
      <c r="U126" s="1203"/>
      <c r="V126" s="1203" t="s">
        <v>249</v>
      </c>
      <c r="W126" s="1203"/>
      <c r="X126" s="2336"/>
      <c r="Y126" s="2337"/>
      <c r="Z126" s="2337"/>
      <c r="AA126" s="2337"/>
      <c r="AB126" s="2337"/>
      <c r="AC126" s="2337"/>
      <c r="AD126" s="2337"/>
      <c r="AE126" s="2337"/>
      <c r="AF126" s="2337"/>
      <c r="AG126" s="2337"/>
      <c r="AH126" s="2337"/>
      <c r="AI126" s="2337"/>
      <c r="AJ126" s="2337"/>
      <c r="AK126" s="2337"/>
      <c r="AL126" s="2337"/>
      <c r="AM126" s="2337"/>
      <c r="AN126" s="2337"/>
      <c r="AO126" s="2337"/>
      <c r="AP126" s="2337"/>
      <c r="AQ126" s="2337"/>
      <c r="AR126" s="2337"/>
      <c r="AS126" s="2337"/>
      <c r="AT126" s="2337"/>
      <c r="AU126" s="2337"/>
      <c r="AV126" s="2337"/>
      <c r="AW126" s="2337"/>
      <c r="AX126" s="2337"/>
      <c r="AY126" s="2337"/>
      <c r="AZ126" s="2337"/>
      <c r="BA126" s="2337"/>
      <c r="BB126" s="2337"/>
      <c r="BC126" s="2337"/>
      <c r="BD126" s="2338"/>
      <c r="BE126" s="1210"/>
    </row>
    <row r="127" spans="1:57" ht="15.75" customHeight="1" thickBot="1">
      <c r="A127" s="1203"/>
      <c r="B127" s="1203"/>
      <c r="C127" s="1203"/>
      <c r="D127" s="1203"/>
      <c r="E127" s="1203"/>
      <c r="F127" s="1203"/>
      <c r="G127" s="1203"/>
      <c r="H127" s="1203"/>
      <c r="I127" s="1203"/>
      <c r="J127" s="1203"/>
      <c r="K127" s="1203"/>
      <c r="L127" s="1203"/>
      <c r="M127" s="1203"/>
      <c r="N127" s="1203"/>
      <c r="O127" s="1203"/>
      <c r="P127" s="1203"/>
      <c r="Q127" s="1203"/>
      <c r="R127" s="1203"/>
      <c r="S127" s="1203"/>
      <c r="T127" s="1203"/>
      <c r="U127" s="1203"/>
      <c r="V127" s="1203"/>
      <c r="W127" s="1203"/>
      <c r="X127" s="2336"/>
      <c r="Y127" s="2337"/>
      <c r="Z127" s="2337"/>
      <c r="AA127" s="2337"/>
      <c r="AB127" s="2337"/>
      <c r="AC127" s="2337"/>
      <c r="AD127" s="2337"/>
      <c r="AE127" s="2337"/>
      <c r="AF127" s="2337"/>
      <c r="AG127" s="2337"/>
      <c r="AH127" s="2337"/>
      <c r="AI127" s="2337"/>
      <c r="AJ127" s="2337"/>
      <c r="AK127" s="2337"/>
      <c r="AL127" s="2337"/>
      <c r="AM127" s="2337"/>
      <c r="AN127" s="2337"/>
      <c r="AO127" s="2337"/>
      <c r="AP127" s="2337"/>
      <c r="AQ127" s="2337"/>
      <c r="AR127" s="2337"/>
      <c r="AS127" s="2337"/>
      <c r="AT127" s="2337"/>
      <c r="AU127" s="2337"/>
      <c r="AV127" s="2337"/>
      <c r="AW127" s="2337"/>
      <c r="AX127" s="2337"/>
      <c r="AY127" s="2337"/>
      <c r="AZ127" s="2337"/>
      <c r="BA127" s="2337"/>
      <c r="BB127" s="2337"/>
      <c r="BC127" s="2337"/>
      <c r="BD127" s="2338"/>
      <c r="BE127" s="1210"/>
    </row>
    <row r="128" spans="1:57" ht="15.75" customHeight="1">
      <c r="A128" s="1203"/>
      <c r="B128" s="2190" t="s">
        <v>2293</v>
      </c>
      <c r="C128" s="2191"/>
      <c r="D128" s="2191"/>
      <c r="E128" s="2191"/>
      <c r="F128" s="2191"/>
      <c r="G128" s="2191"/>
      <c r="H128" s="2191"/>
      <c r="I128" s="2191"/>
      <c r="J128" s="2191"/>
      <c r="K128" s="2191"/>
      <c r="L128" s="2191"/>
      <c r="M128" s="2191"/>
      <c r="N128" s="2191"/>
      <c r="O128" s="2191"/>
      <c r="P128" s="2191"/>
      <c r="Q128" s="2191"/>
      <c r="R128" s="2191"/>
      <c r="S128" s="2191"/>
      <c r="T128" s="2191"/>
      <c r="U128" s="2192"/>
      <c r="V128" s="1203"/>
      <c r="W128" s="1203"/>
      <c r="X128" s="2336"/>
      <c r="Y128" s="2337"/>
      <c r="Z128" s="2337"/>
      <c r="AA128" s="2337"/>
      <c r="AB128" s="2337"/>
      <c r="AC128" s="2337"/>
      <c r="AD128" s="2337"/>
      <c r="AE128" s="2337"/>
      <c r="AF128" s="2337"/>
      <c r="AG128" s="2337"/>
      <c r="AH128" s="2337"/>
      <c r="AI128" s="2337"/>
      <c r="AJ128" s="2337"/>
      <c r="AK128" s="2337"/>
      <c r="AL128" s="2337"/>
      <c r="AM128" s="2337"/>
      <c r="AN128" s="2337"/>
      <c r="AO128" s="2337"/>
      <c r="AP128" s="2337"/>
      <c r="AQ128" s="2337"/>
      <c r="AR128" s="2337"/>
      <c r="AS128" s="2337"/>
      <c r="AT128" s="2337"/>
      <c r="AU128" s="2337"/>
      <c r="AV128" s="2337"/>
      <c r="AW128" s="2337"/>
      <c r="AX128" s="2337"/>
      <c r="AY128" s="2337"/>
      <c r="AZ128" s="2337"/>
      <c r="BA128" s="2337"/>
      <c r="BB128" s="2337"/>
      <c r="BC128" s="2337"/>
      <c r="BD128" s="2338"/>
      <c r="BE128" s="1210"/>
    </row>
    <row r="129" spans="1:57" ht="15.75" customHeight="1">
      <c r="A129" s="1203"/>
      <c r="B129" s="2415"/>
      <c r="C129" s="2416"/>
      <c r="D129" s="2416"/>
      <c r="E129" s="2416"/>
      <c r="F129" s="2416"/>
      <c r="G129" s="2416"/>
      <c r="H129" s="2416"/>
      <c r="I129" s="2417" t="s">
        <v>2283</v>
      </c>
      <c r="J129" s="2417"/>
      <c r="K129" s="2417"/>
      <c r="L129" s="2417"/>
      <c r="M129" s="2417"/>
      <c r="N129" s="2417"/>
      <c r="O129" s="2417"/>
      <c r="P129" s="2417" t="s">
        <v>2282</v>
      </c>
      <c r="Q129" s="2417"/>
      <c r="R129" s="2417"/>
      <c r="S129" s="2417"/>
      <c r="T129" s="2417"/>
      <c r="U129" s="2418"/>
      <c r="V129" s="1203"/>
      <c r="W129" s="1203"/>
      <c r="X129" s="2336"/>
      <c r="Y129" s="2337"/>
      <c r="Z129" s="2337"/>
      <c r="AA129" s="2337"/>
      <c r="AB129" s="2337"/>
      <c r="AC129" s="2337"/>
      <c r="AD129" s="2337"/>
      <c r="AE129" s="2337"/>
      <c r="AF129" s="2337"/>
      <c r="AG129" s="2337"/>
      <c r="AH129" s="2337"/>
      <c r="AI129" s="2337"/>
      <c r="AJ129" s="2337"/>
      <c r="AK129" s="2337"/>
      <c r="AL129" s="2337"/>
      <c r="AM129" s="2337"/>
      <c r="AN129" s="2337"/>
      <c r="AO129" s="2337"/>
      <c r="AP129" s="2337"/>
      <c r="AQ129" s="2337"/>
      <c r="AR129" s="2337"/>
      <c r="AS129" s="2337"/>
      <c r="AT129" s="2337"/>
      <c r="AU129" s="2337"/>
      <c r="AV129" s="2337"/>
      <c r="AW129" s="2337"/>
      <c r="AX129" s="2337"/>
      <c r="AY129" s="2337"/>
      <c r="AZ129" s="2337"/>
      <c r="BA129" s="2337"/>
      <c r="BB129" s="2337"/>
      <c r="BC129" s="2337"/>
      <c r="BD129" s="2338"/>
      <c r="BE129" s="1210"/>
    </row>
    <row r="130" spans="1:57" ht="15.75" customHeight="1">
      <c r="A130" s="1203"/>
      <c r="B130" s="2415"/>
      <c r="C130" s="2416"/>
      <c r="D130" s="2416"/>
      <c r="E130" s="2416"/>
      <c r="F130" s="2416"/>
      <c r="G130" s="2416"/>
      <c r="H130" s="2416"/>
      <c r="I130" s="2417"/>
      <c r="J130" s="2417"/>
      <c r="K130" s="2417"/>
      <c r="L130" s="2417"/>
      <c r="M130" s="2417"/>
      <c r="N130" s="2417"/>
      <c r="O130" s="2417"/>
      <c r="P130" s="2417"/>
      <c r="Q130" s="2417"/>
      <c r="R130" s="2417"/>
      <c r="S130" s="2417"/>
      <c r="T130" s="2417"/>
      <c r="U130" s="2418"/>
      <c r="V130" s="1203"/>
      <c r="W130" s="1203"/>
      <c r="X130" s="2336"/>
      <c r="Y130" s="2337"/>
      <c r="Z130" s="2337"/>
      <c r="AA130" s="2337"/>
      <c r="AB130" s="2337"/>
      <c r="AC130" s="2337"/>
      <c r="AD130" s="2337"/>
      <c r="AE130" s="2337"/>
      <c r="AF130" s="2337"/>
      <c r="AG130" s="2337"/>
      <c r="AH130" s="2337"/>
      <c r="AI130" s="2337"/>
      <c r="AJ130" s="2337"/>
      <c r="AK130" s="2337"/>
      <c r="AL130" s="2337"/>
      <c r="AM130" s="2337"/>
      <c r="AN130" s="2337"/>
      <c r="AO130" s="2337"/>
      <c r="AP130" s="2337"/>
      <c r="AQ130" s="2337"/>
      <c r="AR130" s="2337"/>
      <c r="AS130" s="2337"/>
      <c r="AT130" s="2337"/>
      <c r="AU130" s="2337"/>
      <c r="AV130" s="2337"/>
      <c r="AW130" s="2337"/>
      <c r="AX130" s="2337"/>
      <c r="AY130" s="2337"/>
      <c r="AZ130" s="2337"/>
      <c r="BA130" s="2337"/>
      <c r="BB130" s="2337"/>
      <c r="BC130" s="2337"/>
      <c r="BD130" s="2338"/>
      <c r="BE130" s="1210"/>
    </row>
    <row r="131" spans="1:57" ht="15.75" customHeight="1">
      <c r="A131" s="1203"/>
      <c r="B131" s="2389" t="s">
        <v>2281</v>
      </c>
      <c r="C131" s="2390"/>
      <c r="D131" s="2390"/>
      <c r="E131" s="2390"/>
      <c r="F131" s="2390"/>
      <c r="G131" s="2390"/>
      <c r="H131" s="2390"/>
      <c r="I131" s="2366">
        <v>4</v>
      </c>
      <c r="J131" s="2366"/>
      <c r="K131" s="2366"/>
      <c r="L131" s="2366"/>
      <c r="M131" s="2366"/>
      <c r="N131" s="2366"/>
      <c r="O131" s="2366"/>
      <c r="P131" s="2366">
        <v>12</v>
      </c>
      <c r="Q131" s="2366"/>
      <c r="R131" s="2366"/>
      <c r="S131" s="2366"/>
      <c r="T131" s="2366"/>
      <c r="U131" s="2367"/>
      <c r="V131" s="1203"/>
      <c r="W131" s="1203"/>
      <c r="X131" s="2336"/>
      <c r="Y131" s="2337"/>
      <c r="Z131" s="2337"/>
      <c r="AA131" s="2337"/>
      <c r="AB131" s="2337"/>
      <c r="AC131" s="2337"/>
      <c r="AD131" s="2337"/>
      <c r="AE131" s="2337"/>
      <c r="AF131" s="2337"/>
      <c r="AG131" s="2337"/>
      <c r="AH131" s="2337"/>
      <c r="AI131" s="2337"/>
      <c r="AJ131" s="2337"/>
      <c r="AK131" s="2337"/>
      <c r="AL131" s="2337"/>
      <c r="AM131" s="2337"/>
      <c r="AN131" s="2337"/>
      <c r="AO131" s="2337"/>
      <c r="AP131" s="2337"/>
      <c r="AQ131" s="2337"/>
      <c r="AR131" s="2337"/>
      <c r="AS131" s="2337"/>
      <c r="AT131" s="2337"/>
      <c r="AU131" s="2337"/>
      <c r="AV131" s="2337"/>
      <c r="AW131" s="2337"/>
      <c r="AX131" s="2337"/>
      <c r="AY131" s="2337"/>
      <c r="AZ131" s="2337"/>
      <c r="BA131" s="2337"/>
      <c r="BB131" s="2337"/>
      <c r="BC131" s="2337"/>
      <c r="BD131" s="2338"/>
      <c r="BE131" s="1210"/>
    </row>
    <row r="132" spans="1:57" ht="15.75" customHeight="1" thickBot="1">
      <c r="A132" s="1203"/>
      <c r="B132" s="2391" t="s">
        <v>2280</v>
      </c>
      <c r="C132" s="2392"/>
      <c r="D132" s="2392"/>
      <c r="E132" s="2392"/>
      <c r="F132" s="2392"/>
      <c r="G132" s="2392"/>
      <c r="H132" s="2392"/>
      <c r="I132" s="2364">
        <v>5</v>
      </c>
      <c r="J132" s="2364"/>
      <c r="K132" s="2364"/>
      <c r="L132" s="2364"/>
      <c r="M132" s="2364"/>
      <c r="N132" s="2364"/>
      <c r="O132" s="2364"/>
      <c r="P132" s="2364">
        <v>18</v>
      </c>
      <c r="Q132" s="2364"/>
      <c r="R132" s="2364"/>
      <c r="S132" s="2364"/>
      <c r="T132" s="2364"/>
      <c r="U132" s="2365"/>
      <c r="V132" s="1203"/>
      <c r="W132" s="1203"/>
      <c r="X132" s="2339"/>
      <c r="Y132" s="2340"/>
      <c r="Z132" s="2340"/>
      <c r="AA132" s="2340"/>
      <c r="AB132" s="2340"/>
      <c r="AC132" s="2340"/>
      <c r="AD132" s="2340"/>
      <c r="AE132" s="2340"/>
      <c r="AF132" s="2340"/>
      <c r="AG132" s="2340"/>
      <c r="AH132" s="2340"/>
      <c r="AI132" s="2340"/>
      <c r="AJ132" s="2340"/>
      <c r="AK132" s="2340"/>
      <c r="AL132" s="2340"/>
      <c r="AM132" s="2340"/>
      <c r="AN132" s="2340"/>
      <c r="AO132" s="2340"/>
      <c r="AP132" s="2340"/>
      <c r="AQ132" s="2340"/>
      <c r="AR132" s="2340"/>
      <c r="AS132" s="2340"/>
      <c r="AT132" s="2340"/>
      <c r="AU132" s="2340"/>
      <c r="AV132" s="2340"/>
      <c r="AW132" s="2340"/>
      <c r="AX132" s="2340"/>
      <c r="AY132" s="2340"/>
      <c r="AZ132" s="2340"/>
      <c r="BA132" s="2340"/>
      <c r="BB132" s="2340"/>
      <c r="BC132" s="2340"/>
      <c r="BD132" s="2341"/>
      <c r="BE132" s="1210"/>
    </row>
    <row r="133" spans="1:57" ht="15.75" customHeight="1" thickBot="1">
      <c r="A133" s="1203"/>
      <c r="B133" s="1203"/>
      <c r="C133" s="1203"/>
      <c r="D133" s="1203"/>
      <c r="E133" s="1203"/>
      <c r="F133" s="1203"/>
      <c r="G133" s="1203"/>
      <c r="H133" s="1203"/>
      <c r="I133" s="1203"/>
      <c r="J133" s="1203"/>
      <c r="K133" s="1203"/>
      <c r="L133" s="1203"/>
      <c r="M133" s="1203"/>
      <c r="N133" s="1203"/>
      <c r="O133" s="1203"/>
      <c r="P133" s="1203"/>
      <c r="Q133" s="1240"/>
      <c r="R133" s="1203"/>
      <c r="S133" s="1203"/>
      <c r="T133" s="1203"/>
      <c r="U133" s="1203"/>
      <c r="V133" s="1203"/>
      <c r="W133" s="1203"/>
      <c r="X133" s="1203"/>
      <c r="Y133" s="1203"/>
      <c r="Z133" s="1203"/>
      <c r="AA133" s="1203"/>
      <c r="AB133" s="1203"/>
      <c r="AC133" s="1203"/>
      <c r="AD133" s="1203"/>
      <c r="AE133" s="1203"/>
      <c r="AF133" s="1203"/>
      <c r="AG133" s="1203"/>
      <c r="AH133" s="1203"/>
      <c r="AI133" s="1203"/>
      <c r="AJ133" s="1203"/>
      <c r="AK133" s="1203"/>
      <c r="AL133" s="1203"/>
      <c r="AM133" s="1203"/>
      <c r="AN133" s="1203"/>
      <c r="AO133" s="1203"/>
      <c r="AP133" s="1203"/>
      <c r="AQ133" s="1203"/>
      <c r="AR133" s="1203"/>
      <c r="AS133" s="1203"/>
      <c r="AT133" s="1203"/>
      <c r="AU133" s="1203"/>
      <c r="AV133" s="1203"/>
      <c r="AW133" s="1203"/>
      <c r="AX133" s="1203"/>
      <c r="AY133" s="1203"/>
      <c r="AZ133" s="1203"/>
      <c r="BA133" s="1203"/>
      <c r="BB133" s="1203"/>
      <c r="BC133" s="1203"/>
      <c r="BD133" s="1203"/>
      <c r="BE133" s="1210"/>
    </row>
    <row r="134" spans="1:57" ht="15.75" customHeight="1">
      <c r="A134" s="1203"/>
      <c r="B134" s="2413" t="s">
        <v>2292</v>
      </c>
      <c r="C134" s="2414"/>
      <c r="D134" s="2414"/>
      <c r="E134" s="2414"/>
      <c r="F134" s="2414"/>
      <c r="G134" s="2414"/>
      <c r="H134" s="2414"/>
      <c r="I134" s="2414"/>
      <c r="J134" s="2414"/>
      <c r="K134" s="2414"/>
      <c r="L134" s="2414"/>
      <c r="M134" s="2414"/>
      <c r="N134" s="2414"/>
      <c r="O134" s="2414"/>
      <c r="P134" s="2414"/>
      <c r="Q134" s="2414"/>
      <c r="R134" s="2414"/>
      <c r="S134" s="2414"/>
      <c r="T134" s="2414"/>
      <c r="U134" s="2414"/>
      <c r="V134" s="2414"/>
      <c r="W134" s="2414"/>
      <c r="X134" s="2414"/>
      <c r="Y134" s="2414"/>
      <c r="Z134" s="2414"/>
      <c r="AA134" s="2414"/>
      <c r="AB134" s="2414"/>
      <c r="AC134" s="2414"/>
      <c r="AD134" s="2414"/>
      <c r="AE134" s="2414"/>
      <c r="AF134" s="2414"/>
      <c r="AG134" s="2414"/>
      <c r="AH134" s="2313" t="s">
        <v>544</v>
      </c>
      <c r="AI134" s="2313"/>
      <c r="AJ134" s="2313"/>
      <c r="AK134" s="2313"/>
      <c r="AL134" s="2313"/>
      <c r="AM134" s="2313"/>
      <c r="AN134" s="2313"/>
      <c r="AO134" s="2313"/>
      <c r="AP134" s="2313"/>
      <c r="AQ134" s="2313"/>
      <c r="AR134" s="2313"/>
      <c r="AS134" s="2313"/>
      <c r="AT134" s="2313"/>
      <c r="AU134" s="2313"/>
      <c r="AV134" s="2313"/>
      <c r="AW134" s="2313"/>
      <c r="AX134" s="2314"/>
      <c r="AY134" s="1203"/>
      <c r="AZ134" s="1203"/>
      <c r="BA134" s="1203"/>
      <c r="BB134" s="1203"/>
      <c r="BC134" s="1203"/>
      <c r="BD134" s="1203"/>
      <c r="BE134" s="1210"/>
    </row>
    <row r="135" spans="1:57" ht="15.75" customHeight="1" thickBot="1">
      <c r="A135" s="1203"/>
      <c r="B135" s="2400" t="s">
        <v>2291</v>
      </c>
      <c r="C135" s="2401"/>
      <c r="D135" s="2401"/>
      <c r="E135" s="2401"/>
      <c r="F135" s="2401"/>
      <c r="G135" s="2401"/>
      <c r="H135" s="2401"/>
      <c r="I135" s="2401"/>
      <c r="J135" s="2401"/>
      <c r="K135" s="2401"/>
      <c r="L135" s="2401"/>
      <c r="M135" s="2401"/>
      <c r="N135" s="2401"/>
      <c r="O135" s="2401"/>
      <c r="P135" s="2401"/>
      <c r="Q135" s="2401"/>
      <c r="R135" s="2401"/>
      <c r="S135" s="2401"/>
      <c r="T135" s="2401"/>
      <c r="U135" s="2401"/>
      <c r="V135" s="2401"/>
      <c r="W135" s="2401"/>
      <c r="X135" s="2401"/>
      <c r="Y135" s="2401"/>
      <c r="Z135" s="2401"/>
      <c r="AA135" s="2401"/>
      <c r="AB135" s="2401"/>
      <c r="AC135" s="2401"/>
      <c r="AD135" s="2401"/>
      <c r="AE135" s="2401"/>
      <c r="AF135" s="2401"/>
      <c r="AG135" s="2402"/>
      <c r="AH135" s="2369" t="s">
        <v>2767</v>
      </c>
      <c r="AI135" s="2370"/>
      <c r="AJ135" s="2370"/>
      <c r="AK135" s="2370"/>
      <c r="AL135" s="2370"/>
      <c r="AM135" s="2370"/>
      <c r="AN135" s="2370"/>
      <c r="AO135" s="2370"/>
      <c r="AP135" s="2370"/>
      <c r="AQ135" s="2370"/>
      <c r="AR135" s="2370"/>
      <c r="AS135" s="2370"/>
      <c r="AT135" s="2370"/>
      <c r="AU135" s="2370"/>
      <c r="AV135" s="2370"/>
      <c r="AW135" s="2370"/>
      <c r="AX135" s="2371"/>
      <c r="AY135" s="1203"/>
      <c r="AZ135" s="1203"/>
      <c r="BA135" s="1203"/>
      <c r="BB135" s="1203"/>
      <c r="BC135" s="1203"/>
      <c r="BD135" s="1203"/>
      <c r="BE135" s="1210"/>
    </row>
    <row r="136" spans="1:57" ht="15.75" customHeight="1">
      <c r="A136" s="1203"/>
      <c r="B136" s="2400" t="s">
        <v>2290</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2"/>
      <c r="AH136" s="2313" t="s">
        <v>668</v>
      </c>
      <c r="AI136" s="2313"/>
      <c r="AJ136" s="2313"/>
      <c r="AK136" s="2313"/>
      <c r="AL136" s="2313"/>
      <c r="AM136" s="2313"/>
      <c r="AN136" s="2313"/>
      <c r="AO136" s="2313"/>
      <c r="AP136" s="2313"/>
      <c r="AQ136" s="2313"/>
      <c r="AR136" s="2313"/>
      <c r="AS136" s="2313"/>
      <c r="AT136" s="2313"/>
      <c r="AU136" s="2313"/>
      <c r="AV136" s="2313"/>
      <c r="AW136" s="2313"/>
      <c r="AX136" s="2314"/>
      <c r="AY136" s="1203"/>
      <c r="AZ136" s="1203"/>
      <c r="BA136" s="1203"/>
      <c r="BB136" s="1203"/>
      <c r="BC136" s="1203"/>
      <c r="BD136" s="1203"/>
      <c r="BE136" s="1210"/>
    </row>
    <row r="137" spans="1:57" ht="15.75" customHeight="1">
      <c r="A137" s="1203"/>
      <c r="B137" s="2403" t="s">
        <v>2289</v>
      </c>
      <c r="C137" s="2404"/>
      <c r="D137" s="2404"/>
      <c r="E137" s="2404"/>
      <c r="F137" s="2404"/>
      <c r="G137" s="2404"/>
      <c r="H137" s="2404"/>
      <c r="I137" s="2404"/>
      <c r="J137" s="2404"/>
      <c r="K137" s="2404"/>
      <c r="L137" s="2404"/>
      <c r="M137" s="2404"/>
      <c r="N137" s="2404"/>
      <c r="O137" s="2404"/>
      <c r="P137" s="2404"/>
      <c r="Q137" s="2404"/>
      <c r="R137" s="2405" t="s">
        <v>2768</v>
      </c>
      <c r="S137" s="2405"/>
      <c r="T137" s="2405"/>
      <c r="U137" s="2405"/>
      <c r="V137" s="2405"/>
      <c r="W137" s="2405"/>
      <c r="X137" s="2405"/>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6"/>
      <c r="AY137" s="1203"/>
      <c r="AZ137" s="1203"/>
      <c r="BA137" s="1203"/>
      <c r="BB137" s="1203"/>
      <c r="BC137" s="1203" t="s">
        <v>249</v>
      </c>
      <c r="BD137" s="1203"/>
      <c r="BE137" s="1210"/>
    </row>
    <row r="138" spans="1:57" ht="15.75" customHeight="1">
      <c r="A138" s="1203"/>
      <c r="B138" s="2407" t="s">
        <v>2769</v>
      </c>
      <c r="C138" s="2408"/>
      <c r="D138" s="2408"/>
      <c r="E138" s="2408"/>
      <c r="F138" s="2408"/>
      <c r="G138" s="2408"/>
      <c r="H138" s="2408"/>
      <c r="I138" s="2408"/>
      <c r="J138" s="2408"/>
      <c r="K138" s="2408"/>
      <c r="L138" s="2408"/>
      <c r="M138" s="2408"/>
      <c r="N138" s="2408"/>
      <c r="O138" s="2408"/>
      <c r="P138" s="2408"/>
      <c r="Q138" s="2408"/>
      <c r="R138" s="2408"/>
      <c r="S138" s="2408"/>
      <c r="T138" s="2408"/>
      <c r="U138" s="2408"/>
      <c r="V138" s="2408"/>
      <c r="W138" s="2408"/>
      <c r="X138" s="2408"/>
      <c r="Y138" s="2408"/>
      <c r="Z138" s="2408"/>
      <c r="AA138" s="2408"/>
      <c r="AB138" s="2408"/>
      <c r="AC138" s="2408"/>
      <c r="AD138" s="2408"/>
      <c r="AE138" s="2408"/>
      <c r="AF138" s="2408"/>
      <c r="AG138" s="2408"/>
      <c r="AH138" s="2408"/>
      <c r="AI138" s="2408"/>
      <c r="AJ138" s="2408"/>
      <c r="AK138" s="2408"/>
      <c r="AL138" s="2408"/>
      <c r="AM138" s="2408"/>
      <c r="AN138" s="2408"/>
      <c r="AO138" s="2408"/>
      <c r="AP138" s="2408"/>
      <c r="AQ138" s="2408"/>
      <c r="AR138" s="2408"/>
      <c r="AS138" s="2408"/>
      <c r="AT138" s="2408"/>
      <c r="AU138" s="2408"/>
      <c r="AV138" s="2408"/>
      <c r="AW138" s="2408"/>
      <c r="AX138" s="2409"/>
      <c r="AY138" s="1203"/>
      <c r="AZ138" s="1203"/>
      <c r="BA138" s="1203"/>
      <c r="BB138" s="1203"/>
      <c r="BC138" s="1203"/>
      <c r="BD138" s="1203"/>
      <c r="BE138" s="1210"/>
    </row>
    <row r="139" spans="1:57" ht="15.75" customHeight="1">
      <c r="A139" s="1203"/>
      <c r="B139" s="2407"/>
      <c r="C139" s="2408"/>
      <c r="D139" s="2408"/>
      <c r="E139" s="2408"/>
      <c r="F139" s="2408"/>
      <c r="G139" s="2408"/>
      <c r="H139" s="2408"/>
      <c r="I139" s="2408"/>
      <c r="J139" s="2408"/>
      <c r="K139" s="2408"/>
      <c r="L139" s="2408"/>
      <c r="M139" s="2408"/>
      <c r="N139" s="2408"/>
      <c r="O139" s="2408"/>
      <c r="P139" s="2408"/>
      <c r="Q139" s="2408"/>
      <c r="R139" s="2408"/>
      <c r="S139" s="2408"/>
      <c r="T139" s="2408"/>
      <c r="U139" s="2408"/>
      <c r="V139" s="2408"/>
      <c r="W139" s="2408"/>
      <c r="X139" s="2408"/>
      <c r="Y139" s="2408"/>
      <c r="Z139" s="2408"/>
      <c r="AA139" s="2408"/>
      <c r="AB139" s="2408"/>
      <c r="AC139" s="2408"/>
      <c r="AD139" s="2408"/>
      <c r="AE139" s="2408"/>
      <c r="AF139" s="2408"/>
      <c r="AG139" s="2408"/>
      <c r="AH139" s="2408"/>
      <c r="AI139" s="2408"/>
      <c r="AJ139" s="2408"/>
      <c r="AK139" s="2408"/>
      <c r="AL139" s="2408"/>
      <c r="AM139" s="2408"/>
      <c r="AN139" s="2408"/>
      <c r="AO139" s="2408"/>
      <c r="AP139" s="2408"/>
      <c r="AQ139" s="2408"/>
      <c r="AR139" s="2408"/>
      <c r="AS139" s="2408"/>
      <c r="AT139" s="2408"/>
      <c r="AU139" s="2408"/>
      <c r="AV139" s="2408"/>
      <c r="AW139" s="2408"/>
      <c r="AX139" s="2409"/>
      <c r="AY139" s="1203"/>
      <c r="AZ139" s="1203"/>
      <c r="BA139" s="1203"/>
      <c r="BB139" s="1203"/>
      <c r="BC139" s="1203"/>
      <c r="BD139" s="1203"/>
      <c r="BE139" s="1210"/>
    </row>
    <row r="140" spans="1:57" ht="15.75" customHeight="1">
      <c r="A140" s="1203"/>
      <c r="B140" s="2407"/>
      <c r="C140" s="2408"/>
      <c r="D140" s="2408"/>
      <c r="E140" s="2408"/>
      <c r="F140" s="2408"/>
      <c r="G140" s="2408"/>
      <c r="H140" s="2408"/>
      <c r="I140" s="2408"/>
      <c r="J140" s="2408"/>
      <c r="K140" s="2408"/>
      <c r="L140" s="2408"/>
      <c r="M140" s="2408"/>
      <c r="N140" s="2408"/>
      <c r="O140" s="2408"/>
      <c r="P140" s="2408"/>
      <c r="Q140" s="2408"/>
      <c r="R140" s="2408"/>
      <c r="S140" s="2408"/>
      <c r="T140" s="2408"/>
      <c r="U140" s="2408"/>
      <c r="V140" s="2408"/>
      <c r="W140" s="2408"/>
      <c r="X140" s="2408"/>
      <c r="Y140" s="2408"/>
      <c r="Z140" s="2408"/>
      <c r="AA140" s="2408"/>
      <c r="AB140" s="2408"/>
      <c r="AC140" s="2408"/>
      <c r="AD140" s="2408"/>
      <c r="AE140" s="2408"/>
      <c r="AF140" s="2408"/>
      <c r="AG140" s="2408"/>
      <c r="AH140" s="2408"/>
      <c r="AI140" s="2408"/>
      <c r="AJ140" s="2408"/>
      <c r="AK140" s="2408"/>
      <c r="AL140" s="2408"/>
      <c r="AM140" s="2408"/>
      <c r="AN140" s="2408"/>
      <c r="AO140" s="2408"/>
      <c r="AP140" s="2408"/>
      <c r="AQ140" s="2408"/>
      <c r="AR140" s="2408"/>
      <c r="AS140" s="2408"/>
      <c r="AT140" s="2408"/>
      <c r="AU140" s="2408"/>
      <c r="AV140" s="2408"/>
      <c r="AW140" s="2408"/>
      <c r="AX140" s="2409"/>
      <c r="AY140" s="1203"/>
      <c r="AZ140" s="1203"/>
      <c r="BA140" s="1203"/>
      <c r="BB140" s="1203"/>
      <c r="BC140" s="1203"/>
      <c r="BD140" s="1203"/>
      <c r="BE140" s="1210"/>
    </row>
    <row r="141" spans="1:57" ht="15.75" customHeight="1">
      <c r="A141" s="1203"/>
      <c r="B141" s="2407"/>
      <c r="C141" s="2408"/>
      <c r="D141" s="2408"/>
      <c r="E141" s="2408"/>
      <c r="F141" s="2408"/>
      <c r="G141" s="2408"/>
      <c r="H141" s="2408"/>
      <c r="I141" s="2408"/>
      <c r="J141" s="2408"/>
      <c r="K141" s="2408"/>
      <c r="L141" s="2408"/>
      <c r="M141" s="2408"/>
      <c r="N141" s="2408"/>
      <c r="O141" s="2408"/>
      <c r="P141" s="2408"/>
      <c r="Q141" s="2408"/>
      <c r="R141" s="2408"/>
      <c r="S141" s="2408"/>
      <c r="T141" s="2408"/>
      <c r="U141" s="2408"/>
      <c r="V141" s="2408"/>
      <c r="W141" s="2408"/>
      <c r="X141" s="2408"/>
      <c r="Y141" s="2408"/>
      <c r="Z141" s="2408"/>
      <c r="AA141" s="2408"/>
      <c r="AB141" s="2408"/>
      <c r="AC141" s="2408"/>
      <c r="AD141" s="2408"/>
      <c r="AE141" s="2408"/>
      <c r="AF141" s="2408"/>
      <c r="AG141" s="2408"/>
      <c r="AH141" s="2408"/>
      <c r="AI141" s="2408"/>
      <c r="AJ141" s="2408"/>
      <c r="AK141" s="2408"/>
      <c r="AL141" s="2408"/>
      <c r="AM141" s="2408"/>
      <c r="AN141" s="2408"/>
      <c r="AO141" s="2408"/>
      <c r="AP141" s="2408"/>
      <c r="AQ141" s="2408"/>
      <c r="AR141" s="2408"/>
      <c r="AS141" s="2408"/>
      <c r="AT141" s="2408"/>
      <c r="AU141" s="2408"/>
      <c r="AV141" s="2408"/>
      <c r="AW141" s="2408"/>
      <c r="AX141" s="2409"/>
      <c r="AY141" s="1203"/>
      <c r="AZ141" s="1203"/>
      <c r="BA141" s="1203"/>
      <c r="BB141" s="1203"/>
      <c r="BC141" s="1203"/>
      <c r="BD141" s="1203"/>
      <c r="BE141" s="1210"/>
    </row>
    <row r="142" spans="1:57" ht="15.75" customHeight="1">
      <c r="A142" s="1203"/>
      <c r="B142" s="2407"/>
      <c r="C142" s="2408"/>
      <c r="D142" s="2408"/>
      <c r="E142" s="2408"/>
      <c r="F142" s="2408"/>
      <c r="G142" s="2408"/>
      <c r="H142" s="2408"/>
      <c r="I142" s="2408"/>
      <c r="J142" s="2408"/>
      <c r="K142" s="2408"/>
      <c r="L142" s="2408"/>
      <c r="M142" s="2408"/>
      <c r="N142" s="2408"/>
      <c r="O142" s="2408"/>
      <c r="P142" s="2408"/>
      <c r="Q142" s="2408"/>
      <c r="R142" s="2408"/>
      <c r="S142" s="2408"/>
      <c r="T142" s="2408"/>
      <c r="U142" s="2408"/>
      <c r="V142" s="2408"/>
      <c r="W142" s="2408"/>
      <c r="X142" s="2408"/>
      <c r="Y142" s="2408"/>
      <c r="Z142" s="2408"/>
      <c r="AA142" s="2408"/>
      <c r="AB142" s="2408"/>
      <c r="AC142" s="2408"/>
      <c r="AD142" s="2408"/>
      <c r="AE142" s="2408"/>
      <c r="AF142" s="2408"/>
      <c r="AG142" s="2408"/>
      <c r="AH142" s="2408"/>
      <c r="AI142" s="2408"/>
      <c r="AJ142" s="2408"/>
      <c r="AK142" s="2408"/>
      <c r="AL142" s="2408"/>
      <c r="AM142" s="2408"/>
      <c r="AN142" s="2408"/>
      <c r="AO142" s="2408"/>
      <c r="AP142" s="2408"/>
      <c r="AQ142" s="2408"/>
      <c r="AR142" s="2408"/>
      <c r="AS142" s="2408"/>
      <c r="AT142" s="2408"/>
      <c r="AU142" s="2408"/>
      <c r="AV142" s="2408"/>
      <c r="AW142" s="2408"/>
      <c r="AX142" s="2409"/>
      <c r="AY142" s="1203"/>
      <c r="AZ142" s="1203"/>
      <c r="BA142" s="1203"/>
      <c r="BB142" s="1203"/>
      <c r="BC142" s="1203"/>
      <c r="BD142" s="1203"/>
      <c r="BE142" s="1210"/>
    </row>
    <row r="143" spans="1:57" ht="15.75" customHeight="1">
      <c r="A143" s="1203"/>
      <c r="B143" s="2407"/>
      <c r="C143" s="2408"/>
      <c r="D143" s="2408"/>
      <c r="E143" s="2408"/>
      <c r="F143" s="2408"/>
      <c r="G143" s="2408"/>
      <c r="H143" s="2408"/>
      <c r="I143" s="2408"/>
      <c r="J143" s="2408"/>
      <c r="K143" s="2408"/>
      <c r="L143" s="2408"/>
      <c r="M143" s="2408"/>
      <c r="N143" s="2408"/>
      <c r="O143" s="2408"/>
      <c r="P143" s="2408"/>
      <c r="Q143" s="2408"/>
      <c r="R143" s="2408"/>
      <c r="S143" s="2408"/>
      <c r="T143" s="2408"/>
      <c r="U143" s="2408"/>
      <c r="V143" s="2408"/>
      <c r="W143" s="2408"/>
      <c r="X143" s="2408"/>
      <c r="Y143" s="2408"/>
      <c r="Z143" s="2408"/>
      <c r="AA143" s="2408"/>
      <c r="AB143" s="2408"/>
      <c r="AC143" s="2408"/>
      <c r="AD143" s="2408"/>
      <c r="AE143" s="2408"/>
      <c r="AF143" s="2408"/>
      <c r="AG143" s="2408"/>
      <c r="AH143" s="2408"/>
      <c r="AI143" s="2408"/>
      <c r="AJ143" s="2408"/>
      <c r="AK143" s="2408"/>
      <c r="AL143" s="2408"/>
      <c r="AM143" s="2408"/>
      <c r="AN143" s="2408"/>
      <c r="AO143" s="2408"/>
      <c r="AP143" s="2408"/>
      <c r="AQ143" s="2408"/>
      <c r="AR143" s="2408"/>
      <c r="AS143" s="2408"/>
      <c r="AT143" s="2408"/>
      <c r="AU143" s="2408"/>
      <c r="AV143" s="2408"/>
      <c r="AW143" s="2408"/>
      <c r="AX143" s="2409"/>
      <c r="AY143" s="1203"/>
      <c r="AZ143" s="1203"/>
      <c r="BA143" s="1203"/>
      <c r="BB143" s="1203"/>
      <c r="BC143" s="1203"/>
      <c r="BD143" s="1203"/>
      <c r="BE143" s="1210"/>
    </row>
    <row r="144" spans="1:57" ht="15.75" customHeight="1">
      <c r="A144" s="1203"/>
      <c r="B144" s="2407"/>
      <c r="C144" s="2408"/>
      <c r="D144" s="2408"/>
      <c r="E144" s="2408"/>
      <c r="F144" s="2408"/>
      <c r="G144" s="2408"/>
      <c r="H144" s="2408"/>
      <c r="I144" s="2408"/>
      <c r="J144" s="2408"/>
      <c r="K144" s="2408"/>
      <c r="L144" s="2408"/>
      <c r="M144" s="2408"/>
      <c r="N144" s="2408"/>
      <c r="O144" s="2408"/>
      <c r="P144" s="2408"/>
      <c r="Q144" s="2408"/>
      <c r="R144" s="2408"/>
      <c r="S144" s="2408"/>
      <c r="T144" s="2408"/>
      <c r="U144" s="2408"/>
      <c r="V144" s="2408"/>
      <c r="W144" s="2408"/>
      <c r="X144" s="2408"/>
      <c r="Y144" s="2408"/>
      <c r="Z144" s="2408"/>
      <c r="AA144" s="2408"/>
      <c r="AB144" s="2408"/>
      <c r="AC144" s="2408"/>
      <c r="AD144" s="2408"/>
      <c r="AE144" s="2408"/>
      <c r="AF144" s="2408"/>
      <c r="AG144" s="2408"/>
      <c r="AH144" s="2408"/>
      <c r="AI144" s="2408"/>
      <c r="AJ144" s="2408"/>
      <c r="AK144" s="2408"/>
      <c r="AL144" s="2408"/>
      <c r="AM144" s="2408"/>
      <c r="AN144" s="2408"/>
      <c r="AO144" s="2408"/>
      <c r="AP144" s="2408"/>
      <c r="AQ144" s="2408"/>
      <c r="AR144" s="2408"/>
      <c r="AS144" s="2408"/>
      <c r="AT144" s="2408"/>
      <c r="AU144" s="2408"/>
      <c r="AV144" s="2408"/>
      <c r="AW144" s="2408"/>
      <c r="AX144" s="2409"/>
      <c r="AY144" s="1203"/>
      <c r="AZ144" s="1203"/>
      <c r="BA144" s="1203"/>
      <c r="BB144" s="1203"/>
      <c r="BC144" s="1203"/>
      <c r="BD144" s="1203"/>
      <c r="BE144" s="1210"/>
    </row>
    <row r="145" spans="1:57" ht="15.75" customHeight="1">
      <c r="A145" s="1203"/>
      <c r="B145" s="2407"/>
      <c r="C145" s="2408"/>
      <c r="D145" s="2408"/>
      <c r="E145" s="2408"/>
      <c r="F145" s="2408"/>
      <c r="G145" s="2408"/>
      <c r="H145" s="2408"/>
      <c r="I145" s="2408"/>
      <c r="J145" s="2408"/>
      <c r="K145" s="2408"/>
      <c r="L145" s="2408"/>
      <c r="M145" s="2408"/>
      <c r="N145" s="2408"/>
      <c r="O145" s="2408"/>
      <c r="P145" s="2408"/>
      <c r="Q145" s="2408"/>
      <c r="R145" s="2408"/>
      <c r="S145" s="2408"/>
      <c r="T145" s="2408"/>
      <c r="U145" s="2408"/>
      <c r="V145" s="2408"/>
      <c r="W145" s="2408"/>
      <c r="X145" s="2408"/>
      <c r="Y145" s="2408"/>
      <c r="Z145" s="2408"/>
      <c r="AA145" s="2408"/>
      <c r="AB145" s="2408"/>
      <c r="AC145" s="2408"/>
      <c r="AD145" s="2408"/>
      <c r="AE145" s="2408"/>
      <c r="AF145" s="2408"/>
      <c r="AG145" s="2408"/>
      <c r="AH145" s="2408"/>
      <c r="AI145" s="2408"/>
      <c r="AJ145" s="2408"/>
      <c r="AK145" s="2408"/>
      <c r="AL145" s="2408"/>
      <c r="AM145" s="2408"/>
      <c r="AN145" s="2408"/>
      <c r="AO145" s="2408"/>
      <c r="AP145" s="2408"/>
      <c r="AQ145" s="2408"/>
      <c r="AR145" s="2408"/>
      <c r="AS145" s="2408"/>
      <c r="AT145" s="2408"/>
      <c r="AU145" s="2408"/>
      <c r="AV145" s="2408"/>
      <c r="AW145" s="2408"/>
      <c r="AX145" s="2409"/>
      <c r="AY145" s="1203"/>
      <c r="AZ145" s="1203"/>
      <c r="BA145" s="1203"/>
      <c r="BB145" s="1203"/>
      <c r="BC145" s="1203"/>
      <c r="BD145" s="1203"/>
      <c r="BE145" s="1210"/>
    </row>
    <row r="146" spans="1:57" ht="15.75" customHeight="1">
      <c r="A146" s="1203"/>
      <c r="B146" s="2407"/>
      <c r="C146" s="2408"/>
      <c r="D146" s="2408"/>
      <c r="E146" s="2408"/>
      <c r="F146" s="2408"/>
      <c r="G146" s="2408"/>
      <c r="H146" s="2408"/>
      <c r="I146" s="2408"/>
      <c r="J146" s="2408"/>
      <c r="K146" s="2408"/>
      <c r="L146" s="2408"/>
      <c r="M146" s="2408"/>
      <c r="N146" s="2408"/>
      <c r="O146" s="2408"/>
      <c r="P146" s="2408"/>
      <c r="Q146" s="2408"/>
      <c r="R146" s="2408"/>
      <c r="S146" s="2408"/>
      <c r="T146" s="2408"/>
      <c r="U146" s="2408"/>
      <c r="V146" s="2408"/>
      <c r="W146" s="2408"/>
      <c r="X146" s="2408"/>
      <c r="Y146" s="2408"/>
      <c r="Z146" s="2408"/>
      <c r="AA146" s="2408"/>
      <c r="AB146" s="2408"/>
      <c r="AC146" s="2408"/>
      <c r="AD146" s="2408"/>
      <c r="AE146" s="2408"/>
      <c r="AF146" s="2408"/>
      <c r="AG146" s="2408"/>
      <c r="AH146" s="2408"/>
      <c r="AI146" s="2408"/>
      <c r="AJ146" s="2408"/>
      <c r="AK146" s="2408"/>
      <c r="AL146" s="2408"/>
      <c r="AM146" s="2408"/>
      <c r="AN146" s="2408"/>
      <c r="AO146" s="2408"/>
      <c r="AP146" s="2408"/>
      <c r="AQ146" s="2408"/>
      <c r="AR146" s="2408"/>
      <c r="AS146" s="2408"/>
      <c r="AT146" s="2408"/>
      <c r="AU146" s="2408"/>
      <c r="AV146" s="2408"/>
      <c r="AW146" s="2408"/>
      <c r="AX146" s="2409"/>
      <c r="AY146" s="1203"/>
      <c r="AZ146" s="1203"/>
      <c r="BA146" s="1203"/>
      <c r="BB146" s="1203"/>
      <c r="BC146" s="1203"/>
      <c r="BD146" s="1203"/>
      <c r="BE146" s="1210"/>
    </row>
    <row r="147" spans="1:57" ht="15.75" customHeight="1" thickBot="1">
      <c r="A147" s="1203"/>
      <c r="B147" s="2410"/>
      <c r="C147" s="2411"/>
      <c r="D147" s="2411"/>
      <c r="E147" s="2411"/>
      <c r="F147" s="2411"/>
      <c r="G147" s="2411"/>
      <c r="H147" s="2411"/>
      <c r="I147" s="2411"/>
      <c r="J147" s="2411"/>
      <c r="K147" s="2411"/>
      <c r="L147" s="2411"/>
      <c r="M147" s="2411"/>
      <c r="N147" s="2411"/>
      <c r="O147" s="2411"/>
      <c r="P147" s="2411"/>
      <c r="Q147" s="2411"/>
      <c r="R147" s="2411"/>
      <c r="S147" s="2411"/>
      <c r="T147" s="2411"/>
      <c r="U147" s="2411"/>
      <c r="V147" s="2411"/>
      <c r="W147" s="2411"/>
      <c r="X147" s="2411"/>
      <c r="Y147" s="2411"/>
      <c r="Z147" s="2411"/>
      <c r="AA147" s="2411"/>
      <c r="AB147" s="2411"/>
      <c r="AC147" s="2411"/>
      <c r="AD147" s="2411"/>
      <c r="AE147" s="2411"/>
      <c r="AF147" s="2411"/>
      <c r="AG147" s="2411"/>
      <c r="AH147" s="2411"/>
      <c r="AI147" s="2411"/>
      <c r="AJ147" s="2411"/>
      <c r="AK147" s="2411"/>
      <c r="AL147" s="2411"/>
      <c r="AM147" s="2411"/>
      <c r="AN147" s="2411"/>
      <c r="AO147" s="2411"/>
      <c r="AP147" s="2411"/>
      <c r="AQ147" s="2411"/>
      <c r="AR147" s="2411"/>
      <c r="AS147" s="2411"/>
      <c r="AT147" s="2411"/>
      <c r="AU147" s="2411"/>
      <c r="AV147" s="2411"/>
      <c r="AW147" s="2411"/>
      <c r="AX147" s="2412"/>
      <c r="AY147" s="1203"/>
      <c r="AZ147" s="1203"/>
      <c r="BA147" s="1203"/>
      <c r="BB147" s="1203"/>
      <c r="BC147" s="1203"/>
      <c r="BD147" s="1203"/>
      <c r="BE147" s="1210"/>
    </row>
    <row r="148" spans="1:57" ht="15.75" customHeight="1" thickBot="1">
      <c r="A148" s="1203"/>
      <c r="B148" s="1203"/>
      <c r="C148" s="1203"/>
      <c r="D148" s="1203"/>
      <c r="E148" s="1203"/>
      <c r="F148" s="1203"/>
      <c r="G148" s="1203"/>
      <c r="H148" s="1203"/>
      <c r="I148" s="1203"/>
      <c r="J148" s="1203"/>
      <c r="K148" s="1203"/>
      <c r="L148" s="1203"/>
      <c r="M148" s="1203"/>
      <c r="N148" s="1203"/>
      <c r="O148" s="1203"/>
      <c r="P148" s="1203"/>
      <c r="Q148" s="1203"/>
      <c r="R148" s="1203"/>
      <c r="S148" s="1203"/>
      <c r="T148" s="1203"/>
      <c r="U148" s="1203"/>
      <c r="V148" s="1203"/>
      <c r="W148" s="1203"/>
      <c r="X148" s="1203"/>
      <c r="Y148" s="1203"/>
      <c r="Z148" s="1203"/>
      <c r="AA148" s="1203"/>
      <c r="AB148" s="1203"/>
      <c r="AC148" s="1203"/>
      <c r="AD148" s="1203"/>
      <c r="AE148" s="1203"/>
      <c r="AF148" s="1203"/>
      <c r="AG148" s="1203"/>
      <c r="AH148" s="1203"/>
      <c r="AI148" s="1203"/>
      <c r="AJ148" s="1203"/>
      <c r="AK148" s="1203"/>
      <c r="AL148" s="1203"/>
      <c r="AM148" s="1203"/>
      <c r="AN148" s="1203"/>
      <c r="AO148" s="1203"/>
      <c r="AP148" s="1203"/>
      <c r="AQ148" s="1203"/>
      <c r="AR148" s="1203"/>
      <c r="AS148" s="1203"/>
      <c r="AT148" s="1203"/>
      <c r="AU148" s="1203"/>
      <c r="AV148" s="1203"/>
      <c r="AW148" s="1203"/>
      <c r="AX148" s="1203"/>
      <c r="AY148" s="1203"/>
      <c r="AZ148" s="1203"/>
      <c r="BA148" s="1203"/>
      <c r="BB148" s="1203"/>
      <c r="BC148" s="1203"/>
      <c r="BD148" s="1203"/>
      <c r="BE148" s="1210"/>
    </row>
    <row r="149" spans="1:57" ht="15.75" customHeight="1" thickBot="1">
      <c r="A149" s="1203"/>
      <c r="B149" s="1226" t="s">
        <v>2288</v>
      </c>
      <c r="C149" s="1227"/>
      <c r="D149" s="1227"/>
      <c r="E149" s="1227"/>
      <c r="F149" s="1227"/>
      <c r="G149" s="1227"/>
      <c r="H149" s="1227"/>
      <c r="I149" s="1227"/>
      <c r="J149" s="1227"/>
      <c r="K149" s="1227"/>
      <c r="L149" s="1227"/>
      <c r="M149" s="1228"/>
      <c r="N149" s="1211"/>
      <c r="O149" s="1211"/>
      <c r="P149" s="1203"/>
      <c r="Q149" s="1203"/>
      <c r="R149" s="1203"/>
      <c r="S149" s="1203"/>
      <c r="T149" s="1203"/>
      <c r="U149" s="1203" t="s">
        <v>249</v>
      </c>
      <c r="V149" s="1203"/>
      <c r="W149" s="1203"/>
      <c r="X149" s="1226" t="s">
        <v>2287</v>
      </c>
      <c r="Y149" s="1227"/>
      <c r="Z149" s="1227"/>
      <c r="AA149" s="1227"/>
      <c r="AB149" s="1227"/>
      <c r="AC149" s="1227"/>
      <c r="AD149" s="1227"/>
      <c r="AE149" s="1227"/>
      <c r="AF149" s="1227"/>
      <c r="AG149" s="1227"/>
      <c r="AH149" s="1227"/>
      <c r="AI149" s="1227"/>
      <c r="AJ149" s="1227"/>
      <c r="AK149" s="1221"/>
      <c r="AL149" s="1221"/>
      <c r="AM149" s="1222"/>
      <c r="AN149" s="1203"/>
      <c r="AO149" s="1203"/>
      <c r="AP149" s="1203"/>
      <c r="AQ149" s="1203"/>
      <c r="AR149" s="1203"/>
      <c r="AS149" s="1203"/>
      <c r="AT149" s="1203"/>
      <c r="AU149" s="1203"/>
      <c r="AV149" s="1203"/>
      <c r="AW149" s="1203"/>
      <c r="AX149" s="1203"/>
      <c r="AY149" s="1203"/>
      <c r="AZ149" s="1203"/>
      <c r="BA149" s="1203"/>
      <c r="BB149" s="1203"/>
      <c r="BC149" s="1203"/>
      <c r="BD149" s="1203"/>
      <c r="BE149" s="1210"/>
    </row>
    <row r="150" spans="1:57" ht="15.75" customHeight="1" thickBot="1">
      <c r="A150" s="1203"/>
      <c r="B150" s="1203"/>
      <c r="C150" s="1203"/>
      <c r="D150" s="1203"/>
      <c r="E150" s="1203"/>
      <c r="F150" s="1203"/>
      <c r="G150" s="1203"/>
      <c r="H150" s="1203"/>
      <c r="I150" s="1203"/>
      <c r="J150" s="1203"/>
      <c r="K150" s="1203"/>
      <c r="L150" s="1203"/>
      <c r="M150" s="1203"/>
      <c r="N150" s="1203"/>
      <c r="O150" s="1203"/>
      <c r="P150" s="1211"/>
      <c r="Q150" s="1203"/>
      <c r="R150" s="1203"/>
      <c r="S150" s="1203"/>
      <c r="T150" s="1203"/>
      <c r="U150" s="1203"/>
      <c r="V150" s="1203"/>
      <c r="W150" s="1203"/>
      <c r="X150" s="1203"/>
      <c r="Y150" s="1203"/>
      <c r="Z150" s="1203"/>
      <c r="AA150" s="1203"/>
      <c r="AB150" s="1203"/>
      <c r="AC150" s="1203"/>
      <c r="AD150" s="1203"/>
      <c r="AE150" s="1203"/>
      <c r="AF150" s="1203"/>
      <c r="AG150" s="1203"/>
      <c r="AH150" s="1203"/>
      <c r="AI150" s="1203"/>
      <c r="AJ150" s="1203"/>
      <c r="AK150" s="1203"/>
      <c r="AL150" s="1203"/>
      <c r="AM150" s="1203"/>
      <c r="AN150" s="1203"/>
      <c r="AO150" s="1203"/>
      <c r="AP150" s="1203"/>
      <c r="AQ150" s="1203"/>
      <c r="AR150" s="1203"/>
      <c r="AS150" s="1203"/>
      <c r="AT150" s="1203"/>
      <c r="AU150" s="1203"/>
      <c r="AV150" s="1203"/>
      <c r="AW150" s="1203"/>
      <c r="AX150" s="1203"/>
      <c r="AY150" s="1203"/>
      <c r="AZ150" s="1203"/>
      <c r="BA150" s="1203"/>
      <c r="BB150" s="1203"/>
      <c r="BC150" s="1203"/>
      <c r="BD150" s="1203"/>
      <c r="BE150" s="1210"/>
    </row>
    <row r="151" spans="1:57" ht="15.75" customHeight="1">
      <c r="A151" s="1203"/>
      <c r="B151" s="2285" t="s">
        <v>2286</v>
      </c>
      <c r="C151" s="2286"/>
      <c r="D151" s="2286"/>
      <c r="E151" s="2286"/>
      <c r="F151" s="2286"/>
      <c r="G151" s="2286"/>
      <c r="H151" s="2286"/>
      <c r="I151" s="2286"/>
      <c r="J151" s="2286"/>
      <c r="K151" s="2286"/>
      <c r="L151" s="2286"/>
      <c r="M151" s="2286"/>
      <c r="N151" s="2286"/>
      <c r="O151" s="2286"/>
      <c r="P151" s="2286"/>
      <c r="Q151" s="2286"/>
      <c r="R151" s="2286"/>
      <c r="S151" s="2286"/>
      <c r="T151" s="2286"/>
      <c r="U151" s="2287"/>
      <c r="V151" s="1203"/>
      <c r="W151" s="1204"/>
      <c r="X151" s="2285" t="s">
        <v>2285</v>
      </c>
      <c r="Y151" s="2286"/>
      <c r="Z151" s="2286"/>
      <c r="AA151" s="2286"/>
      <c r="AB151" s="2286"/>
      <c r="AC151" s="2286"/>
      <c r="AD151" s="2286"/>
      <c r="AE151" s="2286"/>
      <c r="AF151" s="2286"/>
      <c r="AG151" s="2286"/>
      <c r="AH151" s="2286"/>
      <c r="AI151" s="2286"/>
      <c r="AJ151" s="2286"/>
      <c r="AK151" s="2286"/>
      <c r="AL151" s="2286"/>
      <c r="AM151" s="2286"/>
      <c r="AN151" s="2286"/>
      <c r="AO151" s="2286"/>
      <c r="AP151" s="2286"/>
      <c r="AQ151" s="2287"/>
      <c r="AR151" s="1203"/>
      <c r="AS151" s="1203"/>
      <c r="AT151" s="1203"/>
      <c r="AU151" s="1203"/>
      <c r="AV151" s="1203"/>
      <c r="AW151" s="1203"/>
      <c r="AX151" s="1203"/>
      <c r="AY151" s="1203"/>
      <c r="AZ151" s="1203"/>
      <c r="BA151" s="1203"/>
      <c r="BB151" s="1203"/>
      <c r="BC151" s="1203"/>
      <c r="BD151" s="1203"/>
      <c r="BE151" s="1210"/>
    </row>
    <row r="152" spans="1:57" ht="15.75" customHeight="1">
      <c r="A152" s="1203"/>
      <c r="B152" s="2415"/>
      <c r="C152" s="2416"/>
      <c r="D152" s="2416"/>
      <c r="E152" s="2416"/>
      <c r="F152" s="2416"/>
      <c r="G152" s="2416"/>
      <c r="H152" s="2416"/>
      <c r="I152" s="2417" t="s">
        <v>2283</v>
      </c>
      <c r="J152" s="2417"/>
      <c r="K152" s="2417"/>
      <c r="L152" s="2417"/>
      <c r="M152" s="2417"/>
      <c r="N152" s="2417"/>
      <c r="O152" s="2417"/>
      <c r="P152" s="2417" t="s">
        <v>2284</v>
      </c>
      <c r="Q152" s="2417"/>
      <c r="R152" s="2417"/>
      <c r="S152" s="2417"/>
      <c r="T152" s="2417"/>
      <c r="U152" s="2418"/>
      <c r="V152" s="1203"/>
      <c r="W152" s="1203"/>
      <c r="X152" s="2415"/>
      <c r="Y152" s="2416"/>
      <c r="Z152" s="2416"/>
      <c r="AA152" s="2416"/>
      <c r="AB152" s="2416"/>
      <c r="AC152" s="2416"/>
      <c r="AD152" s="2416"/>
      <c r="AE152" s="2417" t="s">
        <v>2283</v>
      </c>
      <c r="AF152" s="2417"/>
      <c r="AG152" s="2417"/>
      <c r="AH152" s="2417"/>
      <c r="AI152" s="2417"/>
      <c r="AJ152" s="2417"/>
      <c r="AK152" s="2417"/>
      <c r="AL152" s="2417" t="s">
        <v>2282</v>
      </c>
      <c r="AM152" s="2417"/>
      <c r="AN152" s="2417"/>
      <c r="AO152" s="2417"/>
      <c r="AP152" s="2417"/>
      <c r="AQ152" s="2418"/>
      <c r="AR152" s="1203"/>
      <c r="AS152" s="1203"/>
      <c r="AT152" s="1203"/>
      <c r="AU152" s="1203"/>
      <c r="AV152" s="1203"/>
      <c r="AW152" s="1203"/>
      <c r="AX152" s="1203"/>
      <c r="AY152" s="1203"/>
      <c r="AZ152" s="1203"/>
      <c r="BA152" s="1203"/>
      <c r="BB152" s="1203"/>
      <c r="BC152" s="1203"/>
      <c r="BD152" s="1203"/>
      <c r="BE152" s="1210"/>
    </row>
    <row r="153" spans="1:57" ht="15.75" customHeight="1">
      <c r="A153" s="1203"/>
      <c r="B153" s="2415"/>
      <c r="C153" s="2416"/>
      <c r="D153" s="2416"/>
      <c r="E153" s="2416"/>
      <c r="F153" s="2416"/>
      <c r="G153" s="2416"/>
      <c r="H153" s="2416"/>
      <c r="I153" s="2417"/>
      <c r="J153" s="2417"/>
      <c r="K153" s="2417"/>
      <c r="L153" s="2417"/>
      <c r="M153" s="2417"/>
      <c r="N153" s="2417"/>
      <c r="O153" s="2417"/>
      <c r="P153" s="2417"/>
      <c r="Q153" s="2417"/>
      <c r="R153" s="2417"/>
      <c r="S153" s="2417"/>
      <c r="T153" s="2417"/>
      <c r="U153" s="2418"/>
      <c r="V153" s="1203"/>
      <c r="W153" s="1203"/>
      <c r="X153" s="2415"/>
      <c r="Y153" s="2416"/>
      <c r="Z153" s="2416"/>
      <c r="AA153" s="2416"/>
      <c r="AB153" s="2416"/>
      <c r="AC153" s="2416"/>
      <c r="AD153" s="2416"/>
      <c r="AE153" s="2417"/>
      <c r="AF153" s="2417"/>
      <c r="AG153" s="2417"/>
      <c r="AH153" s="2417"/>
      <c r="AI153" s="2417"/>
      <c r="AJ153" s="2417"/>
      <c r="AK153" s="2417"/>
      <c r="AL153" s="2417"/>
      <c r="AM153" s="2417"/>
      <c r="AN153" s="2417"/>
      <c r="AO153" s="2417"/>
      <c r="AP153" s="2417"/>
      <c r="AQ153" s="2418"/>
      <c r="AR153" s="1203"/>
      <c r="AS153" s="1203"/>
      <c r="AT153" s="1203"/>
      <c r="AU153" s="1203"/>
      <c r="AV153" s="1203"/>
      <c r="AW153" s="1203"/>
      <c r="AX153" s="1203"/>
      <c r="AY153" s="1203"/>
      <c r="AZ153" s="1203"/>
      <c r="BA153" s="1203"/>
      <c r="BB153" s="1203"/>
      <c r="BC153" s="1203"/>
      <c r="BD153" s="1203"/>
      <c r="BE153" s="1210"/>
    </row>
    <row r="154" spans="1:57" ht="15.75" customHeight="1" thickBot="1">
      <c r="A154" s="1203"/>
      <c r="B154" s="2389" t="s">
        <v>2281</v>
      </c>
      <c r="C154" s="2390"/>
      <c r="D154" s="2390"/>
      <c r="E154" s="2390"/>
      <c r="F154" s="2390"/>
      <c r="G154" s="2390"/>
      <c r="H154" s="2390"/>
      <c r="I154" s="2366">
        <v>4</v>
      </c>
      <c r="J154" s="2366"/>
      <c r="K154" s="2366"/>
      <c r="L154" s="2366"/>
      <c r="M154" s="2366"/>
      <c r="N154" s="2366"/>
      <c r="O154" s="2366"/>
      <c r="P154" s="2366">
        <v>13</v>
      </c>
      <c r="Q154" s="2366"/>
      <c r="R154" s="2366"/>
      <c r="S154" s="2366"/>
      <c r="T154" s="2366"/>
      <c r="U154" s="2367"/>
      <c r="V154" s="1203"/>
      <c r="W154" s="1203"/>
      <c r="X154" s="2391" t="s">
        <v>2281</v>
      </c>
      <c r="Y154" s="2392"/>
      <c r="Z154" s="2392"/>
      <c r="AA154" s="2392"/>
      <c r="AB154" s="2392"/>
      <c r="AC154" s="2392"/>
      <c r="AD154" s="2392"/>
      <c r="AE154" s="2364">
        <v>9</v>
      </c>
      <c r="AF154" s="2364"/>
      <c r="AG154" s="2364"/>
      <c r="AH154" s="2364"/>
      <c r="AI154" s="2364"/>
      <c r="AJ154" s="2364"/>
      <c r="AK154" s="2364"/>
      <c r="AL154" s="2364">
        <v>39</v>
      </c>
      <c r="AM154" s="2364"/>
      <c r="AN154" s="2364"/>
      <c r="AO154" s="2364"/>
      <c r="AP154" s="2364"/>
      <c r="AQ154" s="2365"/>
      <c r="AR154" s="1203"/>
      <c r="AS154" s="1203"/>
      <c r="AT154" s="1203"/>
      <c r="AU154" s="1203"/>
      <c r="AV154" s="1203"/>
      <c r="AW154" s="1203"/>
      <c r="AX154" s="1203"/>
      <c r="AY154" s="1203"/>
      <c r="AZ154" s="1203"/>
      <c r="BA154" s="1203"/>
      <c r="BB154" s="1203"/>
      <c r="BC154" s="1203"/>
      <c r="BD154" s="1203"/>
      <c r="BE154" s="1210"/>
    </row>
    <row r="155" spans="1:57" ht="15.75" customHeight="1" thickBot="1">
      <c r="A155" s="1203"/>
      <c r="B155" s="2391" t="s">
        <v>2280</v>
      </c>
      <c r="C155" s="2392"/>
      <c r="D155" s="2392"/>
      <c r="E155" s="2392"/>
      <c r="F155" s="2392"/>
      <c r="G155" s="2392"/>
      <c r="H155" s="2392"/>
      <c r="I155" s="2364">
        <v>6</v>
      </c>
      <c r="J155" s="2364"/>
      <c r="K155" s="2364"/>
      <c r="L155" s="2364"/>
      <c r="M155" s="2364"/>
      <c r="N155" s="2364"/>
      <c r="O155" s="2364"/>
      <c r="P155" s="2364">
        <v>15</v>
      </c>
      <c r="Q155" s="2364"/>
      <c r="R155" s="2364"/>
      <c r="S155" s="2364"/>
      <c r="T155" s="2364"/>
      <c r="U155" s="2365"/>
      <c r="V155" s="1203"/>
      <c r="W155" s="1203"/>
      <c r="X155" s="1203"/>
      <c r="Y155" s="1203"/>
      <c r="Z155" s="1203"/>
      <c r="AA155" s="1203"/>
      <c r="AB155" s="1203"/>
      <c r="AC155" s="1203"/>
      <c r="AD155" s="1203"/>
      <c r="AE155" s="1203"/>
      <c r="AF155" s="1203"/>
      <c r="AG155" s="1203"/>
      <c r="AH155" s="1203"/>
      <c r="AI155" s="1203"/>
      <c r="AJ155" s="1203"/>
      <c r="AK155" s="1203"/>
      <c r="AL155" s="1203"/>
      <c r="AM155" s="1203"/>
      <c r="AN155" s="1203"/>
      <c r="AO155" s="1203"/>
      <c r="AP155" s="1203"/>
      <c r="AQ155" s="1203"/>
      <c r="AR155" s="1203"/>
      <c r="AS155" s="1203"/>
      <c r="AT155" s="1203"/>
      <c r="AU155" s="1203"/>
      <c r="AV155" s="1203"/>
      <c r="AW155" s="1203"/>
      <c r="AX155" s="1203"/>
      <c r="AY155" s="1203"/>
      <c r="AZ155" s="1203"/>
      <c r="BA155" s="1203"/>
      <c r="BB155" s="1203"/>
      <c r="BC155" s="1203"/>
      <c r="BD155" s="1203"/>
      <c r="BE155" s="1210"/>
    </row>
    <row r="156" spans="1:57" ht="15.75" customHeight="1" thickBot="1">
      <c r="A156" s="1203"/>
      <c r="B156" s="1203"/>
      <c r="C156" s="1203"/>
      <c r="D156" s="1203"/>
      <c r="E156" s="1203"/>
      <c r="F156" s="1203"/>
      <c r="G156" s="1203"/>
      <c r="H156" s="1203"/>
      <c r="I156" s="1203"/>
      <c r="J156" s="1203"/>
      <c r="K156" s="1203"/>
      <c r="L156" s="1203"/>
      <c r="M156" s="1203"/>
      <c r="N156" s="1203"/>
      <c r="O156" s="1203"/>
      <c r="P156" s="1203"/>
      <c r="Q156" s="1203"/>
      <c r="R156" s="1203"/>
      <c r="S156" s="1203"/>
      <c r="T156" s="1203"/>
      <c r="U156" s="1203"/>
      <c r="V156" s="1203"/>
      <c r="W156" s="1203"/>
      <c r="X156" s="1203"/>
      <c r="Y156" s="1203"/>
      <c r="Z156" s="1203"/>
      <c r="AA156" s="1203"/>
      <c r="AB156" s="1203"/>
      <c r="AC156" s="1203"/>
      <c r="AD156" s="1203"/>
      <c r="AE156" s="1203"/>
      <c r="AF156" s="1203"/>
      <c r="AG156" s="1203"/>
      <c r="AH156" s="1203"/>
      <c r="AI156" s="1203"/>
      <c r="AJ156" s="1203"/>
      <c r="AK156" s="1203"/>
      <c r="AL156" s="1203"/>
      <c r="AM156" s="1203"/>
      <c r="AN156" s="1203"/>
      <c r="AO156" s="1203"/>
      <c r="AP156" s="1203"/>
      <c r="AQ156" s="1203"/>
      <c r="AR156" s="1203"/>
      <c r="AS156" s="1203"/>
      <c r="AT156" s="1203"/>
      <c r="AU156" s="1203"/>
      <c r="AV156" s="1203"/>
      <c r="AW156" s="1203"/>
      <c r="AX156" s="1203"/>
      <c r="AY156" s="1203"/>
      <c r="AZ156" s="1203"/>
      <c r="BA156" s="1203"/>
      <c r="BB156" s="1203"/>
      <c r="BC156" s="1203"/>
      <c r="BD156" s="1203"/>
      <c r="BE156" s="1210"/>
    </row>
    <row r="157" spans="1:57" ht="15.75" customHeight="1">
      <c r="A157" s="1203"/>
      <c r="B157" s="1203"/>
      <c r="C157" s="2285" t="s">
        <v>2279</v>
      </c>
      <c r="D157" s="2286"/>
      <c r="E157" s="2286"/>
      <c r="F157" s="2286"/>
      <c r="G157" s="2286"/>
      <c r="H157" s="2286"/>
      <c r="I157" s="2286"/>
      <c r="J157" s="2286"/>
      <c r="K157" s="2286"/>
      <c r="L157" s="2286"/>
      <c r="M157" s="2286"/>
      <c r="N157" s="2286"/>
      <c r="O157" s="2286"/>
      <c r="P157" s="2286"/>
      <c r="Q157" s="2286"/>
      <c r="R157" s="2286"/>
      <c r="S157" s="2286"/>
      <c r="T157" s="2286"/>
      <c r="U157" s="2286"/>
      <c r="V157" s="2286"/>
      <c r="W157" s="2286"/>
      <c r="X157" s="2286"/>
      <c r="Y157" s="2286"/>
      <c r="Z157" s="2286"/>
      <c r="AA157" s="2286"/>
      <c r="AB157" s="2286"/>
      <c r="AC157" s="2286"/>
      <c r="AD157" s="2286"/>
      <c r="AE157" s="2286"/>
      <c r="AF157" s="2286"/>
      <c r="AG157" s="2287"/>
      <c r="AH157" s="1203"/>
      <c r="AI157" s="1203"/>
      <c r="AJ157" s="1203"/>
      <c r="AK157" s="1203"/>
      <c r="AL157" s="1203"/>
      <c r="AM157" s="1203"/>
      <c r="AN157" s="1203"/>
      <c r="AO157" s="1203"/>
      <c r="AP157" s="1203"/>
      <c r="AQ157" s="1203"/>
      <c r="AR157" s="1203"/>
      <c r="AS157" s="1203"/>
      <c r="AT157" s="1203"/>
      <c r="AU157" s="1203"/>
      <c r="AV157" s="1203"/>
      <c r="AW157" s="1203"/>
      <c r="AX157" s="1203"/>
      <c r="AY157" s="1203"/>
      <c r="AZ157" s="1203"/>
      <c r="BA157" s="1203"/>
      <c r="BB157" s="1203"/>
      <c r="BC157" s="1203"/>
      <c r="BD157" s="1203"/>
      <c r="BE157" s="1210"/>
    </row>
    <row r="158" spans="1:57" ht="15.75" customHeight="1">
      <c r="A158" s="1203"/>
      <c r="B158" s="1203"/>
      <c r="C158" s="2415" t="s">
        <v>2264</v>
      </c>
      <c r="D158" s="2416"/>
      <c r="E158" s="2416"/>
      <c r="F158" s="2416"/>
      <c r="G158" s="2416"/>
      <c r="H158" s="2416"/>
      <c r="I158" s="2416"/>
      <c r="J158" s="2416"/>
      <c r="K158" s="2416"/>
      <c r="L158" s="2416"/>
      <c r="M158" s="2416"/>
      <c r="N158" s="2416"/>
      <c r="O158" s="2416"/>
      <c r="P158" s="2416"/>
      <c r="Q158" s="2416" t="s">
        <v>2278</v>
      </c>
      <c r="R158" s="2416"/>
      <c r="S158" s="2416"/>
      <c r="T158" s="2362" t="s">
        <v>2277</v>
      </c>
      <c r="U158" s="2362"/>
      <c r="V158" s="2362"/>
      <c r="W158" s="2362"/>
      <c r="X158" s="2362"/>
      <c r="Y158" s="2362"/>
      <c r="Z158" s="2362"/>
      <c r="AA158" s="2362"/>
      <c r="AB158" s="2416" t="s">
        <v>2276</v>
      </c>
      <c r="AC158" s="2416"/>
      <c r="AD158" s="2416"/>
      <c r="AE158" s="2416"/>
      <c r="AF158" s="2416"/>
      <c r="AG158" s="2426"/>
      <c r="AH158" s="1203"/>
      <c r="AI158" s="1203"/>
      <c r="AJ158" s="1203"/>
      <c r="AK158" s="1203"/>
      <c r="AL158" s="1203"/>
      <c r="AM158" s="1203"/>
      <c r="AN158" s="1203"/>
      <c r="AO158" s="1203"/>
      <c r="AP158" s="1203"/>
      <c r="AQ158" s="1203"/>
      <c r="AR158" s="1203"/>
      <c r="AS158" s="1203"/>
      <c r="AT158" s="1203"/>
      <c r="AU158" s="1203"/>
      <c r="AV158" s="1203"/>
      <c r="AW158" s="1203"/>
      <c r="AX158" s="1203"/>
      <c r="AY158" s="1203"/>
      <c r="AZ158" s="1203"/>
      <c r="BA158" s="1203"/>
      <c r="BB158" s="1203"/>
      <c r="BC158" s="1203"/>
      <c r="BD158" s="1203"/>
      <c r="BE158" s="1210"/>
    </row>
    <row r="159" spans="1:57" ht="15.75" customHeight="1">
      <c r="A159" s="1203"/>
      <c r="B159" s="1203"/>
      <c r="C159" s="2421" t="s">
        <v>2275</v>
      </c>
      <c r="D159" s="2422"/>
      <c r="E159" s="2422"/>
      <c r="F159" s="2422"/>
      <c r="G159" s="2422"/>
      <c r="H159" s="2422"/>
      <c r="I159" s="2422"/>
      <c r="J159" s="2422"/>
      <c r="K159" s="2422"/>
      <c r="L159" s="2422"/>
      <c r="M159" s="2422"/>
      <c r="N159" s="2422"/>
      <c r="O159" s="2422"/>
      <c r="P159" s="2422"/>
      <c r="Q159" s="2423">
        <v>55</v>
      </c>
      <c r="R159" s="2423"/>
      <c r="S159" s="2423"/>
      <c r="T159" s="2424"/>
      <c r="U159" s="2424"/>
      <c r="V159" s="2424"/>
      <c r="W159" s="2424"/>
      <c r="X159" s="2424"/>
      <c r="Y159" s="2424"/>
      <c r="Z159" s="2424"/>
      <c r="AA159" s="2424"/>
      <c r="AB159" s="1241"/>
      <c r="AC159" s="1241"/>
      <c r="AD159" s="1241"/>
      <c r="AE159" s="1241"/>
      <c r="AF159" s="1241"/>
      <c r="AG159" s="1242"/>
      <c r="AH159" s="1203"/>
      <c r="AI159" s="1203"/>
      <c r="AJ159" s="1203"/>
      <c r="AK159" s="1203"/>
      <c r="AL159" s="1203"/>
      <c r="AM159" s="1203"/>
      <c r="AN159" s="1203"/>
      <c r="AO159" s="1203"/>
      <c r="AP159" s="1203" t="s">
        <v>249</v>
      </c>
      <c r="AQ159" s="1203"/>
      <c r="AR159" s="1203"/>
      <c r="AS159" s="1203"/>
      <c r="AT159" s="1203"/>
      <c r="AU159" s="1203"/>
      <c r="AV159" s="1203"/>
      <c r="AW159" s="1203"/>
      <c r="AX159" s="1203"/>
      <c r="AY159" s="1203"/>
      <c r="AZ159" s="1203"/>
      <c r="BA159" s="1203"/>
      <c r="BB159" s="1203"/>
      <c r="BC159" s="1203"/>
      <c r="BD159" s="1203"/>
      <c r="BE159" s="1210"/>
    </row>
    <row r="160" spans="1:57" ht="15.75" customHeight="1">
      <c r="A160" s="1203"/>
      <c r="B160" s="1203"/>
      <c r="C160" s="2421" t="s">
        <v>2274</v>
      </c>
      <c r="D160" s="2422"/>
      <c r="E160" s="2422"/>
      <c r="F160" s="2422"/>
      <c r="G160" s="2422"/>
      <c r="H160" s="2422"/>
      <c r="I160" s="2422"/>
      <c r="J160" s="2422"/>
      <c r="K160" s="2422"/>
      <c r="L160" s="2422"/>
      <c r="M160" s="2422"/>
      <c r="N160" s="2422"/>
      <c r="O160" s="2422"/>
      <c r="P160" s="2422"/>
      <c r="Q160" s="2423">
        <v>55</v>
      </c>
      <c r="R160" s="2423"/>
      <c r="S160" s="2423"/>
      <c r="T160" s="2425" t="s">
        <v>2770</v>
      </c>
      <c r="U160" s="2425"/>
      <c r="V160" s="2425"/>
      <c r="W160" s="2425"/>
      <c r="X160" s="2425"/>
      <c r="Y160" s="2425"/>
      <c r="Z160" s="2425"/>
      <c r="AA160" s="2425"/>
      <c r="AB160" s="1241"/>
      <c r="AC160" s="1241"/>
      <c r="AD160" s="1241"/>
      <c r="AE160" s="1241"/>
      <c r="AF160" s="1241"/>
      <c r="AG160" s="1242"/>
      <c r="AH160" s="1203"/>
      <c r="AI160" s="1203"/>
      <c r="AJ160" s="1203"/>
      <c r="AK160" s="1203"/>
      <c r="AL160" s="1203"/>
      <c r="AM160" s="1203"/>
      <c r="AN160" s="1203"/>
      <c r="AO160" s="1203"/>
      <c r="AP160" s="1203"/>
      <c r="AQ160" s="1203"/>
      <c r="AR160" s="1203"/>
      <c r="AS160" s="1203"/>
      <c r="AT160" s="1203"/>
      <c r="AU160" s="1203"/>
      <c r="AV160" s="1203"/>
      <c r="AW160" s="1203"/>
      <c r="AX160" s="1203"/>
      <c r="AY160" s="1203"/>
      <c r="AZ160" s="1203"/>
      <c r="BA160" s="1203"/>
      <c r="BB160" s="1203"/>
      <c r="BC160" s="1203"/>
      <c r="BD160" s="1203"/>
      <c r="BE160" s="1210"/>
    </row>
    <row r="161" spans="1:57" ht="15.75" customHeight="1">
      <c r="A161" s="1203"/>
      <c r="B161" s="1203"/>
      <c r="C161" s="2421" t="s">
        <v>2273</v>
      </c>
      <c r="D161" s="2422"/>
      <c r="E161" s="2422"/>
      <c r="F161" s="2422"/>
      <c r="G161" s="2422"/>
      <c r="H161" s="2422"/>
      <c r="I161" s="2422"/>
      <c r="J161" s="2422"/>
      <c r="K161" s="2422"/>
      <c r="L161" s="2422"/>
      <c r="M161" s="2422"/>
      <c r="N161" s="2422"/>
      <c r="O161" s="2422"/>
      <c r="P161" s="2422"/>
      <c r="Q161" s="2423">
        <v>55</v>
      </c>
      <c r="R161" s="2423"/>
      <c r="S161" s="2423"/>
      <c r="T161" s="2424" t="s">
        <v>2770</v>
      </c>
      <c r="U161" s="2424"/>
      <c r="V161" s="2424"/>
      <c r="W161" s="2424"/>
      <c r="X161" s="2424"/>
      <c r="Y161" s="2424"/>
      <c r="Z161" s="2424"/>
      <c r="AA161" s="2424"/>
      <c r="AB161" s="1241"/>
      <c r="AC161" s="1241"/>
      <c r="AD161" s="1241"/>
      <c r="AE161" s="1241"/>
      <c r="AF161" s="1241"/>
      <c r="AG161" s="1242"/>
      <c r="AH161" s="1203"/>
      <c r="AI161" s="1203"/>
      <c r="AJ161" s="1203"/>
      <c r="AK161" s="1203"/>
      <c r="AL161" s="1203"/>
      <c r="AM161" s="1203"/>
      <c r="AN161" s="1203"/>
      <c r="AO161" s="1203"/>
      <c r="AP161" s="1203"/>
      <c r="AQ161" s="1203"/>
      <c r="AR161" s="1203"/>
      <c r="AS161" s="1203"/>
      <c r="AT161" s="1203"/>
      <c r="AU161" s="1203"/>
      <c r="AV161" s="1203"/>
      <c r="AW161" s="1203"/>
      <c r="AX161" s="1203"/>
      <c r="AY161" s="1203"/>
      <c r="AZ161" s="1203"/>
      <c r="BA161" s="1203"/>
      <c r="BB161" s="1203"/>
      <c r="BC161" s="1203"/>
      <c r="BD161" s="1203"/>
      <c r="BE161" s="1210"/>
    </row>
    <row r="162" spans="1:57" ht="15.75" customHeight="1">
      <c r="A162" s="1203"/>
      <c r="B162" s="1203"/>
      <c r="C162" s="2421" t="s">
        <v>2272</v>
      </c>
      <c r="D162" s="2422"/>
      <c r="E162" s="2422"/>
      <c r="F162" s="2422"/>
      <c r="G162" s="2422"/>
      <c r="H162" s="2422"/>
      <c r="I162" s="2422"/>
      <c r="J162" s="2422"/>
      <c r="K162" s="2422"/>
      <c r="L162" s="2422"/>
      <c r="M162" s="2422"/>
      <c r="N162" s="2422"/>
      <c r="O162" s="2422"/>
      <c r="P162" s="2422"/>
      <c r="Q162" s="2423">
        <v>55</v>
      </c>
      <c r="R162" s="2423"/>
      <c r="S162" s="2423"/>
      <c r="T162" s="2424"/>
      <c r="U162" s="2424"/>
      <c r="V162" s="2424"/>
      <c r="W162" s="2424"/>
      <c r="X162" s="2424"/>
      <c r="Y162" s="2424"/>
      <c r="Z162" s="2424"/>
      <c r="AA162" s="2424"/>
      <c r="AB162" s="2427">
        <v>0</v>
      </c>
      <c r="AC162" s="2427"/>
      <c r="AD162" s="2427"/>
      <c r="AE162" s="2427"/>
      <c r="AF162" s="2427"/>
      <c r="AG162" s="2428"/>
      <c r="AH162" s="1203"/>
      <c r="AI162" s="1203"/>
      <c r="AJ162" s="1203"/>
      <c r="AK162" s="1203"/>
      <c r="AL162" s="1203"/>
      <c r="AM162" s="1203"/>
      <c r="AN162" s="1203"/>
      <c r="AO162" s="1203"/>
      <c r="AP162" s="1203"/>
      <c r="AQ162" s="1203"/>
      <c r="AR162" s="1203"/>
      <c r="AS162" s="1203"/>
      <c r="AT162" s="1203"/>
      <c r="AU162" s="1203"/>
      <c r="AV162" s="1203"/>
      <c r="AW162" s="1203"/>
      <c r="AX162" s="1203"/>
      <c r="AY162" s="1203"/>
      <c r="AZ162" s="1203"/>
      <c r="BA162" s="1203"/>
      <c r="BB162" s="1203"/>
      <c r="BC162" s="1203"/>
      <c r="BD162" s="1203"/>
      <c r="BE162" s="1210"/>
    </row>
    <row r="163" spans="1:57" ht="15.75" customHeight="1">
      <c r="A163" s="1203"/>
      <c r="B163" s="1203"/>
      <c r="C163" s="2421" t="s">
        <v>169</v>
      </c>
      <c r="D163" s="2422"/>
      <c r="E163" s="2422"/>
      <c r="F163" s="2429" t="s">
        <v>2253</v>
      </c>
      <c r="G163" s="2429"/>
      <c r="H163" s="2429"/>
      <c r="I163" s="2429"/>
      <c r="J163" s="2429"/>
      <c r="K163" s="2429"/>
      <c r="L163" s="2429"/>
      <c r="M163" s="2429"/>
      <c r="N163" s="2429"/>
      <c r="O163" s="2429"/>
      <c r="P163" s="2429"/>
      <c r="Q163" s="2423">
        <v>55</v>
      </c>
      <c r="R163" s="2423"/>
      <c r="S163" s="2423"/>
      <c r="T163" s="2425"/>
      <c r="U163" s="2425"/>
      <c r="V163" s="2425"/>
      <c r="W163" s="2425"/>
      <c r="X163" s="2425"/>
      <c r="Y163" s="2425"/>
      <c r="Z163" s="2425"/>
      <c r="AA163" s="2425"/>
      <c r="AB163" s="2427">
        <v>0</v>
      </c>
      <c r="AC163" s="2427"/>
      <c r="AD163" s="2427"/>
      <c r="AE163" s="2427"/>
      <c r="AF163" s="2427"/>
      <c r="AG163" s="2428"/>
      <c r="AH163" s="1203"/>
      <c r="AI163" s="1203"/>
      <c r="AJ163" s="1203"/>
      <c r="AK163" s="1203"/>
      <c r="AL163" s="1203"/>
      <c r="AM163" s="1203"/>
      <c r="AN163" s="1203"/>
      <c r="AO163" s="1203"/>
      <c r="AP163" s="1203"/>
      <c r="AQ163" s="1203"/>
      <c r="AR163" s="1203"/>
      <c r="AS163" s="1203"/>
      <c r="AT163" s="1203"/>
      <c r="AU163" s="1203"/>
      <c r="AV163" s="1203"/>
      <c r="AW163" s="1203"/>
      <c r="AX163" s="1203"/>
      <c r="AY163" s="1203"/>
      <c r="AZ163" s="1203"/>
      <c r="BA163" s="1203"/>
      <c r="BB163" s="1203"/>
      <c r="BC163" s="1203"/>
      <c r="BD163" s="1203"/>
      <c r="BE163" s="1210"/>
    </row>
    <row r="164" spans="1:57" ht="15.75" customHeight="1">
      <c r="A164" s="1203"/>
      <c r="B164" s="1203"/>
      <c r="C164" s="2421" t="s">
        <v>169</v>
      </c>
      <c r="D164" s="2422"/>
      <c r="E164" s="2422"/>
      <c r="F164" s="2429" t="s">
        <v>2253</v>
      </c>
      <c r="G164" s="2429"/>
      <c r="H164" s="2429"/>
      <c r="I164" s="2429"/>
      <c r="J164" s="2429"/>
      <c r="K164" s="2429"/>
      <c r="L164" s="2429"/>
      <c r="M164" s="2429"/>
      <c r="N164" s="2429"/>
      <c r="O164" s="2429"/>
      <c r="P164" s="2429"/>
      <c r="Q164" s="2423">
        <v>55</v>
      </c>
      <c r="R164" s="2423"/>
      <c r="S164" s="2423"/>
      <c r="T164" s="2425"/>
      <c r="U164" s="2425"/>
      <c r="V164" s="2425"/>
      <c r="W164" s="2425"/>
      <c r="X164" s="2425"/>
      <c r="Y164" s="2425"/>
      <c r="Z164" s="2425"/>
      <c r="AA164" s="2425"/>
      <c r="AB164" s="2427">
        <v>0</v>
      </c>
      <c r="AC164" s="2427"/>
      <c r="AD164" s="2427"/>
      <c r="AE164" s="2427"/>
      <c r="AF164" s="2427"/>
      <c r="AG164" s="2428"/>
      <c r="AH164" s="1203"/>
      <c r="AI164" s="1203"/>
      <c r="AJ164" s="1203"/>
      <c r="AK164" s="1203" t="s">
        <v>249</v>
      </c>
      <c r="AL164" s="1203"/>
      <c r="AM164" s="1203"/>
      <c r="AN164" s="1203"/>
      <c r="AO164" s="1203"/>
      <c r="AP164" s="1203"/>
      <c r="AQ164" s="1203"/>
      <c r="AR164" s="1203"/>
      <c r="AS164" s="1203"/>
      <c r="AT164" s="1203"/>
      <c r="AU164" s="1203"/>
      <c r="AV164" s="1203"/>
      <c r="AW164" s="1203"/>
      <c r="AX164" s="1203"/>
      <c r="AY164" s="1203"/>
      <c r="AZ164" s="1203"/>
      <c r="BA164" s="1203"/>
      <c r="BB164" s="1203"/>
      <c r="BC164" s="1203"/>
      <c r="BD164" s="1203"/>
      <c r="BE164" s="1210"/>
    </row>
    <row r="165" spans="1:57" ht="15.75" customHeight="1" thickBot="1">
      <c r="A165" s="1203"/>
      <c r="B165" s="1203"/>
      <c r="C165" s="2430" t="s">
        <v>169</v>
      </c>
      <c r="D165" s="2431"/>
      <c r="E165" s="2431"/>
      <c r="F165" s="2432" t="s">
        <v>2253</v>
      </c>
      <c r="G165" s="2432"/>
      <c r="H165" s="2432"/>
      <c r="I165" s="2432"/>
      <c r="J165" s="2432"/>
      <c r="K165" s="2432"/>
      <c r="L165" s="2432"/>
      <c r="M165" s="2432"/>
      <c r="N165" s="2432"/>
      <c r="O165" s="2432"/>
      <c r="P165" s="2432"/>
      <c r="Q165" s="2433">
        <v>55</v>
      </c>
      <c r="R165" s="2433"/>
      <c r="S165" s="2433"/>
      <c r="T165" s="2434"/>
      <c r="U165" s="2434"/>
      <c r="V165" s="2434"/>
      <c r="W165" s="2434"/>
      <c r="X165" s="2434"/>
      <c r="Y165" s="2434"/>
      <c r="Z165" s="2434"/>
      <c r="AA165" s="2434"/>
      <c r="AB165" s="2435">
        <v>0</v>
      </c>
      <c r="AC165" s="2435"/>
      <c r="AD165" s="2435"/>
      <c r="AE165" s="2435"/>
      <c r="AF165" s="2435"/>
      <c r="AG165" s="2436"/>
      <c r="AH165" s="1203"/>
      <c r="AI165" s="1203"/>
      <c r="AJ165" s="1203"/>
      <c r="AK165" s="1203"/>
      <c r="AL165" s="1203"/>
      <c r="AM165" s="1203"/>
      <c r="AN165" s="1203"/>
      <c r="AO165" s="1203"/>
      <c r="AP165" s="1203"/>
      <c r="AQ165" s="1203"/>
      <c r="AR165" s="1203"/>
      <c r="AS165" s="1203"/>
      <c r="AT165" s="1203"/>
      <c r="AU165" s="1203"/>
      <c r="AV165" s="1203"/>
      <c r="AW165" s="1203"/>
      <c r="AX165" s="1203"/>
      <c r="AY165" s="1203"/>
      <c r="AZ165" s="1203"/>
      <c r="BA165" s="1203"/>
      <c r="BB165" s="1203"/>
      <c r="BC165" s="1203"/>
      <c r="BD165" s="1203"/>
      <c r="BE165" s="1210"/>
    </row>
    <row r="166" spans="1:57" ht="15.75" customHeight="1" thickBot="1">
      <c r="A166" s="1203"/>
      <c r="B166" s="1203"/>
      <c r="C166" s="1203"/>
      <c r="D166" s="1203"/>
      <c r="E166" s="1203"/>
      <c r="F166" s="1203"/>
      <c r="G166" s="1203"/>
      <c r="H166" s="1203"/>
      <c r="I166" s="1203"/>
      <c r="J166" s="1203"/>
      <c r="K166" s="1203"/>
      <c r="L166" s="1203"/>
      <c r="M166" s="1203"/>
      <c r="N166" s="1203"/>
      <c r="O166" s="1203"/>
      <c r="P166" s="1203"/>
      <c r="Q166" s="1203"/>
      <c r="R166" s="1203"/>
      <c r="S166" s="1203"/>
      <c r="T166" s="1203"/>
      <c r="U166" s="1203"/>
      <c r="V166" s="1203"/>
      <c r="W166" s="1203"/>
      <c r="X166" s="1203"/>
      <c r="Y166" s="1203"/>
      <c r="Z166" s="1203"/>
      <c r="AA166" s="1203"/>
      <c r="AB166" s="1203"/>
      <c r="AC166" s="1203"/>
      <c r="AD166" s="1203"/>
      <c r="AE166" s="1203"/>
      <c r="AF166" s="1203"/>
      <c r="AG166" s="1203"/>
      <c r="AH166" s="1203"/>
      <c r="AI166" s="1203"/>
      <c r="AJ166" s="1203"/>
      <c r="AK166" s="1203"/>
      <c r="AL166" s="1203"/>
      <c r="AM166" s="1203"/>
      <c r="AN166" s="1203"/>
      <c r="AO166" s="1203"/>
      <c r="AP166" s="1203"/>
      <c r="AQ166" s="1203"/>
      <c r="AR166" s="1203"/>
      <c r="AS166" s="1203"/>
      <c r="AT166" s="1203"/>
      <c r="AU166" s="1203"/>
      <c r="AV166" s="1203"/>
      <c r="AW166" s="1203"/>
      <c r="AX166" s="1203"/>
      <c r="AY166" s="1203"/>
      <c r="AZ166" s="1203"/>
      <c r="BA166" s="1203"/>
      <c r="BB166" s="1203"/>
      <c r="BC166" s="1203"/>
      <c r="BD166" s="1203"/>
      <c r="BE166" s="1210"/>
    </row>
    <row r="167" spans="1:57" ht="15.75" customHeight="1">
      <c r="A167" s="1203"/>
      <c r="B167" s="1203"/>
      <c r="C167" s="2332" t="s">
        <v>2271</v>
      </c>
      <c r="D167" s="2333"/>
      <c r="E167" s="2333"/>
      <c r="F167" s="2333"/>
      <c r="G167" s="2333"/>
      <c r="H167" s="2333"/>
      <c r="I167" s="2333"/>
      <c r="J167" s="2333"/>
      <c r="K167" s="2333"/>
      <c r="L167" s="2333"/>
      <c r="M167" s="2333"/>
      <c r="N167" s="2372"/>
      <c r="O167" s="1203"/>
      <c r="P167" s="2437" t="s">
        <v>2270</v>
      </c>
      <c r="Q167" s="2438"/>
      <c r="R167" s="2438"/>
      <c r="S167" s="2438"/>
      <c r="T167" s="2438"/>
      <c r="U167" s="2438"/>
      <c r="V167" s="2438"/>
      <c r="W167" s="2438"/>
      <c r="X167" s="2438"/>
      <c r="Y167" s="2438"/>
      <c r="Z167" s="2438"/>
      <c r="AA167" s="2438"/>
      <c r="AB167" s="2438"/>
      <c r="AC167" s="2438"/>
      <c r="AD167" s="2438"/>
      <c r="AE167" s="2438"/>
      <c r="AF167" s="2438"/>
      <c r="AG167" s="2438"/>
      <c r="AH167" s="2438"/>
      <c r="AI167" s="2438"/>
      <c r="AJ167" s="2438"/>
      <c r="AK167" s="2438"/>
      <c r="AL167" s="2438"/>
      <c r="AM167" s="2438"/>
      <c r="AN167" s="2438"/>
      <c r="AO167" s="2439"/>
      <c r="AP167" s="1203"/>
      <c r="AQ167" s="1203"/>
      <c r="AR167" s="1203"/>
      <c r="AS167" s="1203"/>
      <c r="AT167" s="1203"/>
      <c r="AU167" s="1203"/>
      <c r="AV167" s="1203"/>
      <c r="AW167" s="1203"/>
      <c r="AX167" s="1203"/>
      <c r="AY167" s="1203"/>
      <c r="AZ167" s="1203"/>
      <c r="BA167" s="1203"/>
      <c r="BB167" s="1203"/>
      <c r="BC167" s="1203"/>
      <c r="BD167" s="1203"/>
      <c r="BE167" s="1210"/>
    </row>
    <row r="168" spans="1:57" ht="15.75" customHeight="1">
      <c r="A168" s="1203"/>
      <c r="B168" s="1203"/>
      <c r="C168" s="2415" t="s">
        <v>2269</v>
      </c>
      <c r="D168" s="2416"/>
      <c r="E168" s="2416"/>
      <c r="F168" s="2416"/>
      <c r="G168" s="2416"/>
      <c r="H168" s="2416"/>
      <c r="I168" s="2416" t="s">
        <v>2268</v>
      </c>
      <c r="J168" s="2416"/>
      <c r="K168" s="2416"/>
      <c r="L168" s="2416"/>
      <c r="M168" s="2416"/>
      <c r="N168" s="2426"/>
      <c r="O168" s="1203"/>
      <c r="P168" s="2336" t="s">
        <v>2267</v>
      </c>
      <c r="Q168" s="2337"/>
      <c r="R168" s="2337"/>
      <c r="S168" s="2337"/>
      <c r="T168" s="2337"/>
      <c r="U168" s="2337"/>
      <c r="V168" s="2337"/>
      <c r="W168" s="2337"/>
      <c r="X168" s="2337"/>
      <c r="Y168" s="2337"/>
      <c r="Z168" s="2337"/>
      <c r="AA168" s="2337"/>
      <c r="AB168" s="2337"/>
      <c r="AC168" s="2337"/>
      <c r="AD168" s="2337"/>
      <c r="AE168" s="2337"/>
      <c r="AF168" s="2337"/>
      <c r="AG168" s="2337"/>
      <c r="AH168" s="2337"/>
      <c r="AI168" s="2337"/>
      <c r="AJ168" s="2337"/>
      <c r="AK168" s="2337"/>
      <c r="AL168" s="2337"/>
      <c r="AM168" s="2337"/>
      <c r="AN168" s="2337"/>
      <c r="AO168" s="2338"/>
      <c r="AP168" s="1203"/>
      <c r="AQ168" s="1203"/>
      <c r="AR168" s="1203"/>
      <c r="AS168" s="1203"/>
      <c r="AT168" s="1203"/>
      <c r="AU168" s="1203"/>
      <c r="AV168" s="1203"/>
      <c r="AW168" s="1203"/>
      <c r="AX168" s="1203"/>
      <c r="AY168" s="1203"/>
      <c r="AZ168" s="1203"/>
      <c r="BA168" s="1203"/>
      <c r="BB168" s="1203"/>
      <c r="BC168" s="1203"/>
      <c r="BD168" s="1203"/>
      <c r="BE168" s="1210"/>
    </row>
    <row r="169" spans="1:57" ht="15.75" customHeight="1">
      <c r="A169" s="1203"/>
      <c r="B169" s="1203"/>
      <c r="C169" s="2342" t="s">
        <v>2771</v>
      </c>
      <c r="D169" s="2292"/>
      <c r="E169" s="2292"/>
      <c r="F169" s="2292"/>
      <c r="G169" s="2292"/>
      <c r="H169" s="2292"/>
      <c r="I169" s="2424" t="s">
        <v>2772</v>
      </c>
      <c r="J169" s="2424"/>
      <c r="K169" s="2424"/>
      <c r="L169" s="2424"/>
      <c r="M169" s="2424"/>
      <c r="N169" s="2440"/>
      <c r="O169" s="1203"/>
      <c r="P169" s="2336"/>
      <c r="Q169" s="2337"/>
      <c r="R169" s="2337"/>
      <c r="S169" s="2337"/>
      <c r="T169" s="2337"/>
      <c r="U169" s="2337"/>
      <c r="V169" s="2337"/>
      <c r="W169" s="2337"/>
      <c r="X169" s="2337"/>
      <c r="Y169" s="2337"/>
      <c r="Z169" s="2337"/>
      <c r="AA169" s="2337"/>
      <c r="AB169" s="2337"/>
      <c r="AC169" s="2337"/>
      <c r="AD169" s="2337"/>
      <c r="AE169" s="2337"/>
      <c r="AF169" s="2337"/>
      <c r="AG169" s="2337"/>
      <c r="AH169" s="2337"/>
      <c r="AI169" s="2337"/>
      <c r="AJ169" s="2337"/>
      <c r="AK169" s="2337"/>
      <c r="AL169" s="2337"/>
      <c r="AM169" s="2337"/>
      <c r="AN169" s="2337"/>
      <c r="AO169" s="2338"/>
      <c r="AP169" s="1203"/>
      <c r="AQ169" s="1203"/>
      <c r="AR169" s="1203"/>
      <c r="AS169" s="1203"/>
      <c r="AT169" s="1203"/>
      <c r="AU169" s="1203"/>
      <c r="AV169" s="1203"/>
      <c r="AW169" s="1203"/>
      <c r="AX169" s="1203"/>
      <c r="AY169" s="1203"/>
      <c r="AZ169" s="1203"/>
      <c r="BA169" s="1203"/>
      <c r="BB169" s="1203"/>
      <c r="BC169" s="1203"/>
      <c r="BD169" s="1203"/>
      <c r="BE169" s="1210"/>
    </row>
    <row r="170" spans="1:57" ht="15.75" customHeight="1">
      <c r="A170" s="1203"/>
      <c r="B170" s="1203"/>
      <c r="C170" s="2342"/>
      <c r="D170" s="2292"/>
      <c r="E170" s="2292"/>
      <c r="F170" s="2292"/>
      <c r="G170" s="2292"/>
      <c r="H170" s="2292"/>
      <c r="I170" s="2424"/>
      <c r="J170" s="2424"/>
      <c r="K170" s="2424"/>
      <c r="L170" s="2424"/>
      <c r="M170" s="2424"/>
      <c r="N170" s="2440"/>
      <c r="O170" s="1203"/>
      <c r="P170" s="2336"/>
      <c r="Q170" s="2337"/>
      <c r="R170" s="2337"/>
      <c r="S170" s="2337"/>
      <c r="T170" s="2337"/>
      <c r="U170" s="2337"/>
      <c r="V170" s="2337"/>
      <c r="W170" s="2337"/>
      <c r="X170" s="2337"/>
      <c r="Y170" s="2337"/>
      <c r="Z170" s="2337"/>
      <c r="AA170" s="2337"/>
      <c r="AB170" s="2337"/>
      <c r="AC170" s="2337"/>
      <c r="AD170" s="2337"/>
      <c r="AE170" s="2337"/>
      <c r="AF170" s="2337"/>
      <c r="AG170" s="2337"/>
      <c r="AH170" s="2337"/>
      <c r="AI170" s="2337"/>
      <c r="AJ170" s="2337"/>
      <c r="AK170" s="2337"/>
      <c r="AL170" s="2337"/>
      <c r="AM170" s="2337"/>
      <c r="AN170" s="2337"/>
      <c r="AO170" s="2338"/>
      <c r="AP170" s="1203"/>
      <c r="AQ170" s="1203"/>
      <c r="AR170" s="1203"/>
      <c r="AS170" s="1203"/>
      <c r="AT170" s="1203"/>
      <c r="AU170" s="1203"/>
      <c r="AV170" s="1203"/>
      <c r="AW170" s="1203"/>
      <c r="AX170" s="1203"/>
      <c r="AY170" s="1203"/>
      <c r="AZ170" s="1203"/>
      <c r="BA170" s="1203"/>
      <c r="BB170" s="1203"/>
      <c r="BC170" s="1203"/>
      <c r="BD170" s="1203"/>
      <c r="BE170" s="1210"/>
    </row>
    <row r="171" spans="1:57" ht="15.75" customHeight="1">
      <c r="A171" s="1203"/>
      <c r="B171" s="1203"/>
      <c r="C171" s="2342"/>
      <c r="D171" s="2292"/>
      <c r="E171" s="2292"/>
      <c r="F171" s="2292"/>
      <c r="G171" s="2292"/>
      <c r="H171" s="2292"/>
      <c r="I171" s="2424"/>
      <c r="J171" s="2424"/>
      <c r="K171" s="2424"/>
      <c r="L171" s="2424"/>
      <c r="M171" s="2424"/>
      <c r="N171" s="2440"/>
      <c r="O171" s="1203"/>
      <c r="P171" s="2336"/>
      <c r="Q171" s="2337"/>
      <c r="R171" s="2337"/>
      <c r="S171" s="2337"/>
      <c r="T171" s="2337"/>
      <c r="U171" s="2337"/>
      <c r="V171" s="2337"/>
      <c r="W171" s="2337"/>
      <c r="X171" s="2337"/>
      <c r="Y171" s="2337"/>
      <c r="Z171" s="2337"/>
      <c r="AA171" s="2337"/>
      <c r="AB171" s="2337"/>
      <c r="AC171" s="2337"/>
      <c r="AD171" s="2337"/>
      <c r="AE171" s="2337"/>
      <c r="AF171" s="2337"/>
      <c r="AG171" s="2337"/>
      <c r="AH171" s="2337"/>
      <c r="AI171" s="2337"/>
      <c r="AJ171" s="2337"/>
      <c r="AK171" s="2337"/>
      <c r="AL171" s="2337"/>
      <c r="AM171" s="2337"/>
      <c r="AN171" s="2337"/>
      <c r="AO171" s="2338"/>
      <c r="AP171" s="1203"/>
      <c r="AQ171" s="1203"/>
      <c r="AR171" s="1203"/>
      <c r="AS171" s="1203"/>
      <c r="AT171" s="1203"/>
      <c r="AU171" s="1203"/>
      <c r="AV171" s="1203"/>
      <c r="AW171" s="1203"/>
      <c r="AX171" s="1203"/>
      <c r="AY171" s="1203"/>
      <c r="AZ171" s="1203"/>
      <c r="BA171" s="1203"/>
      <c r="BB171" s="1203"/>
      <c r="BC171" s="1203"/>
      <c r="BD171" s="1203"/>
      <c r="BE171" s="1210"/>
    </row>
    <row r="172" spans="1:57" ht="15.75" customHeight="1">
      <c r="A172" s="1203"/>
      <c r="B172" s="1203"/>
      <c r="C172" s="2342"/>
      <c r="D172" s="2292"/>
      <c r="E172" s="2292"/>
      <c r="F172" s="2292"/>
      <c r="G172" s="2292"/>
      <c r="H172" s="2292"/>
      <c r="I172" s="2424"/>
      <c r="J172" s="2424"/>
      <c r="K172" s="2424"/>
      <c r="L172" s="2424"/>
      <c r="M172" s="2424"/>
      <c r="N172" s="2440"/>
      <c r="O172" s="1203"/>
      <c r="P172" s="2336"/>
      <c r="Q172" s="2337"/>
      <c r="R172" s="2337"/>
      <c r="S172" s="2337"/>
      <c r="T172" s="2337"/>
      <c r="U172" s="2337"/>
      <c r="V172" s="2337"/>
      <c r="W172" s="2337"/>
      <c r="X172" s="2337"/>
      <c r="Y172" s="2337"/>
      <c r="Z172" s="2337"/>
      <c r="AA172" s="2337"/>
      <c r="AB172" s="2337"/>
      <c r="AC172" s="2337"/>
      <c r="AD172" s="2337"/>
      <c r="AE172" s="2337"/>
      <c r="AF172" s="2337"/>
      <c r="AG172" s="2337"/>
      <c r="AH172" s="2337"/>
      <c r="AI172" s="2337"/>
      <c r="AJ172" s="2337"/>
      <c r="AK172" s="2337"/>
      <c r="AL172" s="2337"/>
      <c r="AM172" s="2337"/>
      <c r="AN172" s="2337"/>
      <c r="AO172" s="2338"/>
      <c r="AP172" s="1203"/>
      <c r="AQ172" s="1203"/>
      <c r="AR172" s="1203"/>
      <c r="AS172" s="1203"/>
      <c r="AT172" s="1203"/>
      <c r="AU172" s="1203"/>
      <c r="AV172" s="1203"/>
      <c r="AW172" s="1203"/>
      <c r="AX172" s="1203"/>
      <c r="AY172" s="1203"/>
      <c r="AZ172" s="1203"/>
      <c r="BA172" s="1203"/>
      <c r="BB172" s="1203"/>
      <c r="BC172" s="1203"/>
      <c r="BD172" s="1203"/>
      <c r="BE172" s="1210"/>
    </row>
    <row r="173" spans="1:57" ht="15.75" customHeight="1">
      <c r="A173" s="1203"/>
      <c r="B173" s="1203"/>
      <c r="C173" s="2342"/>
      <c r="D173" s="2292"/>
      <c r="E173" s="2292"/>
      <c r="F173" s="2292"/>
      <c r="G173" s="2292"/>
      <c r="H173" s="2292"/>
      <c r="I173" s="2424"/>
      <c r="J173" s="2424"/>
      <c r="K173" s="2424"/>
      <c r="L173" s="2424"/>
      <c r="M173" s="2424"/>
      <c r="N173" s="2440"/>
      <c r="O173" s="1203"/>
      <c r="P173" s="2336"/>
      <c r="Q173" s="2337"/>
      <c r="R173" s="2337"/>
      <c r="S173" s="2337"/>
      <c r="T173" s="2337"/>
      <c r="U173" s="2337"/>
      <c r="V173" s="2337"/>
      <c r="W173" s="2337"/>
      <c r="X173" s="2337"/>
      <c r="Y173" s="2337"/>
      <c r="Z173" s="2337"/>
      <c r="AA173" s="2337"/>
      <c r="AB173" s="2337"/>
      <c r="AC173" s="2337"/>
      <c r="AD173" s="2337"/>
      <c r="AE173" s="2337"/>
      <c r="AF173" s="2337"/>
      <c r="AG173" s="2337"/>
      <c r="AH173" s="2337"/>
      <c r="AI173" s="2337"/>
      <c r="AJ173" s="2337"/>
      <c r="AK173" s="2337"/>
      <c r="AL173" s="2337"/>
      <c r="AM173" s="2337"/>
      <c r="AN173" s="2337"/>
      <c r="AO173" s="2338"/>
      <c r="AP173" s="1203"/>
      <c r="AQ173" s="1203"/>
      <c r="AR173" s="1203"/>
      <c r="AS173" s="1203"/>
      <c r="AT173" s="1203"/>
      <c r="AU173" s="1203"/>
      <c r="AV173" s="1203"/>
      <c r="AW173" s="1203"/>
      <c r="AX173" s="1203"/>
      <c r="AY173" s="1203"/>
      <c r="AZ173" s="1203"/>
      <c r="BA173" s="1203"/>
      <c r="BB173" s="1203"/>
      <c r="BC173" s="1203"/>
      <c r="BD173" s="1203"/>
      <c r="BE173" s="1210"/>
    </row>
    <row r="174" spans="1:57" ht="15.75" customHeight="1">
      <c r="A174" s="1203"/>
      <c r="B174" s="1203"/>
      <c r="C174" s="2342"/>
      <c r="D174" s="2292"/>
      <c r="E174" s="2292"/>
      <c r="F174" s="2292"/>
      <c r="G174" s="2292"/>
      <c r="H174" s="2292"/>
      <c r="I174" s="2424"/>
      <c r="J174" s="2424"/>
      <c r="K174" s="2424"/>
      <c r="L174" s="2424"/>
      <c r="M174" s="2424"/>
      <c r="N174" s="2440"/>
      <c r="O174" s="1203"/>
      <c r="P174" s="2336"/>
      <c r="Q174" s="2337"/>
      <c r="R174" s="2337"/>
      <c r="S174" s="2337"/>
      <c r="T174" s="2337"/>
      <c r="U174" s="2337"/>
      <c r="V174" s="2337"/>
      <c r="W174" s="2337"/>
      <c r="X174" s="2337"/>
      <c r="Y174" s="2337"/>
      <c r="Z174" s="2337"/>
      <c r="AA174" s="2337"/>
      <c r="AB174" s="2337"/>
      <c r="AC174" s="2337"/>
      <c r="AD174" s="2337"/>
      <c r="AE174" s="2337"/>
      <c r="AF174" s="2337"/>
      <c r="AG174" s="2337"/>
      <c r="AH174" s="2337"/>
      <c r="AI174" s="2337"/>
      <c r="AJ174" s="2337"/>
      <c r="AK174" s="2337"/>
      <c r="AL174" s="2337"/>
      <c r="AM174" s="2337"/>
      <c r="AN174" s="2337"/>
      <c r="AO174" s="2338"/>
      <c r="AP174" s="1203"/>
      <c r="AQ174" s="1203"/>
      <c r="AR174" s="1203"/>
      <c r="AS174" s="1203"/>
      <c r="AT174" s="1203"/>
      <c r="AU174" s="1203"/>
      <c r="AV174" s="1203"/>
      <c r="AW174" s="1203"/>
      <c r="AX174" s="1203"/>
      <c r="AY174" s="1203"/>
      <c r="AZ174" s="1203"/>
      <c r="BA174" s="1203"/>
      <c r="BB174" s="1203"/>
      <c r="BC174" s="1203"/>
      <c r="BD174" s="1203"/>
      <c r="BE174" s="1210"/>
    </row>
    <row r="175" spans="1:57" ht="15.75" customHeight="1" thickBot="1">
      <c r="A175" s="1203"/>
      <c r="B175" s="1203"/>
      <c r="C175" s="2441"/>
      <c r="D175" s="2442"/>
      <c r="E175" s="2442"/>
      <c r="F175" s="2442"/>
      <c r="G175" s="2442"/>
      <c r="H175" s="2442"/>
      <c r="I175" s="2443"/>
      <c r="J175" s="2443"/>
      <c r="K175" s="2443"/>
      <c r="L175" s="2443"/>
      <c r="M175" s="2443"/>
      <c r="N175" s="2444"/>
      <c r="O175" s="1203"/>
      <c r="P175" s="2339"/>
      <c r="Q175" s="2340"/>
      <c r="R175" s="2340"/>
      <c r="S175" s="2340"/>
      <c r="T175" s="2340"/>
      <c r="U175" s="2340"/>
      <c r="V175" s="2340"/>
      <c r="W175" s="2340"/>
      <c r="X175" s="2340"/>
      <c r="Y175" s="2340"/>
      <c r="Z175" s="2340"/>
      <c r="AA175" s="2340"/>
      <c r="AB175" s="2340"/>
      <c r="AC175" s="2340"/>
      <c r="AD175" s="2340"/>
      <c r="AE175" s="2340"/>
      <c r="AF175" s="2340"/>
      <c r="AG175" s="2340"/>
      <c r="AH175" s="2340"/>
      <c r="AI175" s="2340"/>
      <c r="AJ175" s="2340"/>
      <c r="AK175" s="2340"/>
      <c r="AL175" s="2340"/>
      <c r="AM175" s="2340"/>
      <c r="AN175" s="2340"/>
      <c r="AO175" s="2341"/>
      <c r="AP175" s="1203"/>
      <c r="AQ175" s="1203"/>
      <c r="AR175" s="1203"/>
      <c r="AS175" s="1203"/>
      <c r="AT175" s="1203"/>
      <c r="AU175" s="1203"/>
      <c r="AV175" s="1203"/>
      <c r="AW175" s="1203"/>
      <c r="AX175" s="1203"/>
      <c r="AY175" s="1203"/>
      <c r="AZ175" s="1203"/>
      <c r="BA175" s="1203"/>
      <c r="BB175" s="1203"/>
      <c r="BC175" s="1203"/>
      <c r="BD175" s="1203"/>
      <c r="BE175" s="1210"/>
    </row>
    <row r="176" spans="1:57" ht="15.75" customHeight="1" thickBot="1">
      <c r="A176" s="1203"/>
      <c r="B176" s="1203"/>
      <c r="C176" s="1203"/>
      <c r="D176" s="1203"/>
      <c r="E176" s="1203"/>
      <c r="F176" s="1203"/>
      <c r="G176" s="1203"/>
      <c r="H176" s="1203"/>
      <c r="I176" s="1203"/>
      <c r="J176" s="1203"/>
      <c r="K176" s="1203"/>
      <c r="L176" s="1203"/>
      <c r="M176" s="1203"/>
      <c r="N176" s="1203"/>
      <c r="O176" s="1203"/>
      <c r="P176" s="1203"/>
      <c r="Q176" s="1203"/>
      <c r="R176" s="1203"/>
      <c r="S176" s="1203"/>
      <c r="T176" s="1203"/>
      <c r="U176" s="1203"/>
      <c r="V176" s="1203"/>
      <c r="W176" s="1203"/>
      <c r="X176" s="1203"/>
      <c r="Y176" s="1203"/>
      <c r="Z176" s="1203"/>
      <c r="AA176" s="1203"/>
      <c r="AB176" s="1203"/>
      <c r="AC176" s="1203"/>
      <c r="AD176" s="1203"/>
      <c r="AE176" s="1203"/>
      <c r="AF176" s="1203"/>
      <c r="AG176" s="1203"/>
      <c r="AH176" s="1203"/>
      <c r="AI176" s="1203"/>
      <c r="AJ176" s="1203"/>
      <c r="AK176" s="1203"/>
      <c r="AL176" s="1203"/>
      <c r="AM176" s="1203"/>
      <c r="AN176" s="1203"/>
      <c r="AO176" s="1203"/>
      <c r="AP176" s="1203"/>
      <c r="AQ176" s="1203"/>
      <c r="AR176" s="1203"/>
      <c r="AS176" s="1203"/>
      <c r="AT176" s="1203"/>
      <c r="AU176" s="1203"/>
      <c r="AV176" s="1203"/>
      <c r="AW176" s="1203"/>
      <c r="AX176" s="1203"/>
      <c r="AY176" s="1203"/>
      <c r="AZ176" s="1203"/>
      <c r="BA176" s="1203"/>
      <c r="BB176" s="1203"/>
      <c r="BC176" s="1203"/>
      <c r="BD176" s="1203"/>
      <c r="BE176" s="1210"/>
    </row>
    <row r="177" spans="1:57" ht="15.75" customHeight="1">
      <c r="A177" s="1203"/>
      <c r="B177" s="1203"/>
      <c r="C177" s="2448" t="s">
        <v>2266</v>
      </c>
      <c r="D177" s="2449"/>
      <c r="E177" s="2449"/>
      <c r="F177" s="2449"/>
      <c r="G177" s="2449"/>
      <c r="H177" s="2449"/>
      <c r="I177" s="2449"/>
      <c r="J177" s="2449"/>
      <c r="K177" s="2449"/>
      <c r="L177" s="2449"/>
      <c r="M177" s="2449"/>
      <c r="N177" s="2449"/>
      <c r="O177" s="2449"/>
      <c r="P177" s="2449"/>
      <c r="Q177" s="2449"/>
      <c r="R177" s="2449"/>
      <c r="S177" s="2449"/>
      <c r="T177" s="2449"/>
      <c r="U177" s="2449"/>
      <c r="V177" s="2449"/>
      <c r="W177" s="2449"/>
      <c r="X177" s="2449"/>
      <c r="Y177" s="2449"/>
      <c r="Z177" s="2449"/>
      <c r="AA177" s="2449"/>
      <c r="AB177" s="2449"/>
      <c r="AC177" s="2449"/>
      <c r="AD177" s="2449"/>
      <c r="AE177" s="2450"/>
      <c r="AF177" s="1203"/>
      <c r="AG177" s="1203"/>
      <c r="AH177" s="2458"/>
      <c r="AI177" s="2458"/>
      <c r="AJ177" s="2458"/>
      <c r="AK177" s="2458"/>
      <c r="AL177" s="2458"/>
      <c r="AM177" s="2458"/>
      <c r="AN177" s="2458"/>
      <c r="AO177" s="2458"/>
      <c r="AP177" s="2458"/>
      <c r="AQ177" s="2458"/>
      <c r="AR177" s="2458"/>
      <c r="AS177" s="2458"/>
      <c r="AT177" s="2458"/>
      <c r="AU177" s="2458"/>
      <c r="AV177" s="2458"/>
      <c r="AW177" s="2458"/>
      <c r="AX177" s="2458"/>
      <c r="AY177" s="2458"/>
      <c r="AZ177" s="2458"/>
      <c r="BA177" s="2458"/>
      <c r="BB177" s="2458"/>
      <c r="BC177" s="2458"/>
      <c r="BD177" s="2458"/>
      <c r="BE177" s="2458"/>
    </row>
    <row r="178" spans="1:57" ht="15.75" customHeight="1" thickBot="1">
      <c r="A178" s="1203"/>
      <c r="B178" s="1203"/>
      <c r="C178" s="2451"/>
      <c r="D178" s="2452"/>
      <c r="E178" s="2452"/>
      <c r="F178" s="2452"/>
      <c r="G178" s="2452"/>
      <c r="H178" s="2452"/>
      <c r="I178" s="2452"/>
      <c r="J178" s="2452"/>
      <c r="K178" s="2452"/>
      <c r="L178" s="2452"/>
      <c r="M178" s="2452"/>
      <c r="N178" s="2452"/>
      <c r="O178" s="2452"/>
      <c r="P178" s="2452"/>
      <c r="Q178" s="2452"/>
      <c r="R178" s="2452"/>
      <c r="S178" s="2452"/>
      <c r="T178" s="2452"/>
      <c r="U178" s="2452"/>
      <c r="V178" s="2452"/>
      <c r="W178" s="2452"/>
      <c r="X178" s="2452"/>
      <c r="Y178" s="2452"/>
      <c r="Z178" s="2452"/>
      <c r="AA178" s="2452"/>
      <c r="AB178" s="2452"/>
      <c r="AC178" s="2452"/>
      <c r="AD178" s="2452"/>
      <c r="AE178" s="2453"/>
      <c r="AF178" s="1203"/>
      <c r="AG178" s="1203"/>
      <c r="AH178" s="2458"/>
      <c r="AI178" s="2458"/>
      <c r="AJ178" s="2458"/>
      <c r="AK178" s="2458"/>
      <c r="AL178" s="2458"/>
      <c r="AM178" s="2458"/>
      <c r="AN178" s="2458"/>
      <c r="AO178" s="2458"/>
      <c r="AP178" s="2458"/>
      <c r="AQ178" s="2458"/>
      <c r="AR178" s="2458"/>
      <c r="AS178" s="2458"/>
      <c r="AT178" s="2458"/>
      <c r="AU178" s="2458"/>
      <c r="AV178" s="2458"/>
      <c r="AW178" s="2458"/>
      <c r="AX178" s="2458"/>
      <c r="AY178" s="2458"/>
      <c r="AZ178" s="2458"/>
      <c r="BA178" s="2458"/>
      <c r="BB178" s="2458"/>
      <c r="BC178" s="2458"/>
      <c r="BD178" s="2458"/>
      <c r="BE178" s="2458"/>
    </row>
    <row r="179" spans="1:57" ht="15.75" customHeight="1">
      <c r="A179" s="1203"/>
      <c r="B179" s="1203"/>
      <c r="C179" s="2332" t="s">
        <v>2264</v>
      </c>
      <c r="D179" s="2333"/>
      <c r="E179" s="2333"/>
      <c r="F179" s="2333"/>
      <c r="G179" s="2333"/>
      <c r="H179" s="2333"/>
      <c r="I179" s="2333"/>
      <c r="J179" s="2333"/>
      <c r="K179" s="2333"/>
      <c r="L179" s="2333"/>
      <c r="M179" s="2333"/>
      <c r="N179" s="2333" t="s">
        <v>2265</v>
      </c>
      <c r="O179" s="2333"/>
      <c r="P179" s="2333"/>
      <c r="Q179" s="2333"/>
      <c r="R179" s="2333"/>
      <c r="S179" s="2333"/>
      <c r="T179" s="2333"/>
      <c r="U179" s="2286" t="s">
        <v>2264</v>
      </c>
      <c r="V179" s="2286"/>
      <c r="W179" s="2286"/>
      <c r="X179" s="2286"/>
      <c r="Y179" s="2286"/>
      <c r="Z179" s="2286"/>
      <c r="AA179" s="2286"/>
      <c r="AB179" s="2286"/>
      <c r="AC179" s="2286"/>
      <c r="AD179" s="2286"/>
      <c r="AE179" s="2287"/>
      <c r="AF179" s="1203"/>
      <c r="AG179" s="1203"/>
      <c r="AH179" s="2458"/>
      <c r="AI179" s="2458"/>
      <c r="AJ179" s="2458"/>
      <c r="AK179" s="2458"/>
      <c r="AL179" s="2458"/>
      <c r="AM179" s="2458"/>
      <c r="AN179" s="2458"/>
      <c r="AO179" s="2458"/>
      <c r="AP179" s="2458"/>
      <c r="AQ179" s="2458"/>
      <c r="AR179" s="2458"/>
      <c r="AS179" s="2458"/>
      <c r="AT179" s="2458"/>
      <c r="AU179" s="2458"/>
      <c r="AV179" s="2458"/>
      <c r="AW179" s="2458"/>
      <c r="AX179" s="2458"/>
      <c r="AY179" s="2458"/>
      <c r="AZ179" s="2458"/>
      <c r="BA179" s="2458"/>
      <c r="BB179" s="2458"/>
      <c r="BC179" s="2458"/>
      <c r="BD179" s="2458"/>
      <c r="BE179" s="2458"/>
    </row>
    <row r="180" spans="1:57" ht="15.75" customHeight="1">
      <c r="A180" s="1203"/>
      <c r="B180" s="1203"/>
      <c r="C180" s="2445" t="s">
        <v>2263</v>
      </c>
      <c r="D180" s="2446"/>
      <c r="E180" s="2446"/>
      <c r="F180" s="2446"/>
      <c r="G180" s="2446"/>
      <c r="H180" s="2446"/>
      <c r="I180" s="2446"/>
      <c r="J180" s="2446"/>
      <c r="K180" s="2446"/>
      <c r="L180" s="2446"/>
      <c r="M180" s="2446"/>
      <c r="N180" s="2447">
        <f>'Sources and Uses Budget'!B105</f>
        <v>58141072</v>
      </c>
      <c r="O180" s="2447"/>
      <c r="P180" s="2447"/>
      <c r="Q180" s="2447"/>
      <c r="R180" s="2447"/>
      <c r="S180" s="2447"/>
      <c r="T180" s="2447"/>
      <c r="U180" s="2459"/>
      <c r="V180" s="2459"/>
      <c r="W180" s="2459"/>
      <c r="X180" s="2459"/>
      <c r="Y180" s="2459"/>
      <c r="Z180" s="2459"/>
      <c r="AA180" s="2459"/>
      <c r="AB180" s="2459"/>
      <c r="AC180" s="2459"/>
      <c r="AD180" s="2459"/>
      <c r="AE180" s="2460"/>
      <c r="AF180" s="1203"/>
      <c r="AG180" s="1203"/>
      <c r="AH180" s="2458"/>
      <c r="AI180" s="2458"/>
      <c r="AJ180" s="2458"/>
      <c r="AK180" s="2458"/>
      <c r="AL180" s="2458"/>
      <c r="AM180" s="2458"/>
      <c r="AN180" s="2458"/>
      <c r="AO180" s="2458"/>
      <c r="AP180" s="2458"/>
      <c r="AQ180" s="2458"/>
      <c r="AR180" s="2458"/>
      <c r="AS180" s="2458"/>
      <c r="AT180" s="2458"/>
      <c r="AU180" s="2458"/>
      <c r="AV180" s="2458"/>
      <c r="AW180" s="2458"/>
      <c r="AX180" s="2458"/>
      <c r="AY180" s="2458"/>
      <c r="AZ180" s="2458"/>
      <c r="BA180" s="2458"/>
      <c r="BB180" s="2458"/>
      <c r="BC180" s="2458"/>
      <c r="BD180" s="2458"/>
      <c r="BE180" s="2458"/>
    </row>
    <row r="181" spans="1:57" ht="15.75" customHeight="1">
      <c r="A181" s="1203"/>
      <c r="B181" s="1203"/>
      <c r="C181" s="2445" t="s">
        <v>2262</v>
      </c>
      <c r="D181" s="2446"/>
      <c r="E181" s="2446"/>
      <c r="F181" s="2446"/>
      <c r="G181" s="2446"/>
      <c r="H181" s="2446"/>
      <c r="I181" s="2446"/>
      <c r="J181" s="2446"/>
      <c r="K181" s="2446"/>
      <c r="L181" s="2446"/>
      <c r="M181" s="2446"/>
      <c r="N181" s="2447">
        <f>N180/J29</f>
        <v>488580.43697478989</v>
      </c>
      <c r="O181" s="2447"/>
      <c r="P181" s="2447"/>
      <c r="Q181" s="2447"/>
      <c r="R181" s="2447"/>
      <c r="S181" s="2447"/>
      <c r="T181" s="2447"/>
      <c r="U181" s="1243"/>
      <c r="V181" s="1243"/>
      <c r="W181" s="1243"/>
      <c r="X181" s="1243"/>
      <c r="Y181" s="1243"/>
      <c r="Z181" s="1243"/>
      <c r="AA181" s="1243"/>
      <c r="AB181" s="1243"/>
      <c r="AC181" s="1243"/>
      <c r="AD181" s="1243"/>
      <c r="AE181" s="1244"/>
      <c r="AF181" s="1203"/>
      <c r="AG181" s="1203"/>
      <c r="AH181" s="2458"/>
      <c r="AI181" s="2458"/>
      <c r="AJ181" s="2458"/>
      <c r="AK181" s="2458"/>
      <c r="AL181" s="2458"/>
      <c r="AM181" s="2458"/>
      <c r="AN181" s="2458"/>
      <c r="AO181" s="2458"/>
      <c r="AP181" s="2458"/>
      <c r="AQ181" s="2458"/>
      <c r="AR181" s="2458"/>
      <c r="AS181" s="2458"/>
      <c r="AT181" s="2458"/>
      <c r="AU181" s="2458"/>
      <c r="AV181" s="2458"/>
      <c r="AW181" s="2458"/>
      <c r="AX181" s="2458"/>
      <c r="AY181" s="2458"/>
      <c r="AZ181" s="2458"/>
      <c r="BA181" s="2458"/>
      <c r="BB181" s="2458"/>
      <c r="BC181" s="2458"/>
      <c r="BD181" s="2458"/>
      <c r="BE181" s="2458"/>
    </row>
    <row r="182" spans="1:57" ht="15.75" customHeight="1">
      <c r="A182" s="1203"/>
      <c r="B182" s="1203"/>
      <c r="C182" s="2461" t="s">
        <v>2261</v>
      </c>
      <c r="D182" s="2462"/>
      <c r="E182" s="2462"/>
      <c r="F182" s="2462"/>
      <c r="G182" s="2462"/>
      <c r="H182" s="2462"/>
      <c r="I182" s="2462"/>
      <c r="J182" s="2462"/>
      <c r="K182" s="2462"/>
      <c r="L182" s="2462"/>
      <c r="M182" s="2462"/>
      <c r="N182" s="2326">
        <v>0</v>
      </c>
      <c r="O182" s="2326"/>
      <c r="P182" s="2326"/>
      <c r="Q182" s="2326"/>
      <c r="R182" s="2326"/>
      <c r="S182" s="2326"/>
      <c r="T182" s="2326"/>
      <c r="U182" s="2304"/>
      <c r="V182" s="2304"/>
      <c r="W182" s="2304"/>
      <c r="X182" s="2304"/>
      <c r="Y182" s="2304"/>
      <c r="Z182" s="2304"/>
      <c r="AA182" s="2304"/>
      <c r="AB182" s="2304"/>
      <c r="AC182" s="2304"/>
      <c r="AD182" s="2304"/>
      <c r="AE182" s="2305"/>
      <c r="AF182" s="1203"/>
      <c r="AG182" s="1203"/>
      <c r="AH182" s="2458"/>
      <c r="AI182" s="2458"/>
      <c r="AJ182" s="2458"/>
      <c r="AK182" s="2458"/>
      <c r="AL182" s="2458"/>
      <c r="AM182" s="2458"/>
      <c r="AN182" s="2458"/>
      <c r="AO182" s="2458"/>
      <c r="AP182" s="2458"/>
      <c r="AQ182" s="2458"/>
      <c r="AR182" s="2458"/>
      <c r="AS182" s="2458"/>
      <c r="AT182" s="2458"/>
      <c r="AU182" s="2458"/>
      <c r="AV182" s="2458"/>
      <c r="AW182" s="2458"/>
      <c r="AX182" s="2458"/>
      <c r="AY182" s="2458"/>
      <c r="AZ182" s="2458"/>
      <c r="BA182" s="2458"/>
      <c r="BB182" s="2458"/>
      <c r="BC182" s="2458"/>
      <c r="BD182" s="2458"/>
      <c r="BE182" s="2458"/>
    </row>
    <row r="183" spans="1:57" ht="15.75" customHeight="1" thickBot="1">
      <c r="A183" s="1203"/>
      <c r="B183" s="1203"/>
      <c r="C183" s="2445" t="s">
        <v>2260</v>
      </c>
      <c r="D183" s="2446"/>
      <c r="E183" s="2446"/>
      <c r="F183" s="2446"/>
      <c r="G183" s="2446"/>
      <c r="H183" s="2446"/>
      <c r="I183" s="2446"/>
      <c r="J183" s="2446"/>
      <c r="K183" s="2446"/>
      <c r="L183" s="2446"/>
      <c r="M183" s="2446"/>
      <c r="N183" s="2463">
        <f>SUM('Sources and Uses Budget'!B85:B86)</f>
        <v>3732600</v>
      </c>
      <c r="O183" s="2463"/>
      <c r="P183" s="2463"/>
      <c r="Q183" s="2463"/>
      <c r="R183" s="2463"/>
      <c r="S183" s="2463"/>
      <c r="T183" s="2463"/>
      <c r="U183" s="2304"/>
      <c r="V183" s="2304"/>
      <c r="W183" s="2304"/>
      <c r="X183" s="2304"/>
      <c r="Y183" s="2304"/>
      <c r="Z183" s="2304"/>
      <c r="AA183" s="2304"/>
      <c r="AB183" s="2304"/>
      <c r="AC183" s="2304"/>
      <c r="AD183" s="2304"/>
      <c r="AE183" s="2305"/>
      <c r="AF183" s="1203"/>
      <c r="AG183" s="1203"/>
      <c r="AH183" s="2458"/>
      <c r="AI183" s="2458"/>
      <c r="AJ183" s="2458"/>
      <c r="AK183" s="2458"/>
      <c r="AL183" s="2458"/>
      <c r="AM183" s="2458"/>
      <c r="AN183" s="2458"/>
      <c r="AO183" s="2458"/>
      <c r="AP183" s="2458"/>
      <c r="AQ183" s="2458"/>
      <c r="AR183" s="2458"/>
      <c r="AS183" s="2458"/>
      <c r="AT183" s="2458"/>
      <c r="AU183" s="2458"/>
      <c r="AV183" s="2458"/>
      <c r="AW183" s="2458"/>
      <c r="AX183" s="2458"/>
      <c r="AY183" s="2458"/>
      <c r="AZ183" s="2458"/>
      <c r="BA183" s="2458"/>
      <c r="BB183" s="2458"/>
      <c r="BC183" s="2458"/>
      <c r="BD183" s="2458"/>
      <c r="BE183" s="2458"/>
    </row>
    <row r="184" spans="1:57" ht="15.75" customHeight="1" thickBot="1">
      <c r="A184" s="1203"/>
      <c r="B184" s="1203"/>
      <c r="C184" s="2445" t="s">
        <v>2259</v>
      </c>
      <c r="D184" s="2446"/>
      <c r="E184" s="2446"/>
      <c r="F184" s="2446"/>
      <c r="G184" s="2446"/>
      <c r="H184" s="2446"/>
      <c r="I184" s="2446"/>
      <c r="J184" s="2446"/>
      <c r="K184" s="2446"/>
      <c r="L184" s="2446"/>
      <c r="M184" s="2446"/>
      <c r="N184" s="2463">
        <f>'Sources and Uses Budget'!B8</f>
        <v>1</v>
      </c>
      <c r="O184" s="2463"/>
      <c r="P184" s="2463"/>
      <c r="Q184" s="2463"/>
      <c r="R184" s="2463"/>
      <c r="S184" s="2463"/>
      <c r="T184" s="2463"/>
      <c r="U184" s="2304"/>
      <c r="V184" s="2304"/>
      <c r="W184" s="2304"/>
      <c r="X184" s="2304"/>
      <c r="Y184" s="2304"/>
      <c r="Z184" s="2304"/>
      <c r="AA184" s="2304"/>
      <c r="AB184" s="2304"/>
      <c r="AC184" s="2304"/>
      <c r="AD184" s="2304"/>
      <c r="AE184" s="2305"/>
      <c r="AF184" s="1203"/>
      <c r="AG184" s="1203"/>
      <c r="AH184" s="2467" t="s">
        <v>2257</v>
      </c>
      <c r="AI184" s="2468"/>
      <c r="AJ184" s="2468"/>
      <c r="AK184" s="2468"/>
      <c r="AL184" s="2468"/>
      <c r="AM184" s="2468"/>
      <c r="AN184" s="2468"/>
      <c r="AO184" s="2468"/>
      <c r="AP184" s="2468"/>
      <c r="AQ184" s="2468"/>
      <c r="AR184" s="2468"/>
      <c r="AS184" s="2468"/>
      <c r="AT184" s="2468"/>
      <c r="AU184" s="2468"/>
      <c r="AV184" s="2468"/>
      <c r="AW184" s="2468"/>
      <c r="AX184" s="2468"/>
      <c r="AY184" s="2468"/>
      <c r="AZ184" s="2468"/>
      <c r="BA184" s="2468"/>
      <c r="BB184" s="2468"/>
      <c r="BC184" s="2468"/>
      <c r="BD184" s="2468"/>
      <c r="BE184" s="2469"/>
    </row>
    <row r="185" spans="1:57" ht="15.75" customHeight="1">
      <c r="A185" s="1203"/>
      <c r="B185" s="1203"/>
      <c r="C185" s="2445" t="s">
        <v>2258</v>
      </c>
      <c r="D185" s="2446"/>
      <c r="E185" s="2446"/>
      <c r="F185" s="2446"/>
      <c r="G185" s="2446"/>
      <c r="H185" s="2446"/>
      <c r="I185" s="2446"/>
      <c r="J185" s="2446"/>
      <c r="K185" s="2446"/>
      <c r="L185" s="2446"/>
      <c r="M185" s="2446"/>
      <c r="N185" s="2454">
        <v>0</v>
      </c>
      <c r="O185" s="2454"/>
      <c r="P185" s="2454"/>
      <c r="Q185" s="2454"/>
      <c r="R185" s="2454"/>
      <c r="S185" s="2454"/>
      <c r="T185" s="2454"/>
      <c r="U185" s="2304"/>
      <c r="V185" s="2304"/>
      <c r="W185" s="2304"/>
      <c r="X185" s="2304"/>
      <c r="Y185" s="2304"/>
      <c r="Z185" s="2304"/>
      <c r="AA185" s="2304"/>
      <c r="AB185" s="2304"/>
      <c r="AC185" s="2304"/>
      <c r="AD185" s="2304"/>
      <c r="AE185" s="2305"/>
      <c r="AF185" s="1203"/>
      <c r="AG185" s="1203"/>
      <c r="AH185" s="2470" t="s">
        <v>2257</v>
      </c>
      <c r="AI185" s="2471"/>
      <c r="AJ185" s="2471"/>
      <c r="AK185" s="2471"/>
      <c r="AL185" s="2471"/>
      <c r="AM185" s="2471"/>
      <c r="AN185" s="2471"/>
      <c r="AO185" s="2471"/>
      <c r="AP185" s="2471"/>
      <c r="AQ185" s="2471"/>
      <c r="AR185" s="2471"/>
      <c r="AS185" s="2471"/>
      <c r="AT185" s="2471"/>
      <c r="AU185" s="2472">
        <v>4500000</v>
      </c>
      <c r="AV185" s="2472"/>
      <c r="AW185" s="2472"/>
      <c r="AX185" s="2472"/>
      <c r="AY185" s="2472"/>
      <c r="AZ185" s="2472"/>
      <c r="BA185" s="2472"/>
      <c r="BB185" s="2472"/>
      <c r="BC185" s="2473"/>
      <c r="BD185" s="2474"/>
      <c r="BE185" s="2475"/>
    </row>
    <row r="186" spans="1:57" ht="15.75" customHeight="1">
      <c r="A186" s="1203"/>
      <c r="B186" s="1203"/>
      <c r="C186" s="2445" t="s">
        <v>2256</v>
      </c>
      <c r="D186" s="2446"/>
      <c r="E186" s="2446"/>
      <c r="F186" s="2446"/>
      <c r="G186" s="2446"/>
      <c r="H186" s="2446"/>
      <c r="I186" s="2446"/>
      <c r="J186" s="2446"/>
      <c r="K186" s="2446"/>
      <c r="L186" s="2446"/>
      <c r="M186" s="2446"/>
      <c r="N186" s="2454">
        <v>0</v>
      </c>
      <c r="O186" s="2454"/>
      <c r="P186" s="2454"/>
      <c r="Q186" s="2454"/>
      <c r="R186" s="2454"/>
      <c r="S186" s="2454"/>
      <c r="T186" s="2454"/>
      <c r="U186" s="2304"/>
      <c r="V186" s="2304"/>
      <c r="W186" s="2304"/>
      <c r="X186" s="2304"/>
      <c r="Y186" s="2304"/>
      <c r="Z186" s="2304"/>
      <c r="AA186" s="2304"/>
      <c r="AB186" s="2304"/>
      <c r="AC186" s="2304"/>
      <c r="AD186" s="2304"/>
      <c r="AE186" s="2305"/>
      <c r="AF186" s="1203"/>
      <c r="AG186" s="1203"/>
      <c r="AH186" s="2455" t="s">
        <v>2255</v>
      </c>
      <c r="AI186" s="2456"/>
      <c r="AJ186" s="2456"/>
      <c r="AK186" s="2456"/>
      <c r="AL186" s="2456"/>
      <c r="AM186" s="2456"/>
      <c r="AN186" s="2456"/>
      <c r="AO186" s="2456"/>
      <c r="AP186" s="2456"/>
      <c r="AQ186" s="2456"/>
      <c r="AR186" s="2456"/>
      <c r="AS186" s="2456"/>
      <c r="AT186" s="2456"/>
      <c r="AU186" s="2457">
        <v>2500000</v>
      </c>
      <c r="AV186" s="2457"/>
      <c r="AW186" s="2457"/>
      <c r="AX186" s="2457"/>
      <c r="AY186" s="2457"/>
      <c r="AZ186" s="2457"/>
      <c r="BA186" s="2457"/>
      <c r="BB186" s="2457"/>
      <c r="BC186" s="2464"/>
      <c r="BD186" s="2465"/>
      <c r="BE186" s="2466"/>
    </row>
    <row r="187" spans="1:57" ht="15.75" customHeight="1">
      <c r="A187" s="1203"/>
      <c r="B187" s="1203"/>
      <c r="C187" s="2480" t="s">
        <v>299</v>
      </c>
      <c r="D187" s="2423"/>
      <c r="E187" s="2476" t="s">
        <v>2253</v>
      </c>
      <c r="F187" s="2476"/>
      <c r="G187" s="2476"/>
      <c r="H187" s="2476"/>
      <c r="I187" s="2476"/>
      <c r="J187" s="2476"/>
      <c r="K187" s="2476"/>
      <c r="L187" s="2476"/>
      <c r="M187" s="2476"/>
      <c r="N187" s="2454">
        <v>0</v>
      </c>
      <c r="O187" s="2454"/>
      <c r="P187" s="2454"/>
      <c r="Q187" s="2454"/>
      <c r="R187" s="2454"/>
      <c r="S187" s="2454"/>
      <c r="T187" s="2454"/>
      <c r="U187" s="2304"/>
      <c r="V187" s="2304"/>
      <c r="W187" s="2304"/>
      <c r="X187" s="2304"/>
      <c r="Y187" s="2304"/>
      <c r="Z187" s="2304"/>
      <c r="AA187" s="2304"/>
      <c r="AB187" s="2304"/>
      <c r="AC187" s="2304"/>
      <c r="AD187" s="2304"/>
      <c r="AE187" s="2305"/>
      <c r="AF187" s="1203"/>
      <c r="AG187" s="1203"/>
      <c r="AH187" s="2481" t="s">
        <v>2254</v>
      </c>
      <c r="AI187" s="2482"/>
      <c r="AJ187" s="2482"/>
      <c r="AK187" s="2482"/>
      <c r="AL187" s="2482"/>
      <c r="AM187" s="2482"/>
      <c r="AN187" s="2482"/>
      <c r="AO187" s="2482"/>
      <c r="AP187" s="2482"/>
      <c r="AQ187" s="2482"/>
      <c r="AR187" s="2482"/>
      <c r="AS187" s="2482"/>
      <c r="AT187" s="2482"/>
      <c r="AU187" s="2483">
        <f>SUM(AU185:BB186)</f>
        <v>7000000</v>
      </c>
      <c r="AV187" s="2483"/>
      <c r="AW187" s="2483"/>
      <c r="AX187" s="2483"/>
      <c r="AY187" s="2483"/>
      <c r="AZ187" s="2483"/>
      <c r="BA187" s="2483"/>
      <c r="BB187" s="2483"/>
      <c r="BC187" s="2464"/>
      <c r="BD187" s="2465"/>
      <c r="BE187" s="2466"/>
    </row>
    <row r="188" spans="1:57" ht="15.75" customHeight="1" thickBot="1">
      <c r="A188" s="1203"/>
      <c r="B188" s="1203"/>
      <c r="C188" s="2342" t="s">
        <v>299</v>
      </c>
      <c r="D188" s="2292"/>
      <c r="E188" s="2476" t="s">
        <v>2253</v>
      </c>
      <c r="F188" s="2476"/>
      <c r="G188" s="2476"/>
      <c r="H188" s="2476"/>
      <c r="I188" s="2476"/>
      <c r="J188" s="2476"/>
      <c r="K188" s="2476"/>
      <c r="L188" s="2476"/>
      <c r="M188" s="2476"/>
      <c r="N188" s="2454">
        <v>0</v>
      </c>
      <c r="O188" s="2454"/>
      <c r="P188" s="2454"/>
      <c r="Q188" s="2454"/>
      <c r="R188" s="2454"/>
      <c r="S188" s="2454"/>
      <c r="T188" s="2454"/>
      <c r="U188" s="2304"/>
      <c r="V188" s="2304"/>
      <c r="W188" s="2304"/>
      <c r="X188" s="2304"/>
      <c r="Y188" s="2304"/>
      <c r="Z188" s="2304"/>
      <c r="AA188" s="2304"/>
      <c r="AB188" s="2304"/>
      <c r="AC188" s="2304"/>
      <c r="AD188" s="2304"/>
      <c r="AE188" s="2305"/>
      <c r="AF188" s="1203"/>
      <c r="AG188" s="1203"/>
      <c r="AH188" s="1245"/>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2477"/>
      <c r="BD188" s="2478"/>
      <c r="BE188" s="2479"/>
    </row>
    <row r="189" spans="1:57" ht="15.75" customHeight="1" thickBot="1">
      <c r="A189" s="1203"/>
      <c r="B189" s="1203"/>
      <c r="C189" s="2501" t="s">
        <v>299</v>
      </c>
      <c r="D189" s="2502"/>
      <c r="E189" s="2503" t="s">
        <v>2253</v>
      </c>
      <c r="F189" s="2503"/>
      <c r="G189" s="2503"/>
      <c r="H189" s="2503"/>
      <c r="I189" s="2503"/>
      <c r="J189" s="2503"/>
      <c r="K189" s="2503"/>
      <c r="L189" s="2503"/>
      <c r="M189" s="2504"/>
      <c r="N189" s="2505">
        <v>0</v>
      </c>
      <c r="O189" s="2505"/>
      <c r="P189" s="2505"/>
      <c r="Q189" s="2505"/>
      <c r="R189" s="2505"/>
      <c r="S189" s="2505"/>
      <c r="T189" s="2506"/>
      <c r="U189" s="2507"/>
      <c r="V189" s="2508"/>
      <c r="W189" s="2508"/>
      <c r="X189" s="2508"/>
      <c r="Y189" s="2508"/>
      <c r="Z189" s="2508"/>
      <c r="AA189" s="2508"/>
      <c r="AB189" s="2508"/>
      <c r="AC189" s="2508"/>
      <c r="AD189" s="2508"/>
      <c r="AE189" s="2509"/>
      <c r="AF189" s="1203"/>
      <c r="AG189" s="1203"/>
      <c r="AH189" s="2510" t="s">
        <v>2252</v>
      </c>
      <c r="AI189" s="2511"/>
      <c r="AJ189" s="2511"/>
      <c r="AK189" s="2511"/>
      <c r="AL189" s="2511"/>
      <c r="AM189" s="2511"/>
      <c r="AN189" s="2511"/>
      <c r="AO189" s="2511"/>
      <c r="AP189" s="2511"/>
      <c r="AQ189" s="2511"/>
      <c r="AR189" s="2511"/>
      <c r="AS189" s="2511"/>
      <c r="AT189" s="2511"/>
      <c r="AU189" s="2512"/>
      <c r="AV189" s="2512"/>
      <c r="AW189" s="2512"/>
      <c r="AX189" s="2512"/>
      <c r="AY189" s="2512"/>
      <c r="AZ189" s="2512"/>
      <c r="BA189" s="2512"/>
      <c r="BB189" s="2512"/>
      <c r="BC189" s="1159"/>
      <c r="BD189" s="1159"/>
      <c r="BE189" s="1247"/>
    </row>
    <row r="190" spans="1:57" ht="15.75" customHeight="1">
      <c r="A190" s="1203"/>
      <c r="B190" s="1203"/>
      <c r="C190" s="2484" t="s">
        <v>2251</v>
      </c>
      <c r="D190" s="2485"/>
      <c r="E190" s="2485"/>
      <c r="F190" s="2485"/>
      <c r="G190" s="2485"/>
      <c r="H190" s="2485"/>
      <c r="I190" s="2485"/>
      <c r="J190" s="2485"/>
      <c r="K190" s="2485"/>
      <c r="L190" s="2485"/>
      <c r="M190" s="2485"/>
      <c r="N190" s="2486">
        <f>SUM(N182:T189)</f>
        <v>3732601</v>
      </c>
      <c r="O190" s="2486"/>
      <c r="P190" s="2486"/>
      <c r="Q190" s="2486"/>
      <c r="R190" s="2486"/>
      <c r="S190" s="2486"/>
      <c r="T190" s="2487"/>
      <c r="U190" s="1203"/>
      <c r="V190" s="1203"/>
      <c r="W190" s="1203"/>
      <c r="X190" s="1203"/>
      <c r="Y190" s="1203"/>
      <c r="Z190" s="1203"/>
      <c r="AA190" s="1203"/>
      <c r="AB190" s="1203"/>
      <c r="AC190" s="1203"/>
      <c r="AD190" s="1203"/>
      <c r="AE190" s="1203"/>
      <c r="AF190" s="1203"/>
      <c r="AG190" s="1203"/>
      <c r="AH190" s="2488" t="s">
        <v>2250</v>
      </c>
      <c r="AI190" s="2489"/>
      <c r="AJ190" s="2489"/>
      <c r="AK190" s="2489"/>
      <c r="AL190" s="2489"/>
      <c r="AM190" s="2489"/>
      <c r="AN190" s="2489"/>
      <c r="AO190" s="2489"/>
      <c r="AP190" s="2489"/>
      <c r="AQ190" s="2489"/>
      <c r="AR190" s="2489"/>
      <c r="AS190" s="2489"/>
      <c r="AT190" s="2489"/>
      <c r="AU190" s="2489"/>
      <c r="AV190" s="2489"/>
      <c r="AW190" s="2489"/>
      <c r="AX190" s="2489"/>
      <c r="AY190" s="2489"/>
      <c r="AZ190" s="2489"/>
      <c r="BA190" s="2489"/>
      <c r="BB190" s="2489"/>
      <c r="BC190" s="2489"/>
      <c r="BD190" s="2489"/>
      <c r="BE190" s="2490"/>
    </row>
    <row r="191" spans="1:57" ht="15.75" customHeight="1" thickBot="1">
      <c r="A191" s="1203"/>
      <c r="B191" s="1203"/>
      <c r="C191" s="2494" t="s">
        <v>2249</v>
      </c>
      <c r="D191" s="2495"/>
      <c r="E191" s="2495"/>
      <c r="F191" s="2495"/>
      <c r="G191" s="2495"/>
      <c r="H191" s="2495"/>
      <c r="I191" s="2495"/>
      <c r="J191" s="2495"/>
      <c r="K191" s="2495"/>
      <c r="L191" s="2495"/>
      <c r="M191" s="2495"/>
      <c r="N191" s="2496">
        <f>(N180-N190)/J29</f>
        <v>457214.04201680672</v>
      </c>
      <c r="O191" s="2497"/>
      <c r="P191" s="2497"/>
      <c r="Q191" s="2497"/>
      <c r="R191" s="2497"/>
      <c r="S191" s="2497"/>
      <c r="T191" s="2498"/>
      <c r="U191" s="1211"/>
      <c r="V191" s="1203"/>
      <c r="W191" s="1203"/>
      <c r="X191" s="1203"/>
      <c r="Y191" s="1203"/>
      <c r="Z191" s="1203"/>
      <c r="AA191" s="1203"/>
      <c r="AB191" s="1203"/>
      <c r="AC191" s="1203"/>
      <c r="AD191" s="1203"/>
      <c r="AE191" s="1203"/>
      <c r="AF191" s="1203"/>
      <c r="AG191" s="1203"/>
      <c r="AH191" s="2491"/>
      <c r="AI191" s="2492"/>
      <c r="AJ191" s="2492"/>
      <c r="AK191" s="2492"/>
      <c r="AL191" s="2492"/>
      <c r="AM191" s="2492"/>
      <c r="AN191" s="2492"/>
      <c r="AO191" s="2492"/>
      <c r="AP191" s="2492"/>
      <c r="AQ191" s="2492"/>
      <c r="AR191" s="2492"/>
      <c r="AS191" s="2492"/>
      <c r="AT191" s="2492"/>
      <c r="AU191" s="2492"/>
      <c r="AV191" s="2492"/>
      <c r="AW191" s="2492"/>
      <c r="AX191" s="2492"/>
      <c r="AY191" s="2492"/>
      <c r="AZ191" s="2492"/>
      <c r="BA191" s="2492"/>
      <c r="BB191" s="2492"/>
      <c r="BC191" s="2492"/>
      <c r="BD191" s="2492"/>
      <c r="BE191" s="2493"/>
    </row>
    <row r="192" spans="1:57" ht="15.75" customHeight="1">
      <c r="A192" s="1203"/>
      <c r="B192" s="1203"/>
      <c r="C192" s="1203"/>
      <c r="D192" s="1203"/>
      <c r="E192" s="1203"/>
      <c r="F192" s="1203"/>
      <c r="G192" s="1203"/>
      <c r="H192" s="1203"/>
      <c r="I192" s="1203"/>
      <c r="J192" s="1203"/>
      <c r="K192" s="1203"/>
      <c r="L192" s="1203"/>
      <c r="M192" s="1203"/>
      <c r="N192" s="1203"/>
      <c r="O192" s="1203"/>
      <c r="P192" s="1203"/>
      <c r="Q192" s="1203"/>
      <c r="R192" s="1203"/>
      <c r="S192" s="1203"/>
      <c r="T192" s="1203"/>
      <c r="U192" s="1203"/>
      <c r="V192" s="1203"/>
      <c r="W192" s="1203"/>
      <c r="X192" s="1203"/>
      <c r="Y192" s="1203"/>
      <c r="Z192" s="1203"/>
      <c r="AA192" s="1203"/>
      <c r="AB192" s="1203"/>
      <c r="AC192" s="1203"/>
      <c r="AD192" s="1203"/>
      <c r="AE192" s="1203"/>
      <c r="AF192" s="1203"/>
      <c r="AG192" s="1203"/>
      <c r="AH192" s="2499"/>
      <c r="AI192" s="2499"/>
      <c r="AJ192" s="2499"/>
      <c r="AK192" s="2499"/>
      <c r="AL192" s="2499"/>
      <c r="AM192" s="2499"/>
      <c r="AN192" s="2499"/>
      <c r="AO192" s="2499"/>
      <c r="AP192" s="2499"/>
      <c r="AQ192" s="2499"/>
      <c r="AR192" s="2499"/>
      <c r="AS192" s="2500"/>
      <c r="AT192" s="2500"/>
      <c r="AU192" s="2500"/>
      <c r="AV192" s="2500"/>
      <c r="AW192" s="2500"/>
      <c r="AX192" s="2500"/>
      <c r="AY192" s="2500"/>
      <c r="AZ192" s="2500"/>
      <c r="BA192" s="2500"/>
      <c r="BB192" s="2500"/>
      <c r="BC192" s="2500"/>
      <c r="BD192" s="2500"/>
      <c r="BE192" s="1210"/>
    </row>
    <row r="193" spans="1:57" ht="15.75" customHeight="1" thickBot="1">
      <c r="A193" s="1203"/>
      <c r="B193" s="1203"/>
      <c r="C193" s="1203"/>
      <c r="D193" s="1203"/>
      <c r="E193" s="1203"/>
      <c r="F193" s="1203"/>
      <c r="G193" s="1203"/>
      <c r="H193" s="1203"/>
      <c r="I193" s="1203"/>
      <c r="J193" s="1203"/>
      <c r="K193" s="1203"/>
      <c r="L193" s="1203"/>
      <c r="M193" s="1203"/>
      <c r="N193" s="1203"/>
      <c r="O193" s="1203"/>
      <c r="P193" s="1203"/>
      <c r="Q193" s="1203"/>
      <c r="R193" s="1203"/>
      <c r="S193" s="1203"/>
      <c r="T193" s="1203"/>
      <c r="U193" s="1203"/>
      <c r="V193" s="1203"/>
      <c r="W193" s="1203"/>
      <c r="X193" s="1203"/>
      <c r="Y193" s="1203"/>
      <c r="Z193" s="1203"/>
      <c r="AA193" s="1203"/>
      <c r="AB193" s="1203"/>
      <c r="AC193" s="1203"/>
      <c r="AD193" s="1203"/>
      <c r="AE193" s="1203"/>
      <c r="AF193" s="1203"/>
      <c r="AG193" s="1203"/>
      <c r="AH193" s="1203"/>
      <c r="AI193" s="1203"/>
      <c r="AJ193" s="1203"/>
      <c r="AK193" s="1203"/>
      <c r="AL193" s="1203"/>
      <c r="AM193" s="1203"/>
      <c r="AN193" s="1203"/>
      <c r="AO193" s="1203"/>
      <c r="AP193" s="1203"/>
      <c r="AQ193" s="1203"/>
      <c r="AR193" s="1203"/>
      <c r="AS193" s="1203"/>
      <c r="AT193" s="1203"/>
      <c r="AU193" s="1203"/>
      <c r="AV193" s="1203"/>
      <c r="AW193" s="1203"/>
      <c r="AX193" s="1203"/>
      <c r="AY193" s="1203"/>
      <c r="AZ193" s="1203"/>
      <c r="BA193" s="1203"/>
      <c r="BB193" s="1203"/>
      <c r="BC193" s="1203"/>
      <c r="BD193" s="1203"/>
      <c r="BE193" s="1210"/>
    </row>
    <row r="194" spans="1:57" ht="15.75" customHeight="1" thickBot="1">
      <c r="A194" s="1203"/>
      <c r="B194" s="1203"/>
      <c r="C194" s="2518" t="s">
        <v>2248</v>
      </c>
      <c r="D194" s="2519"/>
      <c r="E194" s="2519"/>
      <c r="F194" s="2519"/>
      <c r="G194" s="2519"/>
      <c r="H194" s="2519"/>
      <c r="I194" s="2519"/>
      <c r="J194" s="2519"/>
      <c r="K194" s="2519"/>
      <c r="L194" s="2519"/>
      <c r="M194" s="2519"/>
      <c r="N194" s="2519"/>
      <c r="O194" s="2519"/>
      <c r="P194" s="2519"/>
      <c r="Q194" s="2519"/>
      <c r="R194" s="2519"/>
      <c r="S194" s="2519"/>
      <c r="T194" s="2519"/>
      <c r="U194" s="2519"/>
      <c r="V194" s="2519"/>
      <c r="W194" s="2519"/>
      <c r="X194" s="2519"/>
      <c r="Y194" s="2519"/>
      <c r="Z194" s="2519"/>
      <c r="AA194" s="2519"/>
      <c r="AB194" s="2519"/>
      <c r="AC194" s="2519"/>
      <c r="AD194" s="2519"/>
      <c r="AE194" s="2520"/>
      <c r="AF194" s="1203"/>
      <c r="AG194" s="1203"/>
      <c r="AH194" s="1203"/>
      <c r="AI194" s="1203"/>
      <c r="AJ194" s="1203"/>
      <c r="AK194" s="1203"/>
      <c r="AL194" s="1203"/>
      <c r="AM194" s="1203"/>
      <c r="AN194" s="1203"/>
      <c r="AO194" s="1203"/>
      <c r="AP194" s="1203"/>
      <c r="AQ194" s="1203"/>
      <c r="AR194" s="1203"/>
      <c r="AS194" s="1203"/>
      <c r="AT194" s="1203"/>
      <c r="AU194" s="1203"/>
      <c r="AV194" s="1203"/>
      <c r="AW194" s="1203"/>
      <c r="AX194" s="1203"/>
      <c r="AY194" s="1203"/>
      <c r="AZ194" s="1203"/>
      <c r="BA194" s="1203"/>
      <c r="BB194" s="1203"/>
      <c r="BC194" s="1203"/>
      <c r="BD194" s="1203"/>
      <c r="BE194" s="1210"/>
    </row>
    <row r="195" spans="1:57" ht="15.75" customHeight="1">
      <c r="A195" s="1203"/>
      <c r="B195" s="1203"/>
      <c r="C195" s="2521" t="s">
        <v>2247</v>
      </c>
      <c r="D195" s="2521"/>
      <c r="E195" s="2521"/>
      <c r="F195" s="2521"/>
      <c r="G195" s="2521"/>
      <c r="H195" s="2521"/>
      <c r="I195" s="2521"/>
      <c r="J195" s="2521"/>
      <c r="K195" s="2521"/>
      <c r="L195" s="2521"/>
      <c r="M195" s="2521"/>
      <c r="N195" s="2521"/>
      <c r="O195" s="2522" t="s">
        <v>2246</v>
      </c>
      <c r="P195" s="2522"/>
      <c r="Q195" s="2522"/>
      <c r="R195" s="2522"/>
      <c r="S195" s="2522"/>
      <c r="T195" s="2522"/>
      <c r="U195" s="2522"/>
      <c r="V195" s="2522"/>
      <c r="W195" s="2522"/>
      <c r="X195" s="2522" t="s">
        <v>2245</v>
      </c>
      <c r="Y195" s="2522"/>
      <c r="Z195" s="2522"/>
      <c r="AA195" s="2522"/>
      <c r="AB195" s="2522"/>
      <c r="AC195" s="2522"/>
      <c r="AD195" s="2522"/>
      <c r="AE195" s="2522"/>
      <c r="AF195" s="1203"/>
      <c r="AG195" s="1203"/>
      <c r="AH195" s="1203"/>
      <c r="AI195" s="1203"/>
      <c r="AJ195" s="1203"/>
      <c r="AK195" s="1203"/>
      <c r="AL195" s="1203"/>
      <c r="AM195" s="1203"/>
      <c r="AN195" s="1203"/>
      <c r="AO195" s="1203"/>
      <c r="AP195" s="1203"/>
      <c r="AQ195" s="1203"/>
      <c r="AR195" s="1203"/>
      <c r="AS195" s="1203"/>
      <c r="AT195" s="1203"/>
      <c r="AU195" s="1203"/>
      <c r="AV195" s="1203"/>
      <c r="AW195" s="1203"/>
      <c r="AX195" s="1203"/>
      <c r="AY195" s="1203"/>
      <c r="AZ195" s="1203"/>
      <c r="BA195" s="1203"/>
      <c r="BB195" s="1203"/>
      <c r="BC195" s="1203"/>
      <c r="BD195" s="1203"/>
      <c r="BE195" s="1210"/>
    </row>
    <row r="196" spans="1:57" ht="15.75" customHeight="1">
      <c r="A196" s="1203"/>
      <c r="B196" s="1203"/>
      <c r="C196" s="2513" t="s">
        <v>2244</v>
      </c>
      <c r="D196" s="2513"/>
      <c r="E196" s="2513"/>
      <c r="F196" s="2513"/>
      <c r="G196" s="2513"/>
      <c r="H196" s="2513"/>
      <c r="I196" s="2513"/>
      <c r="J196" s="2513"/>
      <c r="K196" s="2513"/>
      <c r="L196" s="2513"/>
      <c r="M196" s="2513"/>
      <c r="N196" s="2513"/>
      <c r="O196" s="2514">
        <v>17850</v>
      </c>
      <c r="P196" s="2514"/>
      <c r="Q196" s="2514"/>
      <c r="R196" s="2514"/>
      <c r="S196" s="2514"/>
      <c r="T196" s="2514"/>
      <c r="U196" s="2514"/>
      <c r="V196" s="2514"/>
      <c r="W196" s="2514"/>
      <c r="X196" s="2515">
        <v>0.03</v>
      </c>
      <c r="Y196" s="2515"/>
      <c r="Z196" s="2515"/>
      <c r="AA196" s="2515"/>
      <c r="AB196" s="2515"/>
      <c r="AC196" s="2515"/>
      <c r="AD196" s="2515"/>
      <c r="AE196" s="2515"/>
      <c r="AF196" s="1203"/>
      <c r="AG196" s="1203"/>
      <c r="AH196" s="1203"/>
      <c r="AI196" s="1203"/>
      <c r="AJ196" s="1203"/>
      <c r="AK196" s="1203"/>
      <c r="AL196" s="1203"/>
      <c r="AM196" s="1203"/>
      <c r="AN196" s="1203"/>
      <c r="AO196" s="1203"/>
      <c r="AP196" s="1203"/>
      <c r="AQ196" s="1203"/>
      <c r="AR196" s="1203"/>
      <c r="AS196" s="1203"/>
      <c r="AT196" s="1203"/>
      <c r="AU196" s="1203"/>
      <c r="AV196" s="1203"/>
      <c r="AW196" s="1203"/>
      <c r="AX196" s="1203"/>
      <c r="AY196" s="1203"/>
      <c r="AZ196" s="1203"/>
      <c r="BA196" s="1203"/>
      <c r="BB196" s="1203"/>
      <c r="BC196" s="1203"/>
      <c r="BD196" s="1203"/>
      <c r="BE196" s="1210"/>
    </row>
    <row r="197" spans="1:57" ht="15.75" customHeight="1">
      <c r="A197" s="1203"/>
      <c r="B197" s="1203"/>
      <c r="C197" s="2513" t="s">
        <v>853</v>
      </c>
      <c r="D197" s="2513"/>
      <c r="E197" s="2513"/>
      <c r="F197" s="2513"/>
      <c r="G197" s="2513"/>
      <c r="H197" s="2513"/>
      <c r="I197" s="2513"/>
      <c r="J197" s="2513"/>
      <c r="K197" s="2513"/>
      <c r="L197" s="2513"/>
      <c r="M197" s="2513"/>
      <c r="N197" s="2513"/>
      <c r="O197" s="2514">
        <v>10150</v>
      </c>
      <c r="P197" s="2514"/>
      <c r="Q197" s="2514"/>
      <c r="R197" s="2514"/>
      <c r="S197" s="2514"/>
      <c r="T197" s="2514"/>
      <c r="U197" s="2514"/>
      <c r="V197" s="2514"/>
      <c r="W197" s="2514"/>
      <c r="X197" s="2515">
        <v>0.03</v>
      </c>
      <c r="Y197" s="2515"/>
      <c r="Z197" s="2515"/>
      <c r="AA197" s="2515"/>
      <c r="AB197" s="2515"/>
      <c r="AC197" s="2515"/>
      <c r="AD197" s="2515"/>
      <c r="AE197" s="2515"/>
      <c r="AF197" s="1203"/>
      <c r="AG197" s="1203"/>
      <c r="AH197" s="1203"/>
      <c r="AI197" s="1203"/>
      <c r="AJ197" s="1203"/>
      <c r="AK197" s="1203"/>
      <c r="AL197" s="1203"/>
      <c r="AM197" s="1203"/>
      <c r="AN197" s="1203"/>
      <c r="AO197" s="1203"/>
      <c r="AP197" s="1203"/>
      <c r="AQ197" s="1203"/>
      <c r="AR197" s="1203"/>
      <c r="AS197" s="1203"/>
      <c r="AT197" s="1203"/>
      <c r="AU197" s="1203"/>
      <c r="AV197" s="1203"/>
      <c r="AW197" s="1203"/>
      <c r="AX197" s="1203"/>
      <c r="AY197" s="1203"/>
      <c r="AZ197" s="1203"/>
      <c r="BA197" s="1203"/>
      <c r="BB197" s="1203"/>
      <c r="BC197" s="1203"/>
      <c r="BD197" s="1203"/>
      <c r="BE197" s="1210"/>
    </row>
    <row r="198" spans="1:57" ht="15.75" customHeight="1">
      <c r="A198" s="1203"/>
      <c r="B198" s="1203"/>
      <c r="C198" s="2513" t="s">
        <v>2243</v>
      </c>
      <c r="D198" s="2513"/>
      <c r="E198" s="2513"/>
      <c r="F198" s="2513"/>
      <c r="G198" s="2513"/>
      <c r="H198" s="2513"/>
      <c r="I198" s="2513"/>
      <c r="J198" s="2513"/>
      <c r="K198" s="2513"/>
      <c r="L198" s="2513"/>
      <c r="M198" s="2513"/>
      <c r="N198" s="2513"/>
      <c r="O198" s="2516">
        <f>SUM(O196:W197)</f>
        <v>28000</v>
      </c>
      <c r="P198" s="2517"/>
      <c r="Q198" s="2517"/>
      <c r="R198" s="2517"/>
      <c r="S198" s="2517"/>
      <c r="T198" s="2517"/>
      <c r="U198" s="2517"/>
      <c r="V198" s="2517"/>
      <c r="W198" s="2517"/>
      <c r="X198" s="2517" t="s">
        <v>2242</v>
      </c>
      <c r="Y198" s="2517"/>
      <c r="Z198" s="2517"/>
      <c r="AA198" s="2517"/>
      <c r="AB198" s="2517"/>
      <c r="AC198" s="2517"/>
      <c r="AD198" s="2517"/>
      <c r="AE198" s="2517"/>
      <c r="AF198" s="1203"/>
      <c r="AG198" s="1203"/>
      <c r="AH198" s="1203"/>
      <c r="AI198" s="1203"/>
      <c r="AJ198" s="1203"/>
      <c r="AK198" s="1203"/>
      <c r="AL198" s="1203"/>
      <c r="AM198" s="1203"/>
      <c r="AN198" s="1203"/>
      <c r="AO198" s="1203"/>
      <c r="AP198" s="1203"/>
      <c r="AQ198" s="1203"/>
      <c r="AR198" s="1203"/>
      <c r="AS198" s="1203"/>
      <c r="AT198" s="1203"/>
      <c r="AU198" s="1203"/>
      <c r="AV198" s="1203"/>
      <c r="AW198" s="1203"/>
      <c r="AX198" s="1203"/>
      <c r="AY198" s="1203"/>
      <c r="AZ198" s="1203"/>
      <c r="BA198" s="1203"/>
      <c r="BB198" s="1203"/>
      <c r="BC198" s="1203"/>
      <c r="BD198" s="1203"/>
      <c r="BE198" s="1210"/>
    </row>
    <row r="199" spans="1:57" ht="15.75" customHeight="1">
      <c r="A199" s="1203"/>
      <c r="B199" s="1203"/>
      <c r="C199" s="2523" t="s">
        <v>2241</v>
      </c>
      <c r="D199" s="2523"/>
      <c r="E199" s="2523"/>
      <c r="F199" s="2523"/>
      <c r="G199" s="2523"/>
      <c r="H199" s="2523"/>
      <c r="I199" s="2523"/>
      <c r="J199" s="2523"/>
      <c r="K199" s="2523"/>
      <c r="L199" s="2523"/>
      <c r="M199" s="2523"/>
      <c r="N199" s="2523"/>
      <c r="O199" s="2523"/>
      <c r="P199" s="2523"/>
      <c r="Q199" s="2523"/>
      <c r="R199" s="2523"/>
      <c r="S199" s="2523"/>
      <c r="T199" s="2523"/>
      <c r="U199" s="2523"/>
      <c r="V199" s="2523"/>
      <c r="W199" s="2523"/>
      <c r="X199" s="2523"/>
      <c r="Y199" s="2523"/>
      <c r="Z199" s="2523"/>
      <c r="AA199" s="2523"/>
      <c r="AB199" s="2523"/>
      <c r="AC199" s="2523"/>
      <c r="AD199" s="2523"/>
      <c r="AE199" s="2523"/>
      <c r="AF199" s="1203"/>
      <c r="AG199" s="1203"/>
      <c r="AH199" s="1203"/>
      <c r="AI199" s="1203"/>
      <c r="AJ199" s="1203"/>
      <c r="AK199" s="1203"/>
      <c r="AL199" s="1203"/>
      <c r="AM199" s="1203"/>
      <c r="AN199" s="1203"/>
      <c r="AO199" s="1203"/>
      <c r="AP199" s="1203"/>
      <c r="AQ199" s="1203"/>
      <c r="AR199" s="1203"/>
      <c r="AS199" s="1203"/>
      <c r="AT199" s="1203"/>
      <c r="AU199" s="1203"/>
      <c r="AV199" s="1203"/>
      <c r="AW199" s="1203"/>
      <c r="AX199" s="1203"/>
      <c r="AY199" s="1203"/>
      <c r="AZ199" s="1203"/>
      <c r="BA199" s="1203"/>
      <c r="BB199" s="1203"/>
      <c r="BC199" s="1203"/>
      <c r="BD199" s="1203"/>
      <c r="BE199" s="1210"/>
    </row>
    <row r="200" spans="1:57" ht="15.75" customHeight="1" thickBot="1">
      <c r="A200" s="1203"/>
      <c r="B200" s="1203"/>
      <c r="C200" s="1203"/>
      <c r="D200" s="1203"/>
      <c r="E200" s="1203"/>
      <c r="F200" s="1203"/>
      <c r="G200" s="1203"/>
      <c r="H200" s="1203"/>
      <c r="I200" s="1203"/>
      <c r="J200" s="1203"/>
      <c r="K200" s="1203"/>
      <c r="L200" s="1203"/>
      <c r="M200" s="1203"/>
      <c r="N200" s="1203"/>
      <c r="O200" s="1203"/>
      <c r="P200" s="1203"/>
      <c r="Q200" s="1203"/>
      <c r="R200" s="1203"/>
      <c r="S200" s="1203"/>
      <c r="T200" s="1203"/>
      <c r="U200" s="1203"/>
      <c r="V200" s="1203"/>
      <c r="W200" s="1203"/>
      <c r="X200" s="1203"/>
      <c r="Y200" s="1203"/>
      <c r="Z200" s="1203"/>
      <c r="AA200" s="1203"/>
      <c r="AB200" s="1203"/>
      <c r="AC200" s="1203"/>
      <c r="AD200" s="1203"/>
      <c r="AE200" s="1203"/>
      <c r="AF200" s="1203"/>
      <c r="AG200" s="1203"/>
      <c r="AH200" s="1203"/>
      <c r="AI200" s="1203"/>
      <c r="AJ200" s="1203"/>
      <c r="AK200" s="1203"/>
      <c r="AL200" s="1203"/>
      <c r="AM200" s="1203"/>
      <c r="AN200" s="1203"/>
      <c r="AO200" s="1203"/>
      <c r="AP200" s="1203"/>
      <c r="AQ200" s="1203"/>
      <c r="AR200" s="1203"/>
      <c r="AS200" s="1203"/>
      <c r="AT200" s="1203"/>
      <c r="AU200" s="1203"/>
      <c r="AV200" s="1203"/>
      <c r="AW200" s="1203"/>
      <c r="AX200" s="1203"/>
      <c r="AY200" s="1203"/>
      <c r="AZ200" s="1203"/>
      <c r="BA200" s="1203"/>
      <c r="BB200" s="1203"/>
      <c r="BC200" s="1203"/>
      <c r="BD200" s="1203"/>
      <c r="BE200" s="1210"/>
    </row>
    <row r="201" spans="1:57" ht="15.75" customHeight="1" thickBot="1">
      <c r="A201" s="1203"/>
      <c r="B201" s="1203"/>
      <c r="C201" s="2524" t="s">
        <v>2240</v>
      </c>
      <c r="D201" s="2525"/>
      <c r="E201" s="2525"/>
      <c r="F201" s="2525"/>
      <c r="G201" s="2525"/>
      <c r="H201" s="2525"/>
      <c r="I201" s="2525"/>
      <c r="J201" s="2525"/>
      <c r="K201" s="2525"/>
      <c r="L201" s="2525"/>
      <c r="M201" s="2525"/>
      <c r="N201" s="2525"/>
      <c r="O201" s="2525"/>
      <c r="P201" s="2525"/>
      <c r="Q201" s="2525"/>
      <c r="R201" s="2525"/>
      <c r="S201" s="2525"/>
      <c r="T201" s="2525"/>
      <c r="U201" s="2525"/>
      <c r="V201" s="2525"/>
      <c r="W201" s="2525"/>
      <c r="X201" s="2525"/>
      <c r="Y201" s="2525"/>
      <c r="Z201" s="2525"/>
      <c r="AA201" s="2525"/>
      <c r="AB201" s="2525"/>
      <c r="AC201" s="2525"/>
      <c r="AD201" s="2525"/>
      <c r="AE201" s="2525"/>
      <c r="AF201" s="2525"/>
      <c r="AG201" s="2525"/>
      <c r="AH201" s="2525"/>
      <c r="AI201" s="2525"/>
      <c r="AJ201" s="2525"/>
      <c r="AK201" s="2526"/>
      <c r="AL201" s="1203"/>
      <c r="AM201" s="1203"/>
      <c r="AN201" s="1203"/>
      <c r="AO201" s="1203"/>
      <c r="AP201" s="1203"/>
      <c r="AQ201" s="1203"/>
      <c r="AR201" s="1203"/>
      <c r="AS201" s="1203"/>
      <c r="AT201" s="1203"/>
      <c r="AU201" s="1203"/>
      <c r="AV201" s="1203"/>
      <c r="AW201" s="1203"/>
      <c r="AX201" s="1203"/>
      <c r="AY201" s="1203"/>
      <c r="AZ201" s="1203"/>
      <c r="BA201" s="1203"/>
      <c r="BB201" s="1203"/>
      <c r="BC201" s="1203"/>
      <c r="BD201" s="1203"/>
      <c r="BE201" s="1210"/>
    </row>
    <row r="202" spans="1:57" ht="15.75" customHeight="1">
      <c r="A202" s="1203"/>
      <c r="B202" s="1203"/>
      <c r="C202" s="2527" t="s">
        <v>2239</v>
      </c>
      <c r="D202" s="2528"/>
      <c r="E202" s="2528"/>
      <c r="F202" s="2529"/>
      <c r="G202" s="2533" t="s">
        <v>2238</v>
      </c>
      <c r="H202" s="2528"/>
      <c r="I202" s="2528"/>
      <c r="J202" s="2528"/>
      <c r="K202" s="2528"/>
      <c r="L202" s="2528"/>
      <c r="M202" s="2528"/>
      <c r="N202" s="2528"/>
      <c r="O202" s="2529"/>
      <c r="P202" s="2535" t="s">
        <v>2237</v>
      </c>
      <c r="Q202" s="2536"/>
      <c r="R202" s="2536"/>
      <c r="S202" s="2536"/>
      <c r="T202" s="2537"/>
      <c r="U202" s="2541" t="s">
        <v>2236</v>
      </c>
      <c r="V202" s="2542"/>
      <c r="W202" s="2542"/>
      <c r="X202" s="2543"/>
      <c r="Y202" s="2541" t="s">
        <v>2235</v>
      </c>
      <c r="Z202" s="2542"/>
      <c r="AA202" s="2542"/>
      <c r="AB202" s="2543"/>
      <c r="AC202" s="2541" t="s">
        <v>2234</v>
      </c>
      <c r="AD202" s="2542"/>
      <c r="AE202" s="2542"/>
      <c r="AF202" s="2543"/>
      <c r="AG202" s="2533" t="s">
        <v>2233</v>
      </c>
      <c r="AH202" s="2528"/>
      <c r="AI202" s="2528"/>
      <c r="AJ202" s="2528"/>
      <c r="AK202" s="2547"/>
      <c r="AL202" s="1203"/>
      <c r="AM202" s="1203"/>
      <c r="AN202" s="1203"/>
      <c r="AO202" s="1203"/>
      <c r="AP202" s="1203"/>
      <c r="AQ202" s="1203"/>
      <c r="AR202" s="1203"/>
      <c r="AS202" s="1203"/>
      <c r="AT202" s="1203"/>
      <c r="AU202" s="1203"/>
      <c r="AV202" s="1203"/>
      <c r="AW202" s="1203"/>
      <c r="AX202" s="1203"/>
      <c r="AY202" s="1203"/>
      <c r="AZ202" s="1203"/>
      <c r="BA202" s="1203"/>
      <c r="BB202" s="1203"/>
      <c r="BC202" s="1203"/>
      <c r="BD202" s="1203"/>
      <c r="BE202" s="1210"/>
    </row>
    <row r="203" spans="1:57" ht="15.75" customHeight="1">
      <c r="A203" s="1203"/>
      <c r="B203" s="1203"/>
      <c r="C203" s="2530"/>
      <c r="D203" s="2531"/>
      <c r="E203" s="2531"/>
      <c r="F203" s="2532"/>
      <c r="G203" s="2534"/>
      <c r="H203" s="2531"/>
      <c r="I203" s="2531"/>
      <c r="J203" s="2531"/>
      <c r="K203" s="2531"/>
      <c r="L203" s="2531"/>
      <c r="M203" s="2531"/>
      <c r="N203" s="2531"/>
      <c r="O203" s="2532"/>
      <c r="P203" s="2538"/>
      <c r="Q203" s="2539"/>
      <c r="R203" s="2539"/>
      <c r="S203" s="2539"/>
      <c r="T203" s="2540"/>
      <c r="U203" s="2544"/>
      <c r="V203" s="2545"/>
      <c r="W203" s="2545"/>
      <c r="X203" s="2546"/>
      <c r="Y203" s="2544"/>
      <c r="Z203" s="2545"/>
      <c r="AA203" s="2545"/>
      <c r="AB203" s="2546"/>
      <c r="AC203" s="2544"/>
      <c r="AD203" s="2545"/>
      <c r="AE203" s="2545"/>
      <c r="AF203" s="2546"/>
      <c r="AG203" s="2534"/>
      <c r="AH203" s="2531"/>
      <c r="AI203" s="2531"/>
      <c r="AJ203" s="2531"/>
      <c r="AK203" s="2548"/>
      <c r="AL203" s="1203"/>
      <c r="AM203" s="1203"/>
      <c r="AN203" s="1203"/>
      <c r="AO203" s="1203"/>
      <c r="AP203" s="1203"/>
      <c r="AQ203" s="1203"/>
      <c r="AR203" s="1203"/>
      <c r="AS203" s="1203"/>
      <c r="AT203" s="1203"/>
      <c r="AU203" s="1203"/>
      <c r="AV203" s="1203"/>
      <c r="AW203" s="1203"/>
      <c r="AX203" s="1203"/>
      <c r="AY203" s="1203"/>
      <c r="AZ203" s="1203"/>
      <c r="BA203" s="1203"/>
      <c r="BB203" s="1203"/>
      <c r="BC203" s="1203"/>
      <c r="BD203" s="1203"/>
      <c r="BE203" s="1210"/>
    </row>
    <row r="204" spans="1:57" ht="15.75" customHeight="1">
      <c r="A204" s="1203"/>
      <c r="B204" s="1203"/>
      <c r="C204" s="2552">
        <v>1</v>
      </c>
      <c r="D204" s="2553"/>
      <c r="E204" s="2553"/>
      <c r="F204" s="2553"/>
      <c r="G204" s="2554" t="s">
        <v>2773</v>
      </c>
      <c r="H204" s="2554"/>
      <c r="I204" s="2554"/>
      <c r="J204" s="2554"/>
      <c r="K204" s="2554"/>
      <c r="L204" s="2554"/>
      <c r="M204" s="2554"/>
      <c r="N204" s="2554"/>
      <c r="O204" s="2554"/>
      <c r="P204" s="2555">
        <v>46388</v>
      </c>
      <c r="Q204" s="2558"/>
      <c r="R204" s="2558"/>
      <c r="S204" s="2558"/>
      <c r="T204" s="2558"/>
      <c r="U204" s="2556">
        <f>Application!AM564</f>
        <v>13309329</v>
      </c>
      <c r="V204" s="2556"/>
      <c r="W204" s="2556"/>
      <c r="X204" s="2556"/>
      <c r="Y204" s="2556">
        <v>800000</v>
      </c>
      <c r="Z204" s="2556"/>
      <c r="AA204" s="2556"/>
      <c r="AB204" s="2556"/>
      <c r="AC204" s="2557">
        <f>Y204/7000000</f>
        <v>0.11428571428571428</v>
      </c>
      <c r="AD204" s="2557"/>
      <c r="AE204" s="2557"/>
      <c r="AF204" s="2557"/>
      <c r="AG204" s="2549" t="s">
        <v>2779</v>
      </c>
      <c r="AH204" s="2550"/>
      <c r="AI204" s="2550"/>
      <c r="AJ204" s="2550"/>
      <c r="AK204" s="2551"/>
      <c r="AL204" s="1203"/>
      <c r="AM204" s="1203"/>
      <c r="AN204" s="1203"/>
      <c r="AO204" s="1203"/>
      <c r="AP204" s="1203"/>
      <c r="AQ204" s="1203"/>
      <c r="AR204" s="1203"/>
      <c r="AS204" s="1203"/>
      <c r="AT204" s="1203"/>
      <c r="AU204" s="1203"/>
      <c r="AV204" s="1203"/>
      <c r="AW204" s="1203"/>
      <c r="AX204" s="1203"/>
      <c r="AY204" s="1203"/>
      <c r="AZ204" s="1203"/>
      <c r="BA204" s="1203"/>
      <c r="BB204" s="1203"/>
      <c r="BC204" s="1203"/>
      <c r="BD204" s="1203"/>
      <c r="BE204" s="1210"/>
    </row>
    <row r="205" spans="1:57" ht="15.75" customHeight="1">
      <c r="A205" s="1203"/>
      <c r="B205" s="1203"/>
      <c r="C205" s="2552">
        <v>2</v>
      </c>
      <c r="D205" s="2553"/>
      <c r="E205" s="2553"/>
      <c r="F205" s="2553"/>
      <c r="G205" s="2554" t="s">
        <v>2774</v>
      </c>
      <c r="H205" s="2554"/>
      <c r="I205" s="2554"/>
      <c r="J205" s="2554"/>
      <c r="K205" s="2554"/>
      <c r="L205" s="2554"/>
      <c r="M205" s="2554"/>
      <c r="N205" s="2554"/>
      <c r="O205" s="2554"/>
      <c r="P205" s="2555">
        <v>46661</v>
      </c>
      <c r="Q205" s="2555"/>
      <c r="R205" s="2555"/>
      <c r="S205" s="2555"/>
      <c r="T205" s="2555"/>
      <c r="U205" s="2556">
        <v>0</v>
      </c>
      <c r="V205" s="2556"/>
      <c r="W205" s="2556"/>
      <c r="X205" s="2556"/>
      <c r="Y205" s="2556">
        <v>800000</v>
      </c>
      <c r="Z205" s="2556"/>
      <c r="AA205" s="2556"/>
      <c r="AB205" s="2556"/>
      <c r="AC205" s="2557">
        <f t="shared" ref="AC205:AC209" si="4">Y205/7000000</f>
        <v>0.11428571428571428</v>
      </c>
      <c r="AD205" s="2557"/>
      <c r="AE205" s="2557"/>
      <c r="AF205" s="2557"/>
      <c r="AG205" s="2549" t="s">
        <v>2779</v>
      </c>
      <c r="AH205" s="2550"/>
      <c r="AI205" s="2550"/>
      <c r="AJ205" s="2550"/>
      <c r="AK205" s="2551"/>
      <c r="AL205" s="1203"/>
      <c r="AM205" s="1203"/>
      <c r="AN205" s="1203"/>
      <c r="AO205" s="1203"/>
      <c r="AP205" s="1203"/>
      <c r="AQ205" s="1203"/>
      <c r="AR205" s="1203"/>
      <c r="AS205" s="1203"/>
      <c r="AT205" s="1203"/>
      <c r="AU205" s="1203"/>
      <c r="AV205" s="1203"/>
      <c r="AW205" s="1203"/>
      <c r="AX205" s="1203"/>
      <c r="AY205" s="1203"/>
      <c r="AZ205" s="1203"/>
      <c r="BA205" s="1203"/>
      <c r="BB205" s="1203"/>
      <c r="BC205" s="1203"/>
      <c r="BD205" s="1203"/>
      <c r="BE205" s="1210"/>
    </row>
    <row r="206" spans="1:57" ht="15.75" customHeight="1">
      <c r="A206" s="1203"/>
      <c r="B206" s="1203"/>
      <c r="C206" s="2552">
        <v>3</v>
      </c>
      <c r="D206" s="2553"/>
      <c r="E206" s="2553"/>
      <c r="F206" s="2553"/>
      <c r="G206" s="2554" t="s">
        <v>2775</v>
      </c>
      <c r="H206" s="2554"/>
      <c r="I206" s="2554"/>
      <c r="J206" s="2554"/>
      <c r="K206" s="2554"/>
      <c r="L206" s="2554"/>
      <c r="M206" s="2554"/>
      <c r="N206" s="2554"/>
      <c r="O206" s="2554"/>
      <c r="P206" s="2555">
        <v>46997</v>
      </c>
      <c r="Q206" s="2555"/>
      <c r="R206" s="2555"/>
      <c r="S206" s="2555"/>
      <c r="T206" s="2555"/>
      <c r="U206" s="2556">
        <v>0</v>
      </c>
      <c r="V206" s="2556"/>
      <c r="W206" s="2556"/>
      <c r="X206" s="2556"/>
      <c r="Y206" s="2556">
        <v>800000</v>
      </c>
      <c r="Z206" s="2556"/>
      <c r="AA206" s="2556"/>
      <c r="AB206" s="2556"/>
      <c r="AC206" s="2557">
        <f t="shared" si="4"/>
        <v>0.11428571428571428</v>
      </c>
      <c r="AD206" s="2557"/>
      <c r="AE206" s="2557"/>
      <c r="AF206" s="2557"/>
      <c r="AG206" s="2549" t="s">
        <v>2779</v>
      </c>
      <c r="AH206" s="2550"/>
      <c r="AI206" s="2550"/>
      <c r="AJ206" s="2550"/>
      <c r="AK206" s="2551"/>
      <c r="AL206" s="1203"/>
      <c r="AM206" s="1203"/>
      <c r="AN206" s="1203"/>
      <c r="AO206" s="1203"/>
      <c r="AP206" s="1203"/>
      <c r="AQ206" s="1203"/>
      <c r="AR206" s="1203"/>
      <c r="AS206" s="1203"/>
      <c r="AT206" s="1203"/>
      <c r="AU206" s="1203"/>
      <c r="AV206" s="1203"/>
      <c r="AW206" s="1203"/>
      <c r="AX206" s="1203"/>
      <c r="AY206" s="1203"/>
      <c r="AZ206" s="1203"/>
      <c r="BA206" s="1203"/>
      <c r="BB206" s="1203"/>
      <c r="BC206" s="1203"/>
      <c r="BD206" s="1203"/>
      <c r="BE206" s="1210"/>
    </row>
    <row r="207" spans="1:57" ht="15.75" customHeight="1">
      <c r="A207" s="1203"/>
      <c r="B207" s="1203"/>
      <c r="C207" s="2552">
        <v>4</v>
      </c>
      <c r="D207" s="2553"/>
      <c r="E207" s="2553"/>
      <c r="F207" s="2553"/>
      <c r="G207" s="2554" t="s">
        <v>2778</v>
      </c>
      <c r="H207" s="2554"/>
      <c r="I207" s="2554"/>
      <c r="J207" s="2554"/>
      <c r="K207" s="2554"/>
      <c r="L207" s="2554"/>
      <c r="M207" s="2554"/>
      <c r="N207" s="2554"/>
      <c r="O207" s="2554"/>
      <c r="P207" s="2555">
        <v>47178</v>
      </c>
      <c r="Q207" s="2555"/>
      <c r="R207" s="2555"/>
      <c r="S207" s="2555"/>
      <c r="T207" s="2555"/>
      <c r="U207" s="2556">
        <f>Application!$AO$648-SUM(U204:X206)-U208</f>
        <v>24567347</v>
      </c>
      <c r="V207" s="2556"/>
      <c r="W207" s="2556"/>
      <c r="X207" s="2556"/>
      <c r="Y207" s="2556">
        <v>950000</v>
      </c>
      <c r="Z207" s="2556"/>
      <c r="AA207" s="2556"/>
      <c r="AB207" s="2556"/>
      <c r="AC207" s="2557">
        <f t="shared" si="4"/>
        <v>0.1357142857142857</v>
      </c>
      <c r="AD207" s="2557"/>
      <c r="AE207" s="2557"/>
      <c r="AF207" s="2557"/>
      <c r="AG207" s="2549" t="s">
        <v>2779</v>
      </c>
      <c r="AH207" s="2550"/>
      <c r="AI207" s="2550"/>
      <c r="AJ207" s="2550"/>
      <c r="AK207" s="2551"/>
      <c r="AL207" s="1203"/>
      <c r="AM207" s="1203"/>
      <c r="AN207" s="1203"/>
      <c r="AO207" s="1203"/>
      <c r="AP207" s="1203"/>
      <c r="AQ207" s="1203"/>
      <c r="AR207" s="1203"/>
      <c r="AS207" s="1203"/>
      <c r="AT207" s="1203"/>
      <c r="AU207" s="1203"/>
      <c r="AV207" s="1203"/>
      <c r="AW207" s="1203"/>
      <c r="AX207" s="1203"/>
      <c r="AY207" s="1203"/>
      <c r="AZ207" s="1203"/>
      <c r="BA207" s="1203"/>
      <c r="BB207" s="1203"/>
      <c r="BC207" s="1203"/>
      <c r="BD207" s="1203"/>
      <c r="BE207" s="1210"/>
    </row>
    <row r="208" spans="1:57" ht="15.75" customHeight="1">
      <c r="A208" s="1203"/>
      <c r="B208" s="1203"/>
      <c r="C208" s="2552">
        <v>5</v>
      </c>
      <c r="D208" s="2553"/>
      <c r="E208" s="2553"/>
      <c r="F208" s="2553"/>
      <c r="G208" s="2554" t="s">
        <v>2776</v>
      </c>
      <c r="H208" s="2554"/>
      <c r="I208" s="2554"/>
      <c r="J208" s="2554"/>
      <c r="K208" s="2554"/>
      <c r="L208" s="2554"/>
      <c r="M208" s="2554"/>
      <c r="N208" s="2554"/>
      <c r="O208" s="2554"/>
      <c r="P208" s="2555">
        <v>47483</v>
      </c>
      <c r="Q208" s="2555"/>
      <c r="R208" s="2555"/>
      <c r="S208" s="2555"/>
      <c r="T208" s="2555"/>
      <c r="U208" s="2556">
        <f>Y208</f>
        <v>150000</v>
      </c>
      <c r="V208" s="2556"/>
      <c r="W208" s="2556"/>
      <c r="X208" s="2556"/>
      <c r="Y208" s="2556">
        <v>150000</v>
      </c>
      <c r="Z208" s="2556"/>
      <c r="AA208" s="2556"/>
      <c r="AB208" s="2556"/>
      <c r="AC208" s="2557">
        <f t="shared" si="4"/>
        <v>2.1428571428571429E-2</v>
      </c>
      <c r="AD208" s="2557"/>
      <c r="AE208" s="2557"/>
      <c r="AF208" s="2557"/>
      <c r="AG208" s="2549" t="s">
        <v>2779</v>
      </c>
      <c r="AH208" s="2550"/>
      <c r="AI208" s="2550"/>
      <c r="AJ208" s="2550"/>
      <c r="AK208" s="2551"/>
      <c r="AL208" s="1203"/>
      <c r="AM208" s="1203"/>
      <c r="AN208" s="1203"/>
      <c r="AO208" s="1203"/>
      <c r="AP208" s="1203"/>
      <c r="AQ208" s="1203"/>
      <c r="AR208" s="1203"/>
      <c r="AS208" s="1203"/>
      <c r="AT208" s="1203"/>
      <c r="AU208" s="1203"/>
      <c r="AV208" s="1203"/>
      <c r="AW208" s="1203"/>
      <c r="AX208" s="1203"/>
      <c r="AY208" s="1203"/>
      <c r="AZ208" s="1203"/>
      <c r="BA208" s="1203"/>
      <c r="BB208" s="1203"/>
      <c r="BC208" s="1203"/>
      <c r="BD208" s="1203"/>
      <c r="BE208" s="1210"/>
    </row>
    <row r="209" spans="1:57" ht="15.75" customHeight="1">
      <c r="A209" s="1203"/>
      <c r="B209" s="1203"/>
      <c r="C209" s="2552">
        <v>6</v>
      </c>
      <c r="D209" s="2553"/>
      <c r="E209" s="2553"/>
      <c r="F209" s="2553"/>
      <c r="G209" s="2554" t="s">
        <v>2777</v>
      </c>
      <c r="H209" s="2554"/>
      <c r="I209" s="2554"/>
      <c r="J209" s="2554"/>
      <c r="K209" s="2554"/>
      <c r="L209" s="2554"/>
      <c r="M209" s="2554"/>
      <c r="N209" s="2554"/>
      <c r="O209" s="2554"/>
      <c r="P209" s="2555">
        <v>47178</v>
      </c>
      <c r="Q209" s="2555"/>
      <c r="R209" s="2555"/>
      <c r="S209" s="2555"/>
      <c r="T209" s="2555"/>
      <c r="U209" s="2556"/>
      <c r="V209" s="2556"/>
      <c r="W209" s="2556"/>
      <c r="X209" s="2556"/>
      <c r="Y209" s="2556">
        <v>3500000</v>
      </c>
      <c r="Z209" s="2556"/>
      <c r="AA209" s="2556"/>
      <c r="AB209" s="2556"/>
      <c r="AC209" s="2557">
        <f t="shared" si="4"/>
        <v>0.5</v>
      </c>
      <c r="AD209" s="2557"/>
      <c r="AE209" s="2557"/>
      <c r="AF209" s="2557"/>
      <c r="AG209" s="2549" t="s">
        <v>457</v>
      </c>
      <c r="AH209" s="2550"/>
      <c r="AI209" s="2550"/>
      <c r="AJ209" s="2550"/>
      <c r="AK209" s="2551"/>
      <c r="AL209" s="1203"/>
      <c r="AM209" s="1203"/>
      <c r="AN209" s="1203"/>
      <c r="AO209" s="1203"/>
      <c r="AP209" s="1203"/>
      <c r="AQ209" s="1203"/>
      <c r="AR209" s="1203"/>
      <c r="AS209" s="1203"/>
      <c r="AT209" s="1203"/>
      <c r="AU209" s="1203"/>
      <c r="AV209" s="1203"/>
      <c r="AW209" s="1203"/>
      <c r="AX209" s="1203"/>
      <c r="AY209" s="1203"/>
      <c r="AZ209" s="1203"/>
      <c r="BA209" s="1203"/>
      <c r="BB209" s="1203"/>
      <c r="BC209" s="1203"/>
      <c r="BD209" s="1203"/>
      <c r="BE209" s="1210"/>
    </row>
    <row r="210" spans="1:57" ht="15.75" customHeight="1">
      <c r="A210" s="1203"/>
      <c r="B210" s="1203"/>
      <c r="C210" s="2552">
        <v>7</v>
      </c>
      <c r="D210" s="2553"/>
      <c r="E210" s="2553"/>
      <c r="F210" s="2553"/>
      <c r="G210" s="2554"/>
      <c r="H210" s="2554"/>
      <c r="I210" s="2554"/>
      <c r="J210" s="2554"/>
      <c r="K210" s="2554"/>
      <c r="L210" s="2554"/>
      <c r="M210" s="2554"/>
      <c r="N210" s="2554"/>
      <c r="O210" s="2554"/>
      <c r="P210" s="2555"/>
      <c r="Q210" s="2555"/>
      <c r="R210" s="2555"/>
      <c r="S210" s="2555"/>
      <c r="T210" s="2555"/>
      <c r="U210" s="2556"/>
      <c r="V210" s="2556"/>
      <c r="W210" s="2556"/>
      <c r="X210" s="2556"/>
      <c r="Y210" s="2556"/>
      <c r="Z210" s="2556"/>
      <c r="AA210" s="2556"/>
      <c r="AB210" s="2556"/>
      <c r="AC210" s="2557" t="s">
        <v>1855</v>
      </c>
      <c r="AD210" s="2557"/>
      <c r="AE210" s="2557"/>
      <c r="AF210" s="2557"/>
      <c r="AG210" s="2549"/>
      <c r="AH210" s="2550"/>
      <c r="AI210" s="2550"/>
      <c r="AJ210" s="2550"/>
      <c r="AK210" s="2551"/>
      <c r="AL210" s="1203"/>
      <c r="AM210" s="1203"/>
      <c r="AN210" s="1203"/>
      <c r="AO210" s="1203"/>
      <c r="AP210" s="1203"/>
      <c r="AQ210" s="1203"/>
      <c r="AR210" s="1203"/>
      <c r="AS210" s="1203"/>
      <c r="AT210" s="1203"/>
      <c r="AU210" s="1203"/>
      <c r="AV210" s="1203"/>
      <c r="AW210" s="1203"/>
      <c r="AX210" s="1203"/>
      <c r="AY210" s="1203"/>
      <c r="AZ210" s="1203"/>
      <c r="BA210" s="1203"/>
      <c r="BB210" s="1203"/>
      <c r="BC210" s="1203"/>
      <c r="BD210" s="1203"/>
      <c r="BE210" s="1210"/>
    </row>
    <row r="211" spans="1:57" ht="15.75" customHeight="1">
      <c r="A211" s="1203"/>
      <c r="B211" s="1203"/>
      <c r="C211" s="2571" t="s">
        <v>2232</v>
      </c>
      <c r="D211" s="2572"/>
      <c r="E211" s="2572"/>
      <c r="F211" s="2572"/>
      <c r="G211" s="2572"/>
      <c r="H211" s="2572"/>
      <c r="I211" s="2572"/>
      <c r="J211" s="2572"/>
      <c r="K211" s="2572"/>
      <c r="L211" s="2572"/>
      <c r="M211" s="2572"/>
      <c r="N211" s="2572"/>
      <c r="O211" s="2572"/>
      <c r="P211" s="2573"/>
      <c r="Q211" s="2573"/>
      <c r="R211" s="2573"/>
      <c r="S211" s="2573"/>
      <c r="T211" s="2573"/>
      <c r="U211" s="2574">
        <f>-SUM(U204:U210)</f>
        <v>-38026676</v>
      </c>
      <c r="V211" s="2574"/>
      <c r="W211" s="2574"/>
      <c r="X211" s="2574"/>
      <c r="Y211" s="2574">
        <f>-SUM(Y204:Y210)</f>
        <v>-7000000</v>
      </c>
      <c r="Z211" s="2574"/>
      <c r="AA211" s="2574"/>
      <c r="AB211" s="2574"/>
      <c r="AC211" s="2575">
        <f>-SUM(AC204:AC210)</f>
        <v>-1</v>
      </c>
      <c r="AD211" s="2575"/>
      <c r="AE211" s="2575"/>
      <c r="AF211" s="2575"/>
      <c r="AG211" s="2576"/>
      <c r="AH211" s="2577"/>
      <c r="AI211" s="2577"/>
      <c r="AJ211" s="2577"/>
      <c r="AK211" s="2578"/>
      <c r="AL211" s="1203"/>
      <c r="AM211" s="1203"/>
      <c r="AN211" s="1203"/>
      <c r="AO211" s="1203"/>
      <c r="AP211" s="1203"/>
      <c r="AQ211" s="1203"/>
      <c r="AR211" s="1203"/>
      <c r="AS211" s="1203"/>
      <c r="AT211" s="1203"/>
      <c r="AU211" s="1203"/>
      <c r="AV211" s="1203"/>
      <c r="AW211" s="1203"/>
      <c r="AX211" s="1203"/>
      <c r="AY211" s="1203"/>
      <c r="AZ211" s="1203"/>
      <c r="BA211" s="1203"/>
      <c r="BB211" s="1203"/>
      <c r="BC211" s="1203"/>
      <c r="BD211" s="1203"/>
      <c r="BE211" s="1210"/>
    </row>
    <row r="212" spans="1:57" ht="15.75" customHeight="1">
      <c r="A212" s="1203"/>
      <c r="B212" s="1203"/>
      <c r="C212" s="1203" t="s">
        <v>2231</v>
      </c>
      <c r="D212" s="1203"/>
      <c r="E212" s="1203"/>
      <c r="F212" s="1203"/>
      <c r="G212" s="1203"/>
      <c r="H212" s="1203"/>
      <c r="I212" s="1203"/>
      <c r="J212" s="1203"/>
      <c r="K212" s="1203"/>
      <c r="L212" s="1203"/>
      <c r="M212" s="1203"/>
      <c r="N212" s="1203"/>
      <c r="O212" s="1203"/>
      <c r="P212" s="1203"/>
      <c r="Q212" s="1203"/>
      <c r="R212" s="1203"/>
      <c r="S212" s="1203"/>
      <c r="T212" s="1203"/>
      <c r="U212" s="1203"/>
      <c r="V212" s="1203"/>
      <c r="W212" s="1203"/>
      <c r="X212" s="1203"/>
      <c r="Y212" s="1203"/>
      <c r="Z212" s="1203"/>
      <c r="AA212" s="1203"/>
      <c r="AB212" s="1203"/>
      <c r="AC212" s="1203"/>
      <c r="AD212" s="1203"/>
      <c r="AE212" s="1203"/>
      <c r="AF212" s="1203"/>
      <c r="AG212" s="1203"/>
      <c r="AH212" s="1203"/>
      <c r="AI212" s="1203"/>
      <c r="AJ212" s="1203"/>
      <c r="AK212" s="1203"/>
      <c r="AL212" s="1203"/>
      <c r="AM212" s="1203"/>
      <c r="AN212" s="1203"/>
      <c r="AO212" s="1203"/>
      <c r="AP212" s="1203"/>
      <c r="AQ212" s="1203"/>
      <c r="AR212" s="1203"/>
      <c r="AS212" s="1203"/>
      <c r="AT212" s="1203"/>
      <c r="AU212" s="1203"/>
      <c r="AV212" s="1203"/>
      <c r="AW212" s="1203"/>
      <c r="AX212" s="1203"/>
      <c r="AY212" s="1203"/>
      <c r="AZ212" s="1203"/>
      <c r="BA212" s="1203"/>
      <c r="BB212" s="1203"/>
      <c r="BC212" s="1203"/>
      <c r="BD212" s="1203"/>
      <c r="BE212" s="1210"/>
    </row>
    <row r="213" spans="1:57" ht="15.75" customHeight="1">
      <c r="A213" s="1203"/>
      <c r="B213" s="1203"/>
      <c r="C213" s="1203"/>
      <c r="D213" s="1203"/>
      <c r="E213" s="1203"/>
      <c r="F213" s="1203"/>
      <c r="G213" s="1203"/>
      <c r="H213" s="1203"/>
      <c r="I213" s="1203"/>
      <c r="J213" s="1203"/>
      <c r="K213" s="1203"/>
      <c r="L213" s="1203"/>
      <c r="M213" s="1203"/>
      <c r="N213" s="1203"/>
      <c r="O213" s="1203"/>
      <c r="P213" s="1203"/>
      <c r="Q213" s="1203"/>
      <c r="R213" s="1203"/>
      <c r="S213" s="1203"/>
      <c r="T213" s="1203"/>
      <c r="U213" s="1203"/>
      <c r="V213" s="1203"/>
      <c r="W213" s="1203"/>
      <c r="X213" s="1203"/>
      <c r="Y213" s="1203"/>
      <c r="Z213" s="1203"/>
      <c r="AA213" s="1203"/>
      <c r="AB213" s="1203"/>
      <c r="AC213" s="1203"/>
      <c r="AD213" s="1203"/>
      <c r="AE213" s="1203"/>
      <c r="AF213" s="1203"/>
      <c r="AG213" s="1203"/>
      <c r="AH213" s="1203"/>
      <c r="AI213" s="1203"/>
      <c r="AJ213" s="1203"/>
      <c r="AK213" s="1203"/>
      <c r="AL213" s="1203"/>
      <c r="AM213" s="1203"/>
      <c r="AN213" s="1203"/>
      <c r="AO213" s="1203"/>
      <c r="AP213" s="1203"/>
      <c r="AQ213" s="1203"/>
      <c r="AR213" s="1203"/>
      <c r="AS213" s="1203"/>
      <c r="AT213" s="1203"/>
      <c r="AU213" s="1203"/>
      <c r="AV213" s="1203"/>
      <c r="AW213" s="1203"/>
      <c r="AX213" s="1203"/>
      <c r="AY213" s="1203"/>
      <c r="AZ213" s="1203"/>
      <c r="BA213" s="1203"/>
      <c r="BB213" s="1203"/>
      <c r="BC213" s="1203"/>
      <c r="BD213" s="1203"/>
      <c r="BE213" s="1210"/>
    </row>
    <row r="214" spans="1:57" ht="15.75" customHeight="1">
      <c r="A214" s="1203"/>
      <c r="B214" s="1203"/>
      <c r="C214" s="1203"/>
      <c r="D214" s="1203"/>
      <c r="E214" s="1203"/>
      <c r="F214" s="1203"/>
      <c r="G214" s="1203"/>
      <c r="H214" s="1203"/>
      <c r="I214" s="1203"/>
      <c r="J214" s="1203"/>
      <c r="K214" s="1203"/>
      <c r="L214" s="1203"/>
      <c r="M214" s="1203"/>
      <c r="N214" s="1203"/>
      <c r="O214" s="1203"/>
      <c r="P214" s="1203"/>
      <c r="Q214" s="1203"/>
      <c r="R214" s="1203"/>
      <c r="S214" s="1203"/>
      <c r="T214" s="1203"/>
      <c r="U214" s="1203"/>
      <c r="V214" s="1203"/>
      <c r="W214" s="1203"/>
      <c r="X214" s="1203"/>
      <c r="Y214" s="1203"/>
      <c r="Z214" s="1203"/>
      <c r="AA214" s="1203"/>
      <c r="AB214" s="1203"/>
      <c r="AC214" s="1203"/>
      <c r="AD214" s="1203"/>
      <c r="AE214" s="1203"/>
      <c r="AF214" s="1203"/>
      <c r="AG214" s="1203"/>
      <c r="AH214" s="1203"/>
      <c r="AI214" s="1203"/>
      <c r="AJ214" s="1203"/>
      <c r="AK214" s="1203"/>
      <c r="AL214" s="1203"/>
      <c r="AM214" s="1203"/>
      <c r="AN214" s="1203"/>
      <c r="AO214" s="1203"/>
      <c r="AP214" s="1203"/>
      <c r="AQ214" s="1203"/>
      <c r="AR214" s="1203"/>
      <c r="AS214" s="1203"/>
      <c r="AT214" s="1203"/>
      <c r="AU214" s="1203"/>
      <c r="AV214" s="1203"/>
      <c r="AW214" s="1203"/>
      <c r="AX214" s="1203"/>
      <c r="AY214" s="1203"/>
      <c r="AZ214" s="1203"/>
      <c r="BA214" s="1203"/>
      <c r="BB214" s="1203"/>
      <c r="BC214" s="1203"/>
      <c r="BD214" s="1203"/>
      <c r="BE214" s="1210"/>
    </row>
    <row r="215" spans="1:57" ht="15.75" customHeight="1" thickBot="1">
      <c r="A215" s="1203"/>
      <c r="B215" s="1203"/>
      <c r="C215" s="1203"/>
      <c r="D215" s="1203"/>
      <c r="E215" s="1203"/>
      <c r="F215" s="1203"/>
      <c r="G215" s="1203"/>
      <c r="H215" s="1203"/>
      <c r="I215" s="1203"/>
      <c r="J215" s="1203"/>
      <c r="K215" s="1203"/>
      <c r="L215" s="1203"/>
      <c r="M215" s="1203"/>
      <c r="N215" s="1203"/>
      <c r="O215" s="1203"/>
      <c r="P215" s="1203"/>
      <c r="Q215" s="1203"/>
      <c r="R215" s="1203"/>
      <c r="S215" s="1203"/>
      <c r="T215" s="1203"/>
      <c r="U215" s="1203"/>
      <c r="V215" s="1203"/>
      <c r="W215" s="1203"/>
      <c r="X215" s="1203"/>
      <c r="Y215" s="1203"/>
      <c r="Z215" s="1203"/>
      <c r="AA215" s="1203"/>
      <c r="AB215" s="1203"/>
      <c r="AC215" s="1203"/>
      <c r="AD215" s="1203"/>
      <c r="AE215" s="1203"/>
      <c r="AF215" s="1203"/>
      <c r="AG215" s="1203"/>
      <c r="AH215" s="1203"/>
      <c r="AI215" s="1203"/>
      <c r="AJ215" s="1203"/>
      <c r="AK215" s="1203"/>
      <c r="AL215" s="1203"/>
      <c r="AM215" s="1203"/>
      <c r="AN215" s="1203"/>
      <c r="AO215" s="1203"/>
      <c r="AP215" s="1203"/>
      <c r="AQ215" s="1203"/>
      <c r="AR215" s="1203"/>
      <c r="AS215" s="1203"/>
      <c r="AT215" s="1203"/>
      <c r="AU215" s="1203"/>
      <c r="AV215" s="1203"/>
      <c r="AW215" s="1203"/>
      <c r="AX215" s="1203"/>
      <c r="AY215" s="1203"/>
      <c r="AZ215" s="1203"/>
      <c r="BA215" s="1203"/>
      <c r="BB215" s="1203"/>
      <c r="BC215" s="1203"/>
      <c r="BD215" s="1203"/>
      <c r="BE215" s="1210"/>
    </row>
    <row r="216" spans="1:57" ht="15.75" customHeight="1">
      <c r="A216" s="1203"/>
      <c r="B216" s="2559" t="s">
        <v>2230</v>
      </c>
      <c r="C216" s="2560"/>
      <c r="D216" s="2560"/>
      <c r="E216" s="2560"/>
      <c r="F216" s="2560"/>
      <c r="G216" s="2560"/>
      <c r="H216" s="2560"/>
      <c r="I216" s="2560"/>
      <c r="J216" s="2560"/>
      <c r="K216" s="2560"/>
      <c r="L216" s="2560"/>
      <c r="M216" s="2560"/>
      <c r="N216" s="2560"/>
      <c r="O216" s="2560"/>
      <c r="P216" s="2560"/>
      <c r="Q216" s="2560"/>
      <c r="R216" s="2560"/>
      <c r="S216" s="2560"/>
      <c r="T216" s="2560"/>
      <c r="U216" s="2560"/>
      <c r="V216" s="2560"/>
      <c r="W216" s="2560"/>
      <c r="X216" s="2560"/>
      <c r="Y216" s="2560"/>
      <c r="Z216" s="2560"/>
      <c r="AA216" s="2560"/>
      <c r="AB216" s="2560"/>
      <c r="AC216" s="2560"/>
      <c r="AD216" s="2560"/>
      <c r="AE216" s="2560"/>
      <c r="AF216" s="2560"/>
      <c r="AG216" s="2560"/>
      <c r="AH216" s="2560"/>
      <c r="AI216" s="2560"/>
      <c r="AJ216" s="2560"/>
      <c r="AK216" s="2560"/>
      <c r="AL216" s="2560"/>
      <c r="AM216" s="2560"/>
      <c r="AN216" s="2560"/>
      <c r="AO216" s="2560"/>
      <c r="AP216" s="2560"/>
      <c r="AQ216" s="2560"/>
      <c r="AR216" s="2560"/>
      <c r="AS216" s="2560"/>
      <c r="AT216" s="2560"/>
      <c r="AU216" s="2560"/>
      <c r="AV216" s="2560"/>
      <c r="AW216" s="2560"/>
      <c r="AX216" s="2560"/>
      <c r="AY216" s="2560"/>
      <c r="AZ216" s="2560"/>
      <c r="BA216" s="2560"/>
      <c r="BB216" s="2560"/>
      <c r="BC216" s="2560"/>
      <c r="BD216" s="2561"/>
      <c r="BE216" s="1210"/>
    </row>
    <row r="217" spans="1:57" ht="15.75" customHeight="1">
      <c r="A217" s="1203"/>
      <c r="B217" s="2562"/>
      <c r="C217" s="2563"/>
      <c r="D217" s="2563"/>
      <c r="E217" s="2563"/>
      <c r="F217" s="2563"/>
      <c r="G217" s="2563"/>
      <c r="H217" s="2563"/>
      <c r="I217" s="2563"/>
      <c r="J217" s="2563"/>
      <c r="K217" s="2563"/>
      <c r="L217" s="2563"/>
      <c r="M217" s="2563"/>
      <c r="N217" s="2563"/>
      <c r="O217" s="2563"/>
      <c r="P217" s="2563"/>
      <c r="Q217" s="2563"/>
      <c r="R217" s="2563"/>
      <c r="S217" s="2563"/>
      <c r="T217" s="2563"/>
      <c r="U217" s="2563"/>
      <c r="V217" s="2563"/>
      <c r="W217" s="2563"/>
      <c r="X217" s="2563"/>
      <c r="Y217" s="2563"/>
      <c r="Z217" s="2563"/>
      <c r="AA217" s="2563"/>
      <c r="AB217" s="2563"/>
      <c r="AC217" s="2563"/>
      <c r="AD217" s="2563"/>
      <c r="AE217" s="2563"/>
      <c r="AF217" s="2563"/>
      <c r="AG217" s="2563"/>
      <c r="AH217" s="2563"/>
      <c r="AI217" s="2563"/>
      <c r="AJ217" s="2563"/>
      <c r="AK217" s="2563"/>
      <c r="AL217" s="2563"/>
      <c r="AM217" s="2563"/>
      <c r="AN217" s="2563"/>
      <c r="AO217" s="2563"/>
      <c r="AP217" s="2563"/>
      <c r="AQ217" s="2563"/>
      <c r="AR217" s="2563"/>
      <c r="AS217" s="2563"/>
      <c r="AT217" s="2563"/>
      <c r="AU217" s="2563"/>
      <c r="AV217" s="2563"/>
      <c r="AW217" s="2563"/>
      <c r="AX217" s="2563"/>
      <c r="AY217" s="2563"/>
      <c r="AZ217" s="2563"/>
      <c r="BA217" s="2563"/>
      <c r="BB217" s="2563"/>
      <c r="BC217" s="2563"/>
      <c r="BD217" s="2564"/>
      <c r="BE217" s="1210"/>
    </row>
    <row r="218" spans="1:57" ht="15.75" customHeight="1">
      <c r="A218" s="1203"/>
      <c r="B218" s="2565" t="s">
        <v>2229</v>
      </c>
      <c r="C218" s="2566"/>
      <c r="D218" s="2566"/>
      <c r="E218" s="2566"/>
      <c r="F218" s="2566"/>
      <c r="G218" s="2566"/>
      <c r="H218" s="2566"/>
      <c r="I218" s="2566"/>
      <c r="J218" s="2566"/>
      <c r="K218" s="2566"/>
      <c r="L218" s="2566"/>
      <c r="M218" s="2566"/>
      <c r="N218" s="2566"/>
      <c r="O218" s="2566"/>
      <c r="P218" s="2566"/>
      <c r="Q218" s="2566"/>
      <c r="R218" s="2566"/>
      <c r="S218" s="2566"/>
      <c r="T218" s="2566"/>
      <c r="U218" s="2566"/>
      <c r="V218" s="2566"/>
      <c r="W218" s="2566"/>
      <c r="X218" s="2566"/>
      <c r="Y218" s="2566"/>
      <c r="Z218" s="2566"/>
      <c r="AA218" s="2566"/>
      <c r="AB218" s="2566"/>
      <c r="AC218" s="2566"/>
      <c r="AD218" s="2566"/>
      <c r="AE218" s="2566"/>
      <c r="AF218" s="2566"/>
      <c r="AG218" s="2566"/>
      <c r="AH218" s="2566"/>
      <c r="AI218" s="2566"/>
      <c r="AJ218" s="2566"/>
      <c r="AK218" s="2566"/>
      <c r="AL218" s="2566"/>
      <c r="AM218" s="2566"/>
      <c r="AN218" s="2566"/>
      <c r="AO218" s="2566"/>
      <c r="AP218" s="2566"/>
      <c r="AQ218" s="2566"/>
      <c r="AR218" s="2566"/>
      <c r="AS218" s="2566"/>
      <c r="AT218" s="2566"/>
      <c r="AU218" s="2566"/>
      <c r="AV218" s="2566"/>
      <c r="AW218" s="2566"/>
      <c r="AX218" s="2566"/>
      <c r="AY218" s="2566"/>
      <c r="AZ218" s="2566"/>
      <c r="BA218" s="2566"/>
      <c r="BB218" s="2566"/>
      <c r="BC218" s="2566"/>
      <c r="BD218" s="2567"/>
      <c r="BE218" s="1210"/>
    </row>
    <row r="219" spans="1:57" ht="15.75" customHeight="1">
      <c r="A219" s="1203"/>
      <c r="B219" s="2565" t="s">
        <v>2228</v>
      </c>
      <c r="C219" s="2566"/>
      <c r="D219" s="2566"/>
      <c r="E219" s="2566"/>
      <c r="F219" s="2566"/>
      <c r="G219" s="2566"/>
      <c r="H219" s="2566"/>
      <c r="I219" s="2566"/>
      <c r="J219" s="2566"/>
      <c r="K219" s="2566"/>
      <c r="L219" s="2566"/>
      <c r="M219" s="2566"/>
      <c r="N219" s="2566"/>
      <c r="O219" s="2566"/>
      <c r="P219" s="2566"/>
      <c r="Q219" s="2566"/>
      <c r="R219" s="2566"/>
      <c r="S219" s="2566"/>
      <c r="T219" s="2566"/>
      <c r="U219" s="2566"/>
      <c r="V219" s="2566"/>
      <c r="W219" s="2566"/>
      <c r="X219" s="2566"/>
      <c r="Y219" s="2566"/>
      <c r="Z219" s="2566"/>
      <c r="AA219" s="2566"/>
      <c r="AB219" s="2566"/>
      <c r="AC219" s="2566"/>
      <c r="AD219" s="2566"/>
      <c r="AE219" s="2566"/>
      <c r="AF219" s="2566"/>
      <c r="AG219" s="2566"/>
      <c r="AH219" s="2566"/>
      <c r="AI219" s="2566"/>
      <c r="AJ219" s="2566"/>
      <c r="AK219" s="2566"/>
      <c r="AL219" s="2566"/>
      <c r="AM219" s="2566"/>
      <c r="AN219" s="2566"/>
      <c r="AO219" s="2566"/>
      <c r="AP219" s="2566"/>
      <c r="AQ219" s="2566"/>
      <c r="AR219" s="2566"/>
      <c r="AS219" s="2566"/>
      <c r="AT219" s="2566"/>
      <c r="AU219" s="2566"/>
      <c r="AV219" s="2566"/>
      <c r="AW219" s="2566"/>
      <c r="AX219" s="2566"/>
      <c r="AY219" s="2566"/>
      <c r="AZ219" s="2566"/>
      <c r="BA219" s="2566"/>
      <c r="BB219" s="2566"/>
      <c r="BC219" s="2566"/>
      <c r="BD219" s="2567"/>
      <c r="BE219" s="1210"/>
    </row>
    <row r="220" spans="1:57" ht="15.75" customHeight="1">
      <c r="A220" s="1203"/>
      <c r="B220" s="1202"/>
      <c r="C220" s="1203"/>
      <c r="D220" s="1203"/>
      <c r="E220" s="1203"/>
      <c r="F220" s="1203"/>
      <c r="G220" s="1203"/>
      <c r="H220" s="1203"/>
      <c r="I220" s="1203"/>
      <c r="J220" s="1203"/>
      <c r="K220" s="1203"/>
      <c r="L220" s="1203"/>
      <c r="M220" s="1203"/>
      <c r="N220" s="1203"/>
      <c r="O220" s="1203"/>
      <c r="P220" s="1203"/>
      <c r="Q220" s="1203"/>
      <c r="R220" s="1203"/>
      <c r="S220" s="1203"/>
      <c r="T220" s="1203"/>
      <c r="U220" s="1203"/>
      <c r="V220" s="1203"/>
      <c r="W220" s="1203"/>
      <c r="X220" s="1203"/>
      <c r="Y220" s="1203"/>
      <c r="Z220" s="1203"/>
      <c r="AA220" s="1203"/>
      <c r="AB220" s="1203"/>
      <c r="AC220" s="1203"/>
      <c r="AD220" s="1203"/>
      <c r="AE220" s="1203"/>
      <c r="AF220" s="1203"/>
      <c r="AG220" s="1203"/>
      <c r="AH220" s="1203"/>
      <c r="AI220" s="1203"/>
      <c r="AJ220" s="1203"/>
      <c r="AK220" s="1203"/>
      <c r="AL220" s="1203"/>
      <c r="AM220" s="1203"/>
      <c r="AN220" s="1203"/>
      <c r="AO220" s="1203"/>
      <c r="AP220" s="1203"/>
      <c r="AQ220" s="1203"/>
      <c r="AR220" s="1203"/>
      <c r="AS220" s="1203"/>
      <c r="AT220" s="1203"/>
      <c r="AU220" s="1203"/>
      <c r="AV220" s="1203"/>
      <c r="AW220" s="1203"/>
      <c r="AX220" s="1203"/>
      <c r="AY220" s="1203"/>
      <c r="AZ220" s="1203"/>
      <c r="BA220" s="1203"/>
      <c r="BB220" s="1203"/>
      <c r="BC220" s="1203"/>
      <c r="BD220" s="1210"/>
      <c r="BE220" s="1210"/>
    </row>
    <row r="221" spans="1:57" ht="15.75" customHeight="1">
      <c r="A221" s="1203"/>
      <c r="B221" s="2568" t="s">
        <v>2227</v>
      </c>
      <c r="C221" s="2458"/>
      <c r="D221" s="2458"/>
      <c r="E221" s="2458"/>
      <c r="F221" s="2458"/>
      <c r="G221" s="2458"/>
      <c r="H221" s="2458"/>
      <c r="I221" s="2458"/>
      <c r="J221" s="2458"/>
      <c r="K221" s="2458"/>
      <c r="L221" s="2458"/>
      <c r="M221" s="2458"/>
      <c r="N221" s="2458"/>
      <c r="O221" s="2458"/>
      <c r="P221" s="2458"/>
      <c r="Q221" s="2458"/>
      <c r="R221" s="2458"/>
      <c r="S221" s="2458"/>
      <c r="T221" s="2458"/>
      <c r="U221" s="2458"/>
      <c r="V221" s="2458"/>
      <c r="W221" s="2458"/>
      <c r="X221" s="2458"/>
      <c r="Y221" s="2458"/>
      <c r="Z221" s="2458"/>
      <c r="AA221" s="2458"/>
      <c r="AB221" s="2458"/>
      <c r="AC221" s="2458"/>
      <c r="AD221" s="2458"/>
      <c r="AE221" s="2458"/>
      <c r="AF221" s="2458"/>
      <c r="AG221" s="2458"/>
      <c r="AH221" s="2458"/>
      <c r="AI221" s="2458"/>
      <c r="AJ221" s="2458"/>
      <c r="AK221" s="2458"/>
      <c r="AL221" s="2458"/>
      <c r="AM221" s="2458"/>
      <c r="AN221" s="2458"/>
      <c r="AO221" s="2458"/>
      <c r="AP221" s="2458"/>
      <c r="AQ221" s="2458"/>
      <c r="AR221" s="2458"/>
      <c r="AS221" s="2458"/>
      <c r="AT221" s="2458"/>
      <c r="AU221" s="2458"/>
      <c r="AV221" s="2458"/>
      <c r="AW221" s="2458"/>
      <c r="AX221" s="2458"/>
      <c r="AY221" s="2458"/>
      <c r="AZ221" s="2458"/>
      <c r="BA221" s="2458"/>
      <c r="BB221" s="2458"/>
      <c r="BC221" s="2458"/>
      <c r="BD221" s="2569"/>
      <c r="BE221" s="1210"/>
    </row>
    <row r="222" spans="1:57" ht="15.75" customHeight="1">
      <c r="A222" s="1203"/>
      <c r="B222" s="1248"/>
      <c r="C222" s="1203"/>
      <c r="D222" s="1203"/>
      <c r="E222" s="1203"/>
      <c r="F222" s="1203"/>
      <c r="G222" s="1203"/>
      <c r="H222" s="1203"/>
      <c r="I222" s="1203"/>
      <c r="J222" s="1203"/>
      <c r="K222" s="1203"/>
      <c r="L222" s="1203"/>
      <c r="M222" s="1203"/>
      <c r="N222" s="1203"/>
      <c r="O222" s="1203"/>
      <c r="P222" s="1203"/>
      <c r="Q222" s="1203"/>
      <c r="R222" s="1203"/>
      <c r="S222" s="1203"/>
      <c r="T222" s="1203"/>
      <c r="U222" s="1203"/>
      <c r="V222" s="1203"/>
      <c r="W222" s="1203"/>
      <c r="X222" s="1203"/>
      <c r="Y222" s="1203"/>
      <c r="Z222" s="1203"/>
      <c r="AA222" s="1203"/>
      <c r="AB222" s="1203"/>
      <c r="AC222" s="1203"/>
      <c r="AD222" s="1203"/>
      <c r="AE222" s="1203"/>
      <c r="AF222" s="1203"/>
      <c r="AG222" s="1203"/>
      <c r="AH222" s="1203"/>
      <c r="AI222" s="1203"/>
      <c r="AJ222" s="1203"/>
      <c r="AK222" s="1203"/>
      <c r="AL222" s="1203"/>
      <c r="AM222" s="1203"/>
      <c r="AN222" s="1203"/>
      <c r="AO222" s="1203"/>
      <c r="AP222" s="1203"/>
      <c r="AQ222" s="1203"/>
      <c r="AR222" s="1203"/>
      <c r="AS222" s="1203"/>
      <c r="AT222" s="1203"/>
      <c r="AU222" s="1203"/>
      <c r="AV222" s="1203"/>
      <c r="AW222" s="1203"/>
      <c r="AX222" s="1203"/>
      <c r="AY222" s="1203"/>
      <c r="AZ222" s="1203"/>
      <c r="BA222" s="1203"/>
      <c r="BB222" s="1203"/>
      <c r="BC222" s="1203"/>
      <c r="BD222" s="1210"/>
      <c r="BE222" s="1210"/>
    </row>
    <row r="223" spans="1:57" ht="15.75" customHeight="1">
      <c r="A223" s="1203"/>
      <c r="B223" s="1249"/>
      <c r="C223" s="1203"/>
      <c r="D223" s="1203"/>
      <c r="E223" s="1203"/>
      <c r="F223" s="1203"/>
      <c r="G223" s="1203"/>
      <c r="H223" s="1204" t="s">
        <v>2226</v>
      </c>
      <c r="I223" s="1203"/>
      <c r="J223" s="1203"/>
      <c r="K223" s="1203"/>
      <c r="L223" s="1203"/>
      <c r="M223" s="1203"/>
      <c r="N223" s="1203"/>
      <c r="O223" s="1203"/>
      <c r="P223" s="1203"/>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c r="AT223" s="1203"/>
      <c r="AU223" s="1203"/>
      <c r="AV223" s="1203"/>
      <c r="AW223" s="1203"/>
      <c r="AX223" s="1203"/>
      <c r="AY223" s="1203"/>
      <c r="AZ223" s="1203"/>
      <c r="BA223" s="1203"/>
      <c r="BB223" s="1203"/>
      <c r="BC223" s="1203"/>
      <c r="BD223" s="1210"/>
      <c r="BE223" s="1210"/>
    </row>
    <row r="224" spans="1:57" ht="15.75" customHeight="1">
      <c r="A224" s="1203"/>
      <c r="B224" s="1249"/>
      <c r="C224" s="1203"/>
      <c r="D224" s="1203"/>
      <c r="E224" s="1203"/>
      <c r="F224" s="1203"/>
      <c r="G224" s="1203"/>
      <c r="H224" s="1203"/>
      <c r="I224" s="1203"/>
      <c r="J224" s="1203"/>
      <c r="K224" s="1203"/>
      <c r="L224" s="1203"/>
      <c r="M224" s="1203"/>
      <c r="N224" s="1203"/>
      <c r="O224" s="1203"/>
      <c r="P224" s="1203"/>
      <c r="Q224" s="1203"/>
      <c r="R224" s="1203"/>
      <c r="S224" s="1203"/>
      <c r="T224" s="1203"/>
      <c r="U224" s="1203"/>
      <c r="V224" s="1203"/>
      <c r="W224" s="1203"/>
      <c r="X224" s="1203"/>
      <c r="Y224" s="1203"/>
      <c r="Z224" s="1203"/>
      <c r="AA224" s="1203"/>
      <c r="AB224" s="1203"/>
      <c r="AC224" s="1203"/>
      <c r="AD224" s="1203"/>
      <c r="AE224" s="1203"/>
      <c r="AF224" s="1203"/>
      <c r="AG224" s="1203"/>
      <c r="AH224" s="1203"/>
      <c r="AI224" s="1203"/>
      <c r="AJ224" s="1203"/>
      <c r="AK224" s="1203"/>
      <c r="AL224" s="1203"/>
      <c r="AM224" s="1203"/>
      <c r="AN224" s="1203"/>
      <c r="AO224" s="1203"/>
      <c r="AP224" s="1203"/>
      <c r="AQ224" s="1203"/>
      <c r="AR224" s="1203"/>
      <c r="AS224" s="1203"/>
      <c r="AT224" s="1203"/>
      <c r="AU224" s="1203"/>
      <c r="AV224" s="1203"/>
      <c r="AW224" s="1203"/>
      <c r="AX224" s="1203"/>
      <c r="AY224" s="1203"/>
      <c r="AZ224" s="1203"/>
      <c r="BA224" s="1203"/>
      <c r="BB224" s="1203"/>
      <c r="BC224" s="1203"/>
      <c r="BD224" s="1210"/>
      <c r="BE224" s="1210"/>
    </row>
    <row r="225" spans="1:57" ht="15.75" customHeight="1">
      <c r="A225" s="1203"/>
      <c r="B225" s="1249"/>
      <c r="C225" s="1203"/>
      <c r="D225" s="1203"/>
      <c r="E225" s="1203"/>
      <c r="F225" s="1203"/>
      <c r="G225" s="1203"/>
      <c r="H225" s="2570" t="s">
        <v>2225</v>
      </c>
      <c r="I225" s="2570"/>
      <c r="J225" s="2570"/>
      <c r="K225" s="2570"/>
      <c r="L225" s="2570"/>
      <c r="M225" s="2570"/>
      <c r="N225" s="2570"/>
      <c r="O225" s="2570"/>
      <c r="P225" s="2570"/>
      <c r="Q225" s="2570"/>
      <c r="R225" s="2570"/>
      <c r="S225" s="2570"/>
      <c r="T225" s="2570"/>
      <c r="U225" s="2570"/>
      <c r="V225" s="2570"/>
      <c r="W225" s="2570"/>
      <c r="X225" s="2570"/>
      <c r="Y225" s="2570"/>
      <c r="Z225" s="2570"/>
      <c r="AA225" s="2570"/>
      <c r="AB225" s="2570"/>
      <c r="AC225" s="2570"/>
      <c r="AD225" s="2570"/>
      <c r="AE225" s="2570"/>
      <c r="AF225" s="2570"/>
      <c r="AG225" s="2570"/>
      <c r="AH225" s="2570"/>
      <c r="AI225" s="2570"/>
      <c r="AJ225" s="2570"/>
      <c r="AK225" s="2570"/>
      <c r="AL225" s="2570"/>
      <c r="AM225" s="2570"/>
      <c r="AN225" s="2570"/>
      <c r="AO225" s="2570"/>
      <c r="AP225" s="2570"/>
      <c r="AQ225" s="2570"/>
      <c r="AR225" s="2570"/>
      <c r="AS225" s="2570"/>
      <c r="AT225" s="2570"/>
      <c r="AU225" s="2570"/>
      <c r="AV225" s="2570"/>
      <c r="AW225" s="2570"/>
      <c r="AX225" s="2570"/>
      <c r="AY225" s="2570"/>
      <c r="AZ225" s="1203"/>
      <c r="BA225" s="1203"/>
      <c r="BB225" s="1203"/>
      <c r="BC225" s="1203"/>
      <c r="BD225" s="1210"/>
      <c r="BE225" s="1210"/>
    </row>
    <row r="226" spans="1:57" ht="15.75" customHeight="1">
      <c r="A226" s="1203"/>
      <c r="B226" s="1249"/>
      <c r="C226" s="1203"/>
      <c r="D226" s="1203"/>
      <c r="E226" s="1203"/>
      <c r="F226" s="1203"/>
      <c r="G226" s="1203"/>
      <c r="H226" s="1203"/>
      <c r="I226" s="1203"/>
      <c r="J226" s="1203"/>
      <c r="K226" s="1203"/>
      <c r="L226" s="1203"/>
      <c r="M226" s="1203"/>
      <c r="N226" s="1203"/>
      <c r="O226" s="1203"/>
      <c r="P226" s="1203"/>
      <c r="Q226" s="1203"/>
      <c r="R226" s="1203"/>
      <c r="S226" s="1203"/>
      <c r="T226" s="1203"/>
      <c r="U226" s="1203"/>
      <c r="V226" s="1203"/>
      <c r="W226" s="1203"/>
      <c r="X226" s="1203"/>
      <c r="Y226" s="1203"/>
      <c r="Z226" s="1203"/>
      <c r="AA226" s="1203"/>
      <c r="AB226" s="1203"/>
      <c r="AC226" s="1203"/>
      <c r="AD226" s="1203"/>
      <c r="AE226" s="1203"/>
      <c r="AF226" s="1203"/>
      <c r="AG226" s="1203"/>
      <c r="AH226" s="1203"/>
      <c r="AI226" s="1203"/>
      <c r="AJ226" s="1203"/>
      <c r="AK226" s="1203"/>
      <c r="AL226" s="1203"/>
      <c r="AM226" s="1203"/>
      <c r="AN226" s="1203"/>
      <c r="AO226" s="1203"/>
      <c r="AP226" s="1203"/>
      <c r="AQ226" s="1203"/>
      <c r="AR226" s="1203"/>
      <c r="AS226" s="1203"/>
      <c r="AT226" s="1203"/>
      <c r="AU226" s="1203"/>
      <c r="AV226" s="1203"/>
      <c r="AW226" s="1203"/>
      <c r="AX226" s="1203"/>
      <c r="AY226" s="1203"/>
      <c r="AZ226" s="1203"/>
      <c r="BA226" s="1203"/>
      <c r="BB226" s="1203"/>
      <c r="BC226" s="1203"/>
      <c r="BD226" s="1210"/>
      <c r="BE226" s="1210"/>
    </row>
    <row r="227" spans="1:57" ht="15.75" customHeight="1">
      <c r="A227" s="1203"/>
      <c r="B227" s="1249"/>
      <c r="C227" s="1203"/>
      <c r="D227" s="1203"/>
      <c r="E227" s="1203"/>
      <c r="F227" s="1203"/>
      <c r="G227" s="1203"/>
      <c r="H227" s="2589" t="s">
        <v>2224</v>
      </c>
      <c r="I227" s="2589"/>
      <c r="J227" s="2589"/>
      <c r="K227" s="2589"/>
      <c r="L227" s="2589"/>
      <c r="M227" s="2589"/>
      <c r="N227" s="2589"/>
      <c r="O227" s="2589"/>
      <c r="P227" s="2589"/>
      <c r="Q227" s="2589"/>
      <c r="R227" s="2589"/>
      <c r="S227" s="2589"/>
      <c r="T227" s="2589"/>
      <c r="U227" s="2589"/>
      <c r="V227" s="2589"/>
      <c r="W227" s="2589"/>
      <c r="X227" s="2589"/>
      <c r="Y227" s="2589"/>
      <c r="Z227" s="2589"/>
      <c r="AA227" s="2589"/>
      <c r="AB227" s="2589"/>
      <c r="AC227" s="2589"/>
      <c r="AD227" s="2589"/>
      <c r="AE227" s="2589"/>
      <c r="AF227" s="2589"/>
      <c r="AG227" s="2589"/>
      <c r="AH227" s="2589"/>
      <c r="AI227" s="2589"/>
      <c r="AJ227" s="2589"/>
      <c r="AK227" s="2589"/>
      <c r="AL227" s="2589"/>
      <c r="AM227" s="2589"/>
      <c r="AN227" s="2589"/>
      <c r="AO227" s="2589"/>
      <c r="AP227" s="2589"/>
      <c r="AQ227" s="2589"/>
      <c r="AR227" s="2589"/>
      <c r="AS227" s="2589"/>
      <c r="AT227" s="2589"/>
      <c r="AU227" s="2589"/>
      <c r="AV227" s="2589"/>
      <c r="AW227" s="2589"/>
      <c r="AX227" s="2589"/>
      <c r="AY227" s="2589"/>
      <c r="AZ227" s="2589"/>
      <c r="BA227" s="1203"/>
      <c r="BB227" s="1203"/>
      <c r="BC227" s="1203"/>
      <c r="BD227" s="1210"/>
      <c r="BE227" s="1210"/>
    </row>
    <row r="228" spans="1:57" ht="15.75" customHeight="1">
      <c r="A228" s="1203"/>
      <c r="B228" s="1202"/>
      <c r="C228" s="1203"/>
      <c r="D228" s="1203"/>
      <c r="E228" s="1203"/>
      <c r="F228" s="1203"/>
      <c r="G228" s="1203"/>
      <c r="H228" s="2589"/>
      <c r="I228" s="2589"/>
      <c r="J228" s="2589"/>
      <c r="K228" s="2589"/>
      <c r="L228" s="2589"/>
      <c r="M228" s="2589"/>
      <c r="N228" s="2589"/>
      <c r="O228" s="2589"/>
      <c r="P228" s="2589"/>
      <c r="Q228" s="2589"/>
      <c r="R228" s="2589"/>
      <c r="S228" s="2589"/>
      <c r="T228" s="2589"/>
      <c r="U228" s="2589"/>
      <c r="V228" s="2589"/>
      <c r="W228" s="2589"/>
      <c r="X228" s="2589"/>
      <c r="Y228" s="2589"/>
      <c r="Z228" s="2589"/>
      <c r="AA228" s="2589"/>
      <c r="AB228" s="2589"/>
      <c r="AC228" s="2589"/>
      <c r="AD228" s="2589"/>
      <c r="AE228" s="2589"/>
      <c r="AF228" s="2589"/>
      <c r="AG228" s="2589"/>
      <c r="AH228" s="2589"/>
      <c r="AI228" s="2589"/>
      <c r="AJ228" s="2589"/>
      <c r="AK228" s="2589"/>
      <c r="AL228" s="2589"/>
      <c r="AM228" s="2589"/>
      <c r="AN228" s="2589"/>
      <c r="AO228" s="2589"/>
      <c r="AP228" s="2589"/>
      <c r="AQ228" s="2589"/>
      <c r="AR228" s="2589"/>
      <c r="AS228" s="2589"/>
      <c r="AT228" s="2589"/>
      <c r="AU228" s="2589"/>
      <c r="AV228" s="2589"/>
      <c r="AW228" s="2589"/>
      <c r="AX228" s="2589"/>
      <c r="AY228" s="2589"/>
      <c r="AZ228" s="2589"/>
      <c r="BA228" s="1203"/>
      <c r="BB228" s="1203"/>
      <c r="BC228" s="1203"/>
      <c r="BD228" s="1210"/>
      <c r="BE228" s="1210"/>
    </row>
    <row r="229" spans="1:57" ht="15.75" customHeight="1">
      <c r="A229" s="1203"/>
      <c r="B229" s="1202"/>
      <c r="C229" s="1203"/>
      <c r="D229" s="1203"/>
      <c r="E229" s="1203"/>
      <c r="F229" s="1203"/>
      <c r="G229" s="1203"/>
      <c r="H229" s="2589"/>
      <c r="I229" s="2589"/>
      <c r="J229" s="2589"/>
      <c r="K229" s="2589"/>
      <c r="L229" s="2589"/>
      <c r="M229" s="2589"/>
      <c r="N229" s="2589"/>
      <c r="O229" s="2589"/>
      <c r="P229" s="2589"/>
      <c r="Q229" s="2589"/>
      <c r="R229" s="2589"/>
      <c r="S229" s="2589"/>
      <c r="T229" s="2589"/>
      <c r="U229" s="2589"/>
      <c r="V229" s="2589"/>
      <c r="W229" s="2589"/>
      <c r="X229" s="2589"/>
      <c r="Y229" s="2589"/>
      <c r="Z229" s="2589"/>
      <c r="AA229" s="2589"/>
      <c r="AB229" s="2589"/>
      <c r="AC229" s="2589"/>
      <c r="AD229" s="2589"/>
      <c r="AE229" s="2589"/>
      <c r="AF229" s="2589"/>
      <c r="AG229" s="2589"/>
      <c r="AH229" s="2589"/>
      <c r="AI229" s="2589"/>
      <c r="AJ229" s="2589"/>
      <c r="AK229" s="2589"/>
      <c r="AL229" s="2589"/>
      <c r="AM229" s="2589"/>
      <c r="AN229" s="2589"/>
      <c r="AO229" s="2589"/>
      <c r="AP229" s="2589"/>
      <c r="AQ229" s="2589"/>
      <c r="AR229" s="2589"/>
      <c r="AS229" s="2589"/>
      <c r="AT229" s="2589"/>
      <c r="AU229" s="2589"/>
      <c r="AV229" s="2589"/>
      <c r="AW229" s="2589"/>
      <c r="AX229" s="2589"/>
      <c r="AY229" s="2589"/>
      <c r="AZ229" s="2589"/>
      <c r="BA229" s="1203"/>
      <c r="BB229" s="1203"/>
      <c r="BC229" s="1203"/>
      <c r="BD229" s="1210"/>
      <c r="BE229" s="1210"/>
    </row>
    <row r="230" spans="1:57" ht="15.75" customHeight="1">
      <c r="A230" s="1203"/>
      <c r="B230" s="1202"/>
      <c r="C230" s="1203"/>
      <c r="D230" s="1203"/>
      <c r="E230" s="1203"/>
      <c r="F230" s="1203"/>
      <c r="G230" s="1203"/>
      <c r="H230" s="2589"/>
      <c r="I230" s="2589"/>
      <c r="J230" s="2589"/>
      <c r="K230" s="2589"/>
      <c r="L230" s="2589"/>
      <c r="M230" s="2589"/>
      <c r="N230" s="2589"/>
      <c r="O230" s="2589"/>
      <c r="P230" s="2589"/>
      <c r="Q230" s="2589"/>
      <c r="R230" s="2589"/>
      <c r="S230" s="2589"/>
      <c r="T230" s="2589"/>
      <c r="U230" s="2589"/>
      <c r="V230" s="2589"/>
      <c r="W230" s="2589"/>
      <c r="X230" s="2589"/>
      <c r="Y230" s="2589"/>
      <c r="Z230" s="2589"/>
      <c r="AA230" s="2589"/>
      <c r="AB230" s="2589"/>
      <c r="AC230" s="2589"/>
      <c r="AD230" s="2589"/>
      <c r="AE230" s="2589"/>
      <c r="AF230" s="2589"/>
      <c r="AG230" s="2589"/>
      <c r="AH230" s="2589"/>
      <c r="AI230" s="2589"/>
      <c r="AJ230" s="2589"/>
      <c r="AK230" s="2589"/>
      <c r="AL230" s="2589"/>
      <c r="AM230" s="2589"/>
      <c r="AN230" s="2589"/>
      <c r="AO230" s="2589"/>
      <c r="AP230" s="2589"/>
      <c r="AQ230" s="2589"/>
      <c r="AR230" s="2589"/>
      <c r="AS230" s="2589"/>
      <c r="AT230" s="2589"/>
      <c r="AU230" s="2589"/>
      <c r="AV230" s="2589"/>
      <c r="AW230" s="2589"/>
      <c r="AX230" s="2589"/>
      <c r="AY230" s="2589"/>
      <c r="AZ230" s="2589"/>
      <c r="BA230" s="1203"/>
      <c r="BB230" s="1203"/>
      <c r="BC230" s="1203"/>
      <c r="BD230" s="1210"/>
      <c r="BE230" s="1210"/>
    </row>
    <row r="231" spans="1:57" ht="15.75" customHeight="1">
      <c r="A231" s="1203"/>
      <c r="B231" s="1202"/>
      <c r="C231" s="1203"/>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3"/>
      <c r="AK231" s="1203"/>
      <c r="AL231" s="1203"/>
      <c r="AM231" s="1203"/>
      <c r="AN231" s="1203"/>
      <c r="AO231" s="1203"/>
      <c r="AP231" s="1203"/>
      <c r="AQ231" s="1203"/>
      <c r="AR231" s="1203"/>
      <c r="AS231" s="1203"/>
      <c r="AT231" s="1203"/>
      <c r="AU231" s="1203"/>
      <c r="AV231" s="1203"/>
      <c r="AW231" s="1203"/>
      <c r="AX231" s="1203"/>
      <c r="AY231" s="1203"/>
      <c r="AZ231" s="1203"/>
      <c r="BA231" s="1203"/>
      <c r="BB231" s="1203"/>
      <c r="BC231" s="1203"/>
      <c r="BD231" s="1210"/>
      <c r="BE231" s="1210"/>
    </row>
    <row r="232" spans="1:57" ht="15.75" customHeight="1" thickBot="1">
      <c r="A232" s="1203"/>
      <c r="B232" s="1250"/>
      <c r="C232" s="1251"/>
      <c r="D232" s="1251"/>
      <c r="E232" s="1251"/>
      <c r="F232" s="1251"/>
      <c r="G232" s="1251"/>
      <c r="H232" s="2590" t="s">
        <v>2223</v>
      </c>
      <c r="I232" s="2590"/>
      <c r="J232" s="2590"/>
      <c r="K232" s="2590"/>
      <c r="L232" s="2590"/>
      <c r="M232" s="2590"/>
      <c r="N232" s="2590"/>
      <c r="O232" s="2590"/>
      <c r="P232" s="2590"/>
      <c r="Q232" s="2590"/>
      <c r="R232" s="2590"/>
      <c r="S232" s="2590"/>
      <c r="T232" s="2590"/>
      <c r="U232" s="2590"/>
      <c r="V232" s="2590"/>
      <c r="W232" s="2590"/>
      <c r="X232" s="2590"/>
      <c r="Y232" s="2590"/>
      <c r="Z232" s="2590"/>
      <c r="AA232" s="2590"/>
      <c r="AB232" s="2590"/>
      <c r="AC232" s="2590"/>
      <c r="AD232" s="2590"/>
      <c r="AE232" s="2590"/>
      <c r="AF232" s="2590"/>
      <c r="AG232" s="2590"/>
      <c r="AH232" s="2590"/>
      <c r="AI232" s="2590"/>
      <c r="AJ232" s="2590"/>
      <c r="AK232" s="2590"/>
      <c r="AL232" s="2590"/>
      <c r="AM232" s="2590"/>
      <c r="AN232" s="2590"/>
      <c r="AO232" s="2590"/>
      <c r="AP232" s="2590"/>
      <c r="AQ232" s="2590"/>
      <c r="AR232" s="2590"/>
      <c r="AS232" s="2590"/>
      <c r="AT232" s="2590"/>
      <c r="AU232" s="2590"/>
      <c r="AV232" s="2590"/>
      <c r="AW232" s="1251"/>
      <c r="AX232" s="1251"/>
      <c r="AY232" s="1251"/>
      <c r="AZ232" s="1251"/>
      <c r="BA232" s="1251"/>
      <c r="BB232" s="1251"/>
      <c r="BC232" s="1251"/>
      <c r="BD232" s="1252"/>
      <c r="BE232" s="1210"/>
    </row>
    <row r="233" spans="1:57" ht="15.75" customHeight="1" thickBot="1">
      <c r="A233" s="1203"/>
      <c r="B233" s="1253"/>
      <c r="C233" s="1254"/>
      <c r="D233" s="1254"/>
      <c r="E233" s="1254"/>
      <c r="F233" s="1254"/>
      <c r="G233" s="1254"/>
      <c r="H233" s="1254"/>
      <c r="I233" s="1254"/>
      <c r="J233" s="1254"/>
      <c r="K233" s="1254"/>
      <c r="L233" s="1254"/>
      <c r="M233" s="1254"/>
      <c r="N233" s="1254"/>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5"/>
      <c r="BE233" s="1210"/>
    </row>
    <row r="234" spans="1:57" ht="30" customHeight="1" thickBot="1">
      <c r="A234" s="1203"/>
      <c r="B234" s="1253"/>
      <c r="C234" s="1254"/>
      <c r="D234" s="1254"/>
      <c r="E234" s="1254"/>
      <c r="F234" s="1254"/>
      <c r="G234" s="1254"/>
      <c r="H234" s="2579" t="s">
        <v>2222</v>
      </c>
      <c r="I234" s="2579"/>
      <c r="J234" s="2579"/>
      <c r="K234" s="2579"/>
      <c r="L234" s="1254"/>
      <c r="M234" s="1254"/>
      <c r="N234" s="1254"/>
      <c r="O234" s="1254"/>
      <c r="P234" s="1254"/>
      <c r="Q234" s="1254"/>
      <c r="R234" s="1254"/>
      <c r="S234" s="2591"/>
      <c r="T234" s="2592"/>
      <c r="U234" s="2592"/>
      <c r="V234" s="2592"/>
      <c r="W234" s="2592"/>
      <c r="X234" s="2592"/>
      <c r="Y234" s="2592"/>
      <c r="Z234" s="2592"/>
      <c r="AA234" s="2592"/>
      <c r="AB234" s="2592"/>
      <c r="AC234" s="2592"/>
      <c r="AD234" s="2592"/>
      <c r="AE234" s="2592"/>
      <c r="AF234" s="2592"/>
      <c r="AG234" s="2592"/>
      <c r="AH234" s="2592"/>
      <c r="AI234" s="2592"/>
      <c r="AJ234" s="2593"/>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5"/>
      <c r="BE234" s="1210"/>
    </row>
    <row r="235" spans="1:57" ht="15.75" customHeight="1" thickBot="1">
      <c r="A235" s="1203"/>
      <c r="B235" s="1253"/>
      <c r="C235" s="1254"/>
      <c r="D235" s="1254"/>
      <c r="E235" s="1254"/>
      <c r="F235" s="1254"/>
      <c r="G235" s="1254"/>
      <c r="H235" s="1256"/>
      <c r="I235" s="1256"/>
      <c r="J235" s="1256"/>
      <c r="K235" s="1256"/>
      <c r="L235" s="1254"/>
      <c r="M235" s="1254"/>
      <c r="N235" s="1254"/>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5"/>
      <c r="BE235" s="1210"/>
    </row>
    <row r="236" spans="1:57" ht="15.75" customHeight="1" thickBot="1">
      <c r="A236" s="1203"/>
      <c r="B236" s="1253"/>
      <c r="C236" s="1254"/>
      <c r="D236" s="1254"/>
      <c r="E236" s="1254"/>
      <c r="F236" s="1254"/>
      <c r="G236" s="1254"/>
      <c r="H236" s="2579" t="s">
        <v>2221</v>
      </c>
      <c r="I236" s="2579"/>
      <c r="J236" s="2579"/>
      <c r="K236" s="1256"/>
      <c r="L236" s="1254"/>
      <c r="M236" s="1254"/>
      <c r="N236" s="1254"/>
      <c r="O236" s="1254"/>
      <c r="P236" s="1254"/>
      <c r="Q236" s="1254"/>
      <c r="R236" s="1254"/>
      <c r="S236" s="2580" t="s">
        <v>2641</v>
      </c>
      <c r="T236" s="2581"/>
      <c r="U236" s="2581"/>
      <c r="V236" s="2581"/>
      <c r="W236" s="2581"/>
      <c r="X236" s="2581"/>
      <c r="Y236" s="2581"/>
      <c r="Z236" s="2581"/>
      <c r="AA236" s="2581"/>
      <c r="AB236" s="2581"/>
      <c r="AC236" s="2581"/>
      <c r="AD236" s="2581"/>
      <c r="AE236" s="2581"/>
      <c r="AF236" s="2581"/>
      <c r="AG236" s="2581"/>
      <c r="AH236" s="2581"/>
      <c r="AI236" s="2581"/>
      <c r="AJ236" s="2582"/>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5"/>
      <c r="BE236" s="1210"/>
    </row>
    <row r="237" spans="1:57" ht="15.75" customHeight="1" thickBot="1">
      <c r="A237" s="1203"/>
      <c r="B237" s="1253"/>
      <c r="C237" s="1254"/>
      <c r="D237" s="1254"/>
      <c r="E237" s="1254"/>
      <c r="F237" s="1254"/>
      <c r="G237" s="1254"/>
      <c r="H237" s="1256"/>
      <c r="I237" s="1256"/>
      <c r="J237" s="1256"/>
      <c r="K237" s="1256"/>
      <c r="L237" s="1254"/>
      <c r="M237" s="1254"/>
      <c r="N237" s="1254"/>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5"/>
      <c r="BE237" s="1210"/>
    </row>
    <row r="238" spans="1:57" ht="15.75" customHeight="1" thickBot="1">
      <c r="A238" s="1203"/>
      <c r="B238" s="1253"/>
      <c r="C238" s="1254"/>
      <c r="D238" s="1254"/>
      <c r="E238" s="1254"/>
      <c r="F238" s="1254"/>
      <c r="G238" s="1254"/>
      <c r="H238" s="2579" t="s">
        <v>440</v>
      </c>
      <c r="I238" s="2579"/>
      <c r="J238" s="1256"/>
      <c r="K238" s="1256"/>
      <c r="L238" s="1254"/>
      <c r="M238" s="1254"/>
      <c r="N238" s="1254"/>
      <c r="O238" s="1254"/>
      <c r="P238" s="1254"/>
      <c r="Q238" s="1254"/>
      <c r="R238" s="1254"/>
      <c r="S238" s="2580" t="s">
        <v>2642</v>
      </c>
      <c r="T238" s="2581"/>
      <c r="U238" s="2581"/>
      <c r="V238" s="2581"/>
      <c r="W238" s="2581"/>
      <c r="X238" s="2581"/>
      <c r="Y238" s="2581"/>
      <c r="Z238" s="2581"/>
      <c r="AA238" s="2581"/>
      <c r="AB238" s="2581"/>
      <c r="AC238" s="2581"/>
      <c r="AD238" s="2581"/>
      <c r="AE238" s="2581"/>
      <c r="AF238" s="2581"/>
      <c r="AG238" s="2581"/>
      <c r="AH238" s="2581"/>
      <c r="AI238" s="2581"/>
      <c r="AJ238" s="2582"/>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5"/>
      <c r="BE238" s="1210"/>
    </row>
    <row r="239" spans="1:57" ht="15.75" customHeight="1" thickBot="1">
      <c r="A239" s="1203"/>
      <c r="B239" s="1253"/>
      <c r="C239" s="1254"/>
      <c r="D239" s="1254"/>
      <c r="E239" s="1254"/>
      <c r="F239" s="1254"/>
      <c r="G239" s="1254"/>
      <c r="H239" s="1254"/>
      <c r="I239" s="1254"/>
      <c r="J239" s="1254"/>
      <c r="K239" s="1254"/>
      <c r="L239" s="1254"/>
      <c r="M239" s="1254"/>
      <c r="N239" s="1254"/>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5"/>
      <c r="BE239" s="1210"/>
    </row>
    <row r="240" spans="1:57" ht="15.75" customHeight="1" thickBot="1">
      <c r="A240" s="1203"/>
      <c r="B240" s="1253"/>
      <c r="C240" s="1254"/>
      <c r="D240" s="1254"/>
      <c r="E240" s="1254"/>
      <c r="F240" s="1254"/>
      <c r="G240" s="1254"/>
      <c r="H240" s="2583" t="s">
        <v>2220</v>
      </c>
      <c r="I240" s="2583"/>
      <c r="J240" s="2583"/>
      <c r="K240" s="2583"/>
      <c r="L240" s="2583"/>
      <c r="M240" s="2583"/>
      <c r="N240" s="2583"/>
      <c r="O240" s="2583"/>
      <c r="P240" s="1254"/>
      <c r="Q240" s="1254"/>
      <c r="R240" s="1254"/>
      <c r="S240" s="2584" t="str">
        <f>AF71</f>
        <v>Fong Natomas L.P.</v>
      </c>
      <c r="T240" s="2581"/>
      <c r="U240" s="2581"/>
      <c r="V240" s="2581"/>
      <c r="W240" s="2581"/>
      <c r="X240" s="2581"/>
      <c r="Y240" s="2581"/>
      <c r="Z240" s="2581"/>
      <c r="AA240" s="2581"/>
      <c r="AB240" s="2581"/>
      <c r="AC240" s="2581"/>
      <c r="AD240" s="2581"/>
      <c r="AE240" s="2581"/>
      <c r="AF240" s="2581"/>
      <c r="AG240" s="2581"/>
      <c r="AH240" s="2581"/>
      <c r="AI240" s="2581"/>
      <c r="AJ240" s="2582"/>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5"/>
      <c r="BE240" s="1210"/>
    </row>
    <row r="241" spans="1:57" ht="15.75" customHeight="1" thickBot="1">
      <c r="A241" s="1203"/>
      <c r="B241" s="1253"/>
      <c r="C241" s="1254"/>
      <c r="D241" s="1254"/>
      <c r="E241" s="1254"/>
      <c r="F241" s="1254"/>
      <c r="G241" s="1254"/>
      <c r="H241" s="1254"/>
      <c r="I241" s="1254"/>
      <c r="J241" s="1254"/>
      <c r="K241" s="1254"/>
      <c r="L241" s="1254"/>
      <c r="M241" s="1254"/>
      <c r="N241" s="1254"/>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5"/>
      <c r="BE241" s="1210"/>
    </row>
    <row r="242" spans="1:57" ht="15.75" customHeight="1" thickBot="1">
      <c r="A242" s="1203"/>
      <c r="B242" s="1253"/>
      <c r="C242" s="1254"/>
      <c r="D242" s="1254"/>
      <c r="E242" s="1254"/>
      <c r="F242" s="1254"/>
      <c r="G242" s="1254"/>
      <c r="H242" s="2585" t="s">
        <v>2219</v>
      </c>
      <c r="I242" s="2585"/>
      <c r="J242" s="1254"/>
      <c r="K242" s="1254"/>
      <c r="L242" s="1254"/>
      <c r="M242" s="1254"/>
      <c r="N242" s="1254"/>
      <c r="O242" s="1254"/>
      <c r="P242" s="1254"/>
      <c r="Q242" s="1254"/>
      <c r="R242" s="1254"/>
      <c r="S242" s="2586">
        <v>46080</v>
      </c>
      <c r="T242" s="2587"/>
      <c r="U242" s="2587"/>
      <c r="V242" s="2587"/>
      <c r="W242" s="2587"/>
      <c r="X242" s="2587"/>
      <c r="Y242" s="2587"/>
      <c r="Z242" s="2587"/>
      <c r="AA242" s="2587"/>
      <c r="AB242" s="2587"/>
      <c r="AC242" s="2587"/>
      <c r="AD242" s="2587"/>
      <c r="AE242" s="2587"/>
      <c r="AF242" s="2587"/>
      <c r="AG242" s="2587"/>
      <c r="AH242" s="2587"/>
      <c r="AI242" s="2587"/>
      <c r="AJ242" s="2588"/>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5"/>
      <c r="BE242" s="1210"/>
    </row>
    <row r="243" spans="1:57" ht="15.75" customHeight="1" thickBot="1">
      <c r="A243" s="1203"/>
      <c r="B243" s="1257"/>
      <c r="C243" s="1258"/>
      <c r="D243" s="1258"/>
      <c r="E243" s="1258"/>
      <c r="F243" s="1258"/>
      <c r="G243" s="1258"/>
      <c r="H243" s="1258"/>
      <c r="I243" s="1258"/>
      <c r="J243" s="1258"/>
      <c r="K243" s="1258"/>
      <c r="L243" s="1258"/>
      <c r="M243" s="1258"/>
      <c r="N243" s="1258"/>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9"/>
      <c r="BE243" s="1210"/>
    </row>
    <row r="244" spans="1:57" ht="15.75" customHeight="1" thickBot="1">
      <c r="A244" s="1251"/>
      <c r="B244" s="1251"/>
      <c r="C244" s="1251"/>
      <c r="D244" s="1251"/>
      <c r="E244" s="1251"/>
      <c r="F244" s="1251"/>
      <c r="G244" s="1251"/>
      <c r="H244" s="1251"/>
      <c r="I244" s="1251"/>
      <c r="J244" s="1251"/>
      <c r="K244" s="1251"/>
      <c r="L244" s="1251"/>
      <c r="M244" s="1251"/>
      <c r="N244" s="1251"/>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2"/>
    </row>
    <row r="247" spans="1:57" ht="15.75" customHeight="1">
      <c r="D247" s="1201"/>
    </row>
    <row r="248" spans="1:57" ht="15.75" customHeight="1">
      <c r="D248" s="1260"/>
    </row>
    <row r="249" spans="1:57" ht="15.75" customHeight="1">
      <c r="D249" s="1201"/>
    </row>
    <row r="250" spans="1:57" ht="15.75" customHeight="1">
      <c r="D250" s="1201"/>
    </row>
    <row r="251" spans="1:57" ht="15.75" customHeight="1">
      <c r="R251" s="1199"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1" sqref="T11:X11"/>
    </sheetView>
  </sheetViews>
  <sheetFormatPr defaultColWidth="0" defaultRowHeight="12.95" customHeight="1" zeroHeight="1"/>
  <cols>
    <col min="1" max="1" width="1.5703125" style="400" customWidth="1"/>
    <col min="2" max="2" width="0.85546875" style="400" customWidth="1"/>
    <col min="3" max="18" width="2.5703125" style="400" customWidth="1"/>
    <col min="19" max="19" width="6.42578125" style="400" customWidth="1"/>
    <col min="20" max="39" width="2.5703125" style="400" customWidth="1"/>
    <col min="40" max="40" width="1.5703125" style="400" customWidth="1"/>
    <col min="41" max="256" width="2.5703125" style="400" hidden="1"/>
    <col min="257" max="257" width="1.5703125" style="400" hidden="1" customWidth="1"/>
    <col min="258" max="258" width="0.85546875" style="400" hidden="1" customWidth="1"/>
    <col min="259" max="274" width="2.5703125" style="400" hidden="1" customWidth="1"/>
    <col min="275" max="275" width="4" style="400" hidden="1" customWidth="1"/>
    <col min="276" max="279" width="2.5703125" style="400" hidden="1" customWidth="1"/>
    <col min="280" max="280" width="2.42578125" style="400" hidden="1" customWidth="1"/>
    <col min="281" max="284" width="2.5703125" style="400" hidden="1" customWidth="1"/>
    <col min="285" max="285" width="2.42578125" style="400" hidden="1" customWidth="1"/>
    <col min="286" max="289" width="2.5703125" style="400" hidden="1" customWidth="1"/>
    <col min="290" max="295" width="2.42578125" style="400" hidden="1" customWidth="1"/>
    <col min="296" max="296" width="1.5703125" style="400" hidden="1" customWidth="1"/>
    <col min="297" max="512" width="2.5703125" style="400" hidden="1"/>
    <col min="513" max="513" width="1.5703125" style="400" hidden="1" customWidth="1"/>
    <col min="514" max="514" width="0.85546875" style="400" hidden="1" customWidth="1"/>
    <col min="515" max="530" width="2.5703125" style="400" hidden="1" customWidth="1"/>
    <col min="531" max="531" width="4" style="400" hidden="1" customWidth="1"/>
    <col min="532" max="535" width="2.5703125" style="400" hidden="1" customWidth="1"/>
    <col min="536" max="536" width="2.42578125" style="400" hidden="1" customWidth="1"/>
    <col min="537" max="540" width="2.5703125" style="400" hidden="1" customWidth="1"/>
    <col min="541" max="541" width="2.42578125" style="400" hidden="1" customWidth="1"/>
    <col min="542" max="545" width="2.5703125" style="400" hidden="1" customWidth="1"/>
    <col min="546" max="551" width="2.42578125" style="400" hidden="1" customWidth="1"/>
    <col min="552" max="552" width="1.5703125" style="400" hidden="1" customWidth="1"/>
    <col min="553" max="768" width="2.5703125" style="400" hidden="1"/>
    <col min="769" max="769" width="1.5703125" style="400" hidden="1" customWidth="1"/>
    <col min="770" max="770" width="0.85546875" style="400" hidden="1" customWidth="1"/>
    <col min="771" max="786" width="2.5703125" style="400" hidden="1" customWidth="1"/>
    <col min="787" max="787" width="4" style="400" hidden="1" customWidth="1"/>
    <col min="788" max="791" width="2.5703125" style="400" hidden="1" customWidth="1"/>
    <col min="792" max="792" width="2.42578125" style="400" hidden="1" customWidth="1"/>
    <col min="793" max="796" width="2.5703125" style="400" hidden="1" customWidth="1"/>
    <col min="797" max="797" width="2.42578125" style="400" hidden="1" customWidth="1"/>
    <col min="798" max="801" width="2.5703125" style="400" hidden="1" customWidth="1"/>
    <col min="802" max="807" width="2.42578125" style="400" hidden="1" customWidth="1"/>
    <col min="808" max="808" width="1.5703125" style="400" hidden="1" customWidth="1"/>
    <col min="809" max="1024" width="2.5703125" style="400" hidden="1"/>
    <col min="1025" max="1025" width="1.5703125" style="400" hidden="1" customWidth="1"/>
    <col min="1026" max="1026" width="0.85546875" style="400" hidden="1" customWidth="1"/>
    <col min="1027" max="1042" width="2.5703125" style="400" hidden="1" customWidth="1"/>
    <col min="1043" max="1043" width="4" style="400" hidden="1" customWidth="1"/>
    <col min="1044" max="1047" width="2.5703125" style="400" hidden="1" customWidth="1"/>
    <col min="1048" max="1048" width="2.42578125" style="400" hidden="1" customWidth="1"/>
    <col min="1049" max="1052" width="2.5703125" style="400" hidden="1" customWidth="1"/>
    <col min="1053" max="1053" width="2.42578125" style="400" hidden="1" customWidth="1"/>
    <col min="1054" max="1057" width="2.5703125" style="400" hidden="1" customWidth="1"/>
    <col min="1058" max="1063" width="2.42578125" style="400" hidden="1" customWidth="1"/>
    <col min="1064" max="1064" width="1.5703125" style="400" hidden="1" customWidth="1"/>
    <col min="1065" max="1280" width="2.5703125" style="400" hidden="1"/>
    <col min="1281" max="1281" width="1.5703125" style="400" hidden="1" customWidth="1"/>
    <col min="1282" max="1282" width="0.85546875" style="400" hidden="1" customWidth="1"/>
    <col min="1283" max="1298" width="2.5703125" style="400" hidden="1" customWidth="1"/>
    <col min="1299" max="1299" width="4" style="400" hidden="1" customWidth="1"/>
    <col min="1300" max="1303" width="2.5703125" style="400" hidden="1" customWidth="1"/>
    <col min="1304" max="1304" width="2.42578125" style="400" hidden="1" customWidth="1"/>
    <col min="1305" max="1308" width="2.5703125" style="400" hidden="1" customWidth="1"/>
    <col min="1309" max="1309" width="2.42578125" style="400" hidden="1" customWidth="1"/>
    <col min="1310" max="1313" width="2.5703125" style="400" hidden="1" customWidth="1"/>
    <col min="1314" max="1319" width="2.42578125" style="400" hidden="1" customWidth="1"/>
    <col min="1320" max="1320" width="1.5703125" style="400" hidden="1" customWidth="1"/>
    <col min="1321" max="1536" width="2.5703125" style="400" hidden="1"/>
    <col min="1537" max="1537" width="1.5703125" style="400" hidden="1" customWidth="1"/>
    <col min="1538" max="1538" width="0.85546875" style="400" hidden="1" customWidth="1"/>
    <col min="1539" max="1554" width="2.5703125" style="400" hidden="1" customWidth="1"/>
    <col min="1555" max="1555" width="4" style="400" hidden="1" customWidth="1"/>
    <col min="1556" max="1559" width="2.5703125" style="400" hidden="1" customWidth="1"/>
    <col min="1560" max="1560" width="2.42578125" style="400" hidden="1" customWidth="1"/>
    <col min="1561" max="1564" width="2.5703125" style="400" hidden="1" customWidth="1"/>
    <col min="1565" max="1565" width="2.42578125" style="400" hidden="1" customWidth="1"/>
    <col min="1566" max="1569" width="2.5703125" style="400" hidden="1" customWidth="1"/>
    <col min="1570" max="1575" width="2.42578125" style="400" hidden="1" customWidth="1"/>
    <col min="1576" max="1576" width="1.5703125" style="400" hidden="1" customWidth="1"/>
    <col min="1577" max="1792" width="2.5703125" style="400" hidden="1"/>
    <col min="1793" max="1793" width="1.5703125" style="400" hidden="1" customWidth="1"/>
    <col min="1794" max="1794" width="0.85546875" style="400" hidden="1" customWidth="1"/>
    <col min="1795" max="1810" width="2.5703125" style="400" hidden="1" customWidth="1"/>
    <col min="1811" max="1811" width="4" style="400" hidden="1" customWidth="1"/>
    <col min="1812" max="1815" width="2.5703125" style="400" hidden="1" customWidth="1"/>
    <col min="1816" max="1816" width="2.42578125" style="400" hidden="1" customWidth="1"/>
    <col min="1817" max="1820" width="2.5703125" style="400" hidden="1" customWidth="1"/>
    <col min="1821" max="1821" width="2.42578125" style="400" hidden="1" customWidth="1"/>
    <col min="1822" max="1825" width="2.5703125" style="400" hidden="1" customWidth="1"/>
    <col min="1826" max="1831" width="2.42578125" style="400" hidden="1" customWidth="1"/>
    <col min="1832" max="1832" width="1.5703125" style="400" hidden="1" customWidth="1"/>
    <col min="1833" max="2048" width="2.5703125" style="400" hidden="1"/>
    <col min="2049" max="2049" width="1.5703125" style="400" hidden="1" customWidth="1"/>
    <col min="2050" max="2050" width="0.85546875" style="400" hidden="1" customWidth="1"/>
    <col min="2051" max="2066" width="2.5703125" style="400" hidden="1" customWidth="1"/>
    <col min="2067" max="2067" width="4" style="400" hidden="1" customWidth="1"/>
    <col min="2068" max="2071" width="2.5703125" style="400" hidden="1" customWidth="1"/>
    <col min="2072" max="2072" width="2.42578125" style="400" hidden="1" customWidth="1"/>
    <col min="2073" max="2076" width="2.5703125" style="400" hidden="1" customWidth="1"/>
    <col min="2077" max="2077" width="2.42578125" style="400" hidden="1" customWidth="1"/>
    <col min="2078" max="2081" width="2.5703125" style="400" hidden="1" customWidth="1"/>
    <col min="2082" max="2087" width="2.42578125" style="400" hidden="1" customWidth="1"/>
    <col min="2088" max="2088" width="1.5703125" style="400" hidden="1" customWidth="1"/>
    <col min="2089" max="2304" width="2.5703125" style="400" hidden="1"/>
    <col min="2305" max="2305" width="1.5703125" style="400" hidden="1" customWidth="1"/>
    <col min="2306" max="2306" width="0.85546875" style="400" hidden="1" customWidth="1"/>
    <col min="2307" max="2322" width="2.5703125" style="400" hidden="1" customWidth="1"/>
    <col min="2323" max="2323" width="4" style="400" hidden="1" customWidth="1"/>
    <col min="2324" max="2327" width="2.5703125" style="400" hidden="1" customWidth="1"/>
    <col min="2328" max="2328" width="2.42578125" style="400" hidden="1" customWidth="1"/>
    <col min="2329" max="2332" width="2.5703125" style="400" hidden="1" customWidth="1"/>
    <col min="2333" max="2333" width="2.42578125" style="400" hidden="1" customWidth="1"/>
    <col min="2334" max="2337" width="2.5703125" style="400" hidden="1" customWidth="1"/>
    <col min="2338" max="2343" width="2.42578125" style="400" hidden="1" customWidth="1"/>
    <col min="2344" max="2344" width="1.5703125" style="400" hidden="1" customWidth="1"/>
    <col min="2345" max="2560" width="2.5703125" style="400" hidden="1"/>
    <col min="2561" max="2561" width="1.5703125" style="400" hidden="1" customWidth="1"/>
    <col min="2562" max="2562" width="0.85546875" style="400" hidden="1" customWidth="1"/>
    <col min="2563" max="2578" width="2.5703125" style="400" hidden="1" customWidth="1"/>
    <col min="2579" max="2579" width="4" style="400" hidden="1" customWidth="1"/>
    <col min="2580" max="2583" width="2.5703125" style="400" hidden="1" customWidth="1"/>
    <col min="2584" max="2584" width="2.42578125" style="400" hidden="1" customWidth="1"/>
    <col min="2585" max="2588" width="2.5703125" style="400" hidden="1" customWidth="1"/>
    <col min="2589" max="2589" width="2.42578125" style="400" hidden="1" customWidth="1"/>
    <col min="2590" max="2593" width="2.5703125" style="400" hidden="1" customWidth="1"/>
    <col min="2594" max="2599" width="2.42578125" style="400" hidden="1" customWidth="1"/>
    <col min="2600" max="2600" width="1.5703125" style="400" hidden="1" customWidth="1"/>
    <col min="2601" max="2816" width="2.5703125" style="400" hidden="1"/>
    <col min="2817" max="2817" width="1.5703125" style="400" hidden="1" customWidth="1"/>
    <col min="2818" max="2818" width="0.85546875" style="400" hidden="1" customWidth="1"/>
    <col min="2819" max="2834" width="2.5703125" style="400" hidden="1" customWidth="1"/>
    <col min="2835" max="2835" width="4" style="400" hidden="1" customWidth="1"/>
    <col min="2836" max="2839" width="2.5703125" style="400" hidden="1" customWidth="1"/>
    <col min="2840" max="2840" width="2.42578125" style="400" hidden="1" customWidth="1"/>
    <col min="2841" max="2844" width="2.5703125" style="400" hidden="1" customWidth="1"/>
    <col min="2845" max="2845" width="2.42578125" style="400" hidden="1" customWidth="1"/>
    <col min="2846" max="2849" width="2.5703125" style="400" hidden="1" customWidth="1"/>
    <col min="2850" max="2855" width="2.42578125" style="400" hidden="1" customWidth="1"/>
    <col min="2856" max="2856" width="1.5703125" style="400" hidden="1" customWidth="1"/>
    <col min="2857" max="3072" width="2.5703125" style="400" hidden="1"/>
    <col min="3073" max="3073" width="1.5703125" style="400" hidden="1" customWidth="1"/>
    <col min="3074" max="3074" width="0.85546875" style="400" hidden="1" customWidth="1"/>
    <col min="3075" max="3090" width="2.5703125" style="400" hidden="1" customWidth="1"/>
    <col min="3091" max="3091" width="4" style="400" hidden="1" customWidth="1"/>
    <col min="3092" max="3095" width="2.5703125" style="400" hidden="1" customWidth="1"/>
    <col min="3096" max="3096" width="2.42578125" style="400" hidden="1" customWidth="1"/>
    <col min="3097" max="3100" width="2.5703125" style="400" hidden="1" customWidth="1"/>
    <col min="3101" max="3101" width="2.42578125" style="400" hidden="1" customWidth="1"/>
    <col min="3102" max="3105" width="2.5703125" style="400" hidden="1" customWidth="1"/>
    <col min="3106" max="3111" width="2.42578125" style="400" hidden="1" customWidth="1"/>
    <col min="3112" max="3112" width="1.5703125" style="400" hidden="1" customWidth="1"/>
    <col min="3113" max="3328" width="2.5703125" style="400" hidden="1"/>
    <col min="3329" max="3329" width="1.5703125" style="400" hidden="1" customWidth="1"/>
    <col min="3330" max="3330" width="0.85546875" style="400" hidden="1" customWidth="1"/>
    <col min="3331" max="3346" width="2.5703125" style="400" hidden="1" customWidth="1"/>
    <col min="3347" max="3347" width="4" style="400" hidden="1" customWidth="1"/>
    <col min="3348" max="3351" width="2.5703125" style="400" hidden="1" customWidth="1"/>
    <col min="3352" max="3352" width="2.42578125" style="400" hidden="1" customWidth="1"/>
    <col min="3353" max="3356" width="2.5703125" style="400" hidden="1" customWidth="1"/>
    <col min="3357" max="3357" width="2.42578125" style="400" hidden="1" customWidth="1"/>
    <col min="3358" max="3361" width="2.5703125" style="400" hidden="1" customWidth="1"/>
    <col min="3362" max="3367" width="2.42578125" style="400" hidden="1" customWidth="1"/>
    <col min="3368" max="3368" width="1.5703125" style="400" hidden="1" customWidth="1"/>
    <col min="3369" max="3584" width="2.5703125" style="400" hidden="1"/>
    <col min="3585" max="3585" width="1.5703125" style="400" hidden="1" customWidth="1"/>
    <col min="3586" max="3586" width="0.85546875" style="400" hidden="1" customWidth="1"/>
    <col min="3587" max="3602" width="2.5703125" style="400" hidden="1" customWidth="1"/>
    <col min="3603" max="3603" width="4" style="400" hidden="1" customWidth="1"/>
    <col min="3604" max="3607" width="2.5703125" style="400" hidden="1" customWidth="1"/>
    <col min="3608" max="3608" width="2.42578125" style="400" hidden="1" customWidth="1"/>
    <col min="3609" max="3612" width="2.5703125" style="400" hidden="1" customWidth="1"/>
    <col min="3613" max="3613" width="2.42578125" style="400" hidden="1" customWidth="1"/>
    <col min="3614" max="3617" width="2.5703125" style="400" hidden="1" customWidth="1"/>
    <col min="3618" max="3623" width="2.42578125" style="400" hidden="1" customWidth="1"/>
    <col min="3624" max="3624" width="1.5703125" style="400" hidden="1" customWidth="1"/>
    <col min="3625" max="3840" width="2.5703125" style="400" hidden="1"/>
    <col min="3841" max="3841" width="1.5703125" style="400" hidden="1" customWidth="1"/>
    <col min="3842" max="3842" width="0.85546875" style="400" hidden="1" customWidth="1"/>
    <col min="3843" max="3858" width="2.5703125" style="400" hidden="1" customWidth="1"/>
    <col min="3859" max="3859" width="4" style="400" hidden="1" customWidth="1"/>
    <col min="3860" max="3863" width="2.5703125" style="400" hidden="1" customWidth="1"/>
    <col min="3864" max="3864" width="2.42578125" style="400" hidden="1" customWidth="1"/>
    <col min="3865" max="3868" width="2.5703125" style="400" hidden="1" customWidth="1"/>
    <col min="3869" max="3869" width="2.42578125" style="400" hidden="1" customWidth="1"/>
    <col min="3870" max="3873" width="2.5703125" style="400" hidden="1" customWidth="1"/>
    <col min="3874" max="3879" width="2.42578125" style="400" hidden="1" customWidth="1"/>
    <col min="3880" max="3880" width="1.5703125" style="400" hidden="1" customWidth="1"/>
    <col min="3881" max="4096" width="2.5703125" style="400" hidden="1"/>
    <col min="4097" max="4097" width="1.5703125" style="400" hidden="1" customWidth="1"/>
    <col min="4098" max="4098" width="0.85546875" style="400" hidden="1" customWidth="1"/>
    <col min="4099" max="4114" width="2.5703125" style="400" hidden="1" customWidth="1"/>
    <col min="4115" max="4115" width="4" style="400" hidden="1" customWidth="1"/>
    <col min="4116" max="4119" width="2.5703125" style="400" hidden="1" customWidth="1"/>
    <col min="4120" max="4120" width="2.42578125" style="400" hidden="1" customWidth="1"/>
    <col min="4121" max="4124" width="2.5703125" style="400" hidden="1" customWidth="1"/>
    <col min="4125" max="4125" width="2.42578125" style="400" hidden="1" customWidth="1"/>
    <col min="4126" max="4129" width="2.5703125" style="400" hidden="1" customWidth="1"/>
    <col min="4130" max="4135" width="2.42578125" style="400" hidden="1" customWidth="1"/>
    <col min="4136" max="4136" width="1.5703125" style="400" hidden="1" customWidth="1"/>
    <col min="4137" max="4352" width="2.5703125" style="400" hidden="1"/>
    <col min="4353" max="4353" width="1.5703125" style="400" hidden="1" customWidth="1"/>
    <col min="4354" max="4354" width="0.85546875" style="400" hidden="1" customWidth="1"/>
    <col min="4355" max="4370" width="2.5703125" style="400" hidden="1" customWidth="1"/>
    <col min="4371" max="4371" width="4" style="400" hidden="1" customWidth="1"/>
    <col min="4372" max="4375" width="2.5703125" style="400" hidden="1" customWidth="1"/>
    <col min="4376" max="4376" width="2.42578125" style="400" hidden="1" customWidth="1"/>
    <col min="4377" max="4380" width="2.5703125" style="400" hidden="1" customWidth="1"/>
    <col min="4381" max="4381" width="2.42578125" style="400" hidden="1" customWidth="1"/>
    <col min="4382" max="4385" width="2.5703125" style="400" hidden="1" customWidth="1"/>
    <col min="4386" max="4391" width="2.42578125" style="400" hidden="1" customWidth="1"/>
    <col min="4392" max="4392" width="1.5703125" style="400" hidden="1" customWidth="1"/>
    <col min="4393" max="4608" width="2.5703125" style="400" hidden="1"/>
    <col min="4609" max="4609" width="1.5703125" style="400" hidden="1" customWidth="1"/>
    <col min="4610" max="4610" width="0.85546875" style="400" hidden="1" customWidth="1"/>
    <col min="4611" max="4626" width="2.5703125" style="400" hidden="1" customWidth="1"/>
    <col min="4627" max="4627" width="4" style="400" hidden="1" customWidth="1"/>
    <col min="4628" max="4631" width="2.5703125" style="400" hidden="1" customWidth="1"/>
    <col min="4632" max="4632" width="2.42578125" style="400" hidden="1" customWidth="1"/>
    <col min="4633" max="4636" width="2.5703125" style="400" hidden="1" customWidth="1"/>
    <col min="4637" max="4637" width="2.42578125" style="400" hidden="1" customWidth="1"/>
    <col min="4638" max="4641" width="2.5703125" style="400" hidden="1" customWidth="1"/>
    <col min="4642" max="4647" width="2.42578125" style="400" hidden="1" customWidth="1"/>
    <col min="4648" max="4648" width="1.5703125" style="400" hidden="1" customWidth="1"/>
    <col min="4649" max="4864" width="2.5703125" style="400" hidden="1"/>
    <col min="4865" max="4865" width="1.5703125" style="400" hidden="1" customWidth="1"/>
    <col min="4866" max="4866" width="0.85546875" style="400" hidden="1" customWidth="1"/>
    <col min="4867" max="4882" width="2.5703125" style="400" hidden="1" customWidth="1"/>
    <col min="4883" max="4883" width="4" style="400" hidden="1" customWidth="1"/>
    <col min="4884" max="4887" width="2.5703125" style="400" hidden="1" customWidth="1"/>
    <col min="4888" max="4888" width="2.42578125" style="400" hidden="1" customWidth="1"/>
    <col min="4889" max="4892" width="2.5703125" style="400" hidden="1" customWidth="1"/>
    <col min="4893" max="4893" width="2.42578125" style="400" hidden="1" customWidth="1"/>
    <col min="4894" max="4897" width="2.5703125" style="400" hidden="1" customWidth="1"/>
    <col min="4898" max="4903" width="2.42578125" style="400" hidden="1" customWidth="1"/>
    <col min="4904" max="4904" width="1.5703125" style="400" hidden="1" customWidth="1"/>
    <col min="4905" max="5120" width="2.5703125" style="400" hidden="1"/>
    <col min="5121" max="5121" width="1.5703125" style="400" hidden="1" customWidth="1"/>
    <col min="5122" max="5122" width="0.85546875" style="400" hidden="1" customWidth="1"/>
    <col min="5123" max="5138" width="2.5703125" style="400" hidden="1" customWidth="1"/>
    <col min="5139" max="5139" width="4" style="400" hidden="1" customWidth="1"/>
    <col min="5140" max="5143" width="2.5703125" style="400" hidden="1" customWidth="1"/>
    <col min="5144" max="5144" width="2.42578125" style="400" hidden="1" customWidth="1"/>
    <col min="5145" max="5148" width="2.5703125" style="400" hidden="1" customWidth="1"/>
    <col min="5149" max="5149" width="2.42578125" style="400" hidden="1" customWidth="1"/>
    <col min="5150" max="5153" width="2.5703125" style="400" hidden="1" customWidth="1"/>
    <col min="5154" max="5159" width="2.42578125" style="400" hidden="1" customWidth="1"/>
    <col min="5160" max="5160" width="1.5703125" style="400" hidden="1" customWidth="1"/>
    <col min="5161" max="5376" width="2.5703125" style="400" hidden="1"/>
    <col min="5377" max="5377" width="1.5703125" style="400" hidden="1" customWidth="1"/>
    <col min="5378" max="5378" width="0.85546875" style="400" hidden="1" customWidth="1"/>
    <col min="5379" max="5394" width="2.5703125" style="400" hidden="1" customWidth="1"/>
    <col min="5395" max="5395" width="4" style="400" hidden="1" customWidth="1"/>
    <col min="5396" max="5399" width="2.5703125" style="400" hidden="1" customWidth="1"/>
    <col min="5400" max="5400" width="2.42578125" style="400" hidden="1" customWidth="1"/>
    <col min="5401" max="5404" width="2.5703125" style="400" hidden="1" customWidth="1"/>
    <col min="5405" max="5405" width="2.42578125" style="400" hidden="1" customWidth="1"/>
    <col min="5406" max="5409" width="2.5703125" style="400" hidden="1" customWidth="1"/>
    <col min="5410" max="5415" width="2.42578125" style="400" hidden="1" customWidth="1"/>
    <col min="5416" max="5416" width="1.5703125" style="400" hidden="1" customWidth="1"/>
    <col min="5417" max="5632" width="2.5703125" style="400" hidden="1"/>
    <col min="5633" max="5633" width="1.5703125" style="400" hidden="1" customWidth="1"/>
    <col min="5634" max="5634" width="0.85546875" style="400" hidden="1" customWidth="1"/>
    <col min="5635" max="5650" width="2.5703125" style="400" hidden="1" customWidth="1"/>
    <col min="5651" max="5651" width="4" style="400" hidden="1" customWidth="1"/>
    <col min="5652" max="5655" width="2.5703125" style="400" hidden="1" customWidth="1"/>
    <col min="5656" max="5656" width="2.42578125" style="400" hidden="1" customWidth="1"/>
    <col min="5657" max="5660" width="2.5703125" style="400" hidden="1" customWidth="1"/>
    <col min="5661" max="5661" width="2.42578125" style="400" hidden="1" customWidth="1"/>
    <col min="5662" max="5665" width="2.5703125" style="400" hidden="1" customWidth="1"/>
    <col min="5666" max="5671" width="2.42578125" style="400" hidden="1" customWidth="1"/>
    <col min="5672" max="5672" width="1.5703125" style="400" hidden="1" customWidth="1"/>
    <col min="5673" max="5888" width="2.5703125" style="400" hidden="1"/>
    <col min="5889" max="5889" width="1.5703125" style="400" hidden="1" customWidth="1"/>
    <col min="5890" max="5890" width="0.85546875" style="400" hidden="1" customWidth="1"/>
    <col min="5891" max="5906" width="2.5703125" style="400" hidden="1" customWidth="1"/>
    <col min="5907" max="5907" width="4" style="400" hidden="1" customWidth="1"/>
    <col min="5908" max="5911" width="2.5703125" style="400" hidden="1" customWidth="1"/>
    <col min="5912" max="5912" width="2.42578125" style="400" hidden="1" customWidth="1"/>
    <col min="5913" max="5916" width="2.5703125" style="400" hidden="1" customWidth="1"/>
    <col min="5917" max="5917" width="2.42578125" style="400" hidden="1" customWidth="1"/>
    <col min="5918" max="5921" width="2.5703125" style="400" hidden="1" customWidth="1"/>
    <col min="5922" max="5927" width="2.42578125" style="400" hidden="1" customWidth="1"/>
    <col min="5928" max="5928" width="1.5703125" style="400" hidden="1" customWidth="1"/>
    <col min="5929" max="6144" width="2.5703125" style="400" hidden="1"/>
    <col min="6145" max="6145" width="1.5703125" style="400" hidden="1" customWidth="1"/>
    <col min="6146" max="6146" width="0.85546875" style="400" hidden="1" customWidth="1"/>
    <col min="6147" max="6162" width="2.5703125" style="400" hidden="1" customWidth="1"/>
    <col min="6163" max="6163" width="4" style="400" hidden="1" customWidth="1"/>
    <col min="6164" max="6167" width="2.5703125" style="400" hidden="1" customWidth="1"/>
    <col min="6168" max="6168" width="2.42578125" style="400" hidden="1" customWidth="1"/>
    <col min="6169" max="6172" width="2.5703125" style="400" hidden="1" customWidth="1"/>
    <col min="6173" max="6173" width="2.42578125" style="400" hidden="1" customWidth="1"/>
    <col min="6174" max="6177" width="2.5703125" style="400" hidden="1" customWidth="1"/>
    <col min="6178" max="6183" width="2.42578125" style="400" hidden="1" customWidth="1"/>
    <col min="6184" max="6184" width="1.5703125" style="400" hidden="1" customWidth="1"/>
    <col min="6185" max="6400" width="2.5703125" style="400" hidden="1"/>
    <col min="6401" max="6401" width="1.5703125" style="400" hidden="1" customWidth="1"/>
    <col min="6402" max="6402" width="0.85546875" style="400" hidden="1" customWidth="1"/>
    <col min="6403" max="6418" width="2.5703125" style="400" hidden="1" customWidth="1"/>
    <col min="6419" max="6419" width="4" style="400" hidden="1" customWidth="1"/>
    <col min="6420" max="6423" width="2.5703125" style="400" hidden="1" customWidth="1"/>
    <col min="6424" max="6424" width="2.42578125" style="400" hidden="1" customWidth="1"/>
    <col min="6425" max="6428" width="2.5703125" style="400" hidden="1" customWidth="1"/>
    <col min="6429" max="6429" width="2.42578125" style="400" hidden="1" customWidth="1"/>
    <col min="6430" max="6433" width="2.5703125" style="400" hidden="1" customWidth="1"/>
    <col min="6434" max="6439" width="2.42578125" style="400" hidden="1" customWidth="1"/>
    <col min="6440" max="6440" width="1.5703125" style="400" hidden="1" customWidth="1"/>
    <col min="6441" max="6656" width="2.5703125" style="400" hidden="1"/>
    <col min="6657" max="6657" width="1.5703125" style="400" hidden="1" customWidth="1"/>
    <col min="6658" max="6658" width="0.85546875" style="400" hidden="1" customWidth="1"/>
    <col min="6659" max="6674" width="2.5703125" style="400" hidden="1" customWidth="1"/>
    <col min="6675" max="6675" width="4" style="400" hidden="1" customWidth="1"/>
    <col min="6676" max="6679" width="2.5703125" style="400" hidden="1" customWidth="1"/>
    <col min="6680" max="6680" width="2.42578125" style="400" hidden="1" customWidth="1"/>
    <col min="6681" max="6684" width="2.5703125" style="400" hidden="1" customWidth="1"/>
    <col min="6685" max="6685" width="2.42578125" style="400" hidden="1" customWidth="1"/>
    <col min="6686" max="6689" width="2.5703125" style="400" hidden="1" customWidth="1"/>
    <col min="6690" max="6695" width="2.42578125" style="400" hidden="1" customWidth="1"/>
    <col min="6696" max="6696" width="1.5703125" style="400" hidden="1" customWidth="1"/>
    <col min="6697" max="6912" width="2.5703125" style="400" hidden="1"/>
    <col min="6913" max="6913" width="1.5703125" style="400" hidden="1" customWidth="1"/>
    <col min="6914" max="6914" width="0.85546875" style="400" hidden="1" customWidth="1"/>
    <col min="6915" max="6930" width="2.5703125" style="400" hidden="1" customWidth="1"/>
    <col min="6931" max="6931" width="4" style="400" hidden="1" customWidth="1"/>
    <col min="6932" max="6935" width="2.5703125" style="400" hidden="1" customWidth="1"/>
    <col min="6936" max="6936" width="2.42578125" style="400" hidden="1" customWidth="1"/>
    <col min="6937" max="6940" width="2.5703125" style="400" hidden="1" customWidth="1"/>
    <col min="6941" max="6941" width="2.42578125" style="400" hidden="1" customWidth="1"/>
    <col min="6942" max="6945" width="2.5703125" style="400" hidden="1" customWidth="1"/>
    <col min="6946" max="6951" width="2.42578125" style="400" hidden="1" customWidth="1"/>
    <col min="6952" max="6952" width="1.5703125" style="400" hidden="1" customWidth="1"/>
    <col min="6953" max="7168" width="2.5703125" style="400" hidden="1"/>
    <col min="7169" max="7169" width="1.5703125" style="400" hidden="1" customWidth="1"/>
    <col min="7170" max="7170" width="0.85546875" style="400" hidden="1" customWidth="1"/>
    <col min="7171" max="7186" width="2.5703125" style="400" hidden="1" customWidth="1"/>
    <col min="7187" max="7187" width="4" style="400" hidden="1" customWidth="1"/>
    <col min="7188" max="7191" width="2.5703125" style="400" hidden="1" customWidth="1"/>
    <col min="7192" max="7192" width="2.42578125" style="400" hidden="1" customWidth="1"/>
    <col min="7193" max="7196" width="2.5703125" style="400" hidden="1" customWidth="1"/>
    <col min="7197" max="7197" width="2.42578125" style="400" hidden="1" customWidth="1"/>
    <col min="7198" max="7201" width="2.5703125" style="400" hidden="1" customWidth="1"/>
    <col min="7202" max="7207" width="2.42578125" style="400" hidden="1" customWidth="1"/>
    <col min="7208" max="7208" width="1.5703125" style="400" hidden="1" customWidth="1"/>
    <col min="7209" max="7424" width="2.5703125" style="400" hidden="1"/>
    <col min="7425" max="7425" width="1.5703125" style="400" hidden="1" customWidth="1"/>
    <col min="7426" max="7426" width="0.85546875" style="400" hidden="1" customWidth="1"/>
    <col min="7427" max="7442" width="2.5703125" style="400" hidden="1" customWidth="1"/>
    <col min="7443" max="7443" width="4" style="400" hidden="1" customWidth="1"/>
    <col min="7444" max="7447" width="2.5703125" style="400" hidden="1" customWidth="1"/>
    <col min="7448" max="7448" width="2.42578125" style="400" hidden="1" customWidth="1"/>
    <col min="7449" max="7452" width="2.5703125" style="400" hidden="1" customWidth="1"/>
    <col min="7453" max="7453" width="2.42578125" style="400" hidden="1" customWidth="1"/>
    <col min="7454" max="7457" width="2.5703125" style="400" hidden="1" customWidth="1"/>
    <col min="7458" max="7463" width="2.42578125" style="400" hidden="1" customWidth="1"/>
    <col min="7464" max="7464" width="1.5703125" style="400" hidden="1" customWidth="1"/>
    <col min="7465" max="7680" width="2.5703125" style="400" hidden="1"/>
    <col min="7681" max="7681" width="1.5703125" style="400" hidden="1" customWidth="1"/>
    <col min="7682" max="7682" width="0.85546875" style="400" hidden="1" customWidth="1"/>
    <col min="7683" max="7698" width="2.5703125" style="400" hidden="1" customWidth="1"/>
    <col min="7699" max="7699" width="4" style="400" hidden="1" customWidth="1"/>
    <col min="7700" max="7703" width="2.5703125" style="400" hidden="1" customWidth="1"/>
    <col min="7704" max="7704" width="2.42578125" style="400" hidden="1" customWidth="1"/>
    <col min="7705" max="7708" width="2.5703125" style="400" hidden="1" customWidth="1"/>
    <col min="7709" max="7709" width="2.42578125" style="400" hidden="1" customWidth="1"/>
    <col min="7710" max="7713" width="2.5703125" style="400" hidden="1" customWidth="1"/>
    <col min="7714" max="7719" width="2.42578125" style="400" hidden="1" customWidth="1"/>
    <col min="7720" max="7720" width="1.5703125" style="400" hidden="1" customWidth="1"/>
    <col min="7721" max="7936" width="2.5703125" style="400" hidden="1"/>
    <col min="7937" max="7937" width="1.5703125" style="400" hidden="1" customWidth="1"/>
    <col min="7938" max="7938" width="0.85546875" style="400" hidden="1" customWidth="1"/>
    <col min="7939" max="7954" width="2.5703125" style="400" hidden="1" customWidth="1"/>
    <col min="7955" max="7955" width="4" style="400" hidden="1" customWidth="1"/>
    <col min="7956" max="7959" width="2.5703125" style="400" hidden="1" customWidth="1"/>
    <col min="7960" max="7960" width="2.42578125" style="400" hidden="1" customWidth="1"/>
    <col min="7961" max="7964" width="2.5703125" style="400" hidden="1" customWidth="1"/>
    <col min="7965" max="7965" width="2.42578125" style="400" hidden="1" customWidth="1"/>
    <col min="7966" max="7969" width="2.5703125" style="400" hidden="1" customWidth="1"/>
    <col min="7970" max="7975" width="2.42578125" style="400" hidden="1" customWidth="1"/>
    <col min="7976" max="7976" width="1.5703125" style="400" hidden="1" customWidth="1"/>
    <col min="7977" max="8192" width="2.5703125" style="400" hidden="1"/>
    <col min="8193" max="8193" width="1.5703125" style="400" hidden="1" customWidth="1"/>
    <col min="8194" max="8194" width="0.85546875" style="400" hidden="1" customWidth="1"/>
    <col min="8195" max="8210" width="2.5703125" style="400" hidden="1" customWidth="1"/>
    <col min="8211" max="8211" width="4" style="400" hidden="1" customWidth="1"/>
    <col min="8212" max="8215" width="2.5703125" style="400" hidden="1" customWidth="1"/>
    <col min="8216" max="8216" width="2.42578125" style="400" hidden="1" customWidth="1"/>
    <col min="8217" max="8220" width="2.5703125" style="400" hidden="1" customWidth="1"/>
    <col min="8221" max="8221" width="2.42578125" style="400" hidden="1" customWidth="1"/>
    <col min="8222" max="8225" width="2.5703125" style="400" hidden="1" customWidth="1"/>
    <col min="8226" max="8231" width="2.42578125" style="400" hidden="1" customWidth="1"/>
    <col min="8232" max="8232" width="1.5703125" style="400" hidden="1" customWidth="1"/>
    <col min="8233" max="8448" width="2.5703125" style="400" hidden="1"/>
    <col min="8449" max="8449" width="1.5703125" style="400" hidden="1" customWidth="1"/>
    <col min="8450" max="8450" width="0.85546875" style="400" hidden="1" customWidth="1"/>
    <col min="8451" max="8466" width="2.5703125" style="400" hidden="1" customWidth="1"/>
    <col min="8467" max="8467" width="4" style="400" hidden="1" customWidth="1"/>
    <col min="8468" max="8471" width="2.5703125" style="400" hidden="1" customWidth="1"/>
    <col min="8472" max="8472" width="2.42578125" style="400" hidden="1" customWidth="1"/>
    <col min="8473" max="8476" width="2.5703125" style="400" hidden="1" customWidth="1"/>
    <col min="8477" max="8477" width="2.42578125" style="400" hidden="1" customWidth="1"/>
    <col min="8478" max="8481" width="2.5703125" style="400" hidden="1" customWidth="1"/>
    <col min="8482" max="8487" width="2.42578125" style="400" hidden="1" customWidth="1"/>
    <col min="8488" max="8488" width="1.5703125" style="400" hidden="1" customWidth="1"/>
    <col min="8489" max="8704" width="2.5703125" style="400" hidden="1"/>
    <col min="8705" max="8705" width="1.5703125" style="400" hidden="1" customWidth="1"/>
    <col min="8706" max="8706" width="0.85546875" style="400" hidden="1" customWidth="1"/>
    <col min="8707" max="8722" width="2.5703125" style="400" hidden="1" customWidth="1"/>
    <col min="8723" max="8723" width="4" style="400" hidden="1" customWidth="1"/>
    <col min="8724" max="8727" width="2.5703125" style="400" hidden="1" customWidth="1"/>
    <col min="8728" max="8728" width="2.42578125" style="400" hidden="1" customWidth="1"/>
    <col min="8729" max="8732" width="2.5703125" style="400" hidden="1" customWidth="1"/>
    <col min="8733" max="8733" width="2.42578125" style="400" hidden="1" customWidth="1"/>
    <col min="8734" max="8737" width="2.5703125" style="400" hidden="1" customWidth="1"/>
    <col min="8738" max="8743" width="2.42578125" style="400" hidden="1" customWidth="1"/>
    <col min="8744" max="8744" width="1.5703125" style="400" hidden="1" customWidth="1"/>
    <col min="8745" max="8960" width="2.5703125" style="400" hidden="1"/>
    <col min="8961" max="8961" width="1.5703125" style="400" hidden="1" customWidth="1"/>
    <col min="8962" max="8962" width="0.85546875" style="400" hidden="1" customWidth="1"/>
    <col min="8963" max="8978" width="2.5703125" style="400" hidden="1" customWidth="1"/>
    <col min="8979" max="8979" width="4" style="400" hidden="1" customWidth="1"/>
    <col min="8980" max="8983" width="2.5703125" style="400" hidden="1" customWidth="1"/>
    <col min="8984" max="8984" width="2.42578125" style="400" hidden="1" customWidth="1"/>
    <col min="8985" max="8988" width="2.5703125" style="400" hidden="1" customWidth="1"/>
    <col min="8989" max="8989" width="2.42578125" style="400" hidden="1" customWidth="1"/>
    <col min="8990" max="8993" width="2.5703125" style="400" hidden="1" customWidth="1"/>
    <col min="8994" max="8999" width="2.42578125" style="400" hidden="1" customWidth="1"/>
    <col min="9000" max="9000" width="1.5703125" style="400" hidden="1" customWidth="1"/>
    <col min="9001" max="9216" width="2.5703125" style="400" hidden="1"/>
    <col min="9217" max="9217" width="1.5703125" style="400" hidden="1" customWidth="1"/>
    <col min="9218" max="9218" width="0.85546875" style="400" hidden="1" customWidth="1"/>
    <col min="9219" max="9234" width="2.5703125" style="400" hidden="1" customWidth="1"/>
    <col min="9235" max="9235" width="4" style="400" hidden="1" customWidth="1"/>
    <col min="9236" max="9239" width="2.5703125" style="400" hidden="1" customWidth="1"/>
    <col min="9240" max="9240" width="2.42578125" style="400" hidden="1" customWidth="1"/>
    <col min="9241" max="9244" width="2.5703125" style="400" hidden="1" customWidth="1"/>
    <col min="9245" max="9245" width="2.42578125" style="400" hidden="1" customWidth="1"/>
    <col min="9246" max="9249" width="2.5703125" style="400" hidden="1" customWidth="1"/>
    <col min="9250" max="9255" width="2.42578125" style="400" hidden="1" customWidth="1"/>
    <col min="9256" max="9256" width="1.5703125" style="400" hidden="1" customWidth="1"/>
    <col min="9257" max="9472" width="2.5703125" style="400" hidden="1"/>
    <col min="9473" max="9473" width="1.5703125" style="400" hidden="1" customWidth="1"/>
    <col min="9474" max="9474" width="0.85546875" style="400" hidden="1" customWidth="1"/>
    <col min="9475" max="9490" width="2.5703125" style="400" hidden="1" customWidth="1"/>
    <col min="9491" max="9491" width="4" style="400" hidden="1" customWidth="1"/>
    <col min="9492" max="9495" width="2.5703125" style="400" hidden="1" customWidth="1"/>
    <col min="9496" max="9496" width="2.42578125" style="400" hidden="1" customWidth="1"/>
    <col min="9497" max="9500" width="2.5703125" style="400" hidden="1" customWidth="1"/>
    <col min="9501" max="9501" width="2.42578125" style="400" hidden="1" customWidth="1"/>
    <col min="9502" max="9505" width="2.5703125" style="400" hidden="1" customWidth="1"/>
    <col min="9506" max="9511" width="2.42578125" style="400" hidden="1" customWidth="1"/>
    <col min="9512" max="9512" width="1.5703125" style="400" hidden="1" customWidth="1"/>
    <col min="9513" max="9728" width="2.5703125" style="400" hidden="1"/>
    <col min="9729" max="9729" width="1.5703125" style="400" hidden="1" customWidth="1"/>
    <col min="9730" max="9730" width="0.85546875" style="400" hidden="1" customWidth="1"/>
    <col min="9731" max="9746" width="2.5703125" style="400" hidden="1" customWidth="1"/>
    <col min="9747" max="9747" width="4" style="400" hidden="1" customWidth="1"/>
    <col min="9748" max="9751" width="2.5703125" style="400" hidden="1" customWidth="1"/>
    <col min="9752" max="9752" width="2.42578125" style="400" hidden="1" customWidth="1"/>
    <col min="9753" max="9756" width="2.5703125" style="400" hidden="1" customWidth="1"/>
    <col min="9757" max="9757" width="2.42578125" style="400" hidden="1" customWidth="1"/>
    <col min="9758" max="9761" width="2.5703125" style="400" hidden="1" customWidth="1"/>
    <col min="9762" max="9767" width="2.42578125" style="400" hidden="1" customWidth="1"/>
    <col min="9768" max="9768" width="1.5703125" style="400" hidden="1" customWidth="1"/>
    <col min="9769" max="9984" width="2.5703125" style="400" hidden="1"/>
    <col min="9985" max="9985" width="1.5703125" style="400" hidden="1" customWidth="1"/>
    <col min="9986" max="9986" width="0.85546875" style="400" hidden="1" customWidth="1"/>
    <col min="9987" max="10002" width="2.5703125" style="400" hidden="1" customWidth="1"/>
    <col min="10003" max="10003" width="4" style="400" hidden="1" customWidth="1"/>
    <col min="10004" max="10007" width="2.5703125" style="400" hidden="1" customWidth="1"/>
    <col min="10008" max="10008" width="2.42578125" style="400" hidden="1" customWidth="1"/>
    <col min="10009" max="10012" width="2.5703125" style="400" hidden="1" customWidth="1"/>
    <col min="10013" max="10013" width="2.42578125" style="400" hidden="1" customWidth="1"/>
    <col min="10014" max="10017" width="2.5703125" style="400" hidden="1" customWidth="1"/>
    <col min="10018" max="10023" width="2.42578125" style="400" hidden="1" customWidth="1"/>
    <col min="10024" max="10024" width="1.5703125" style="400" hidden="1" customWidth="1"/>
    <col min="10025" max="10240" width="2.5703125" style="400" hidden="1"/>
    <col min="10241" max="10241" width="1.5703125" style="400" hidden="1" customWidth="1"/>
    <col min="10242" max="10242" width="0.85546875" style="400" hidden="1" customWidth="1"/>
    <col min="10243" max="10258" width="2.5703125" style="400" hidden="1" customWidth="1"/>
    <col min="10259" max="10259" width="4" style="400" hidden="1" customWidth="1"/>
    <col min="10260" max="10263" width="2.5703125" style="400" hidden="1" customWidth="1"/>
    <col min="10264" max="10264" width="2.42578125" style="400" hidden="1" customWidth="1"/>
    <col min="10265" max="10268" width="2.5703125" style="400" hidden="1" customWidth="1"/>
    <col min="10269" max="10269" width="2.42578125" style="400" hidden="1" customWidth="1"/>
    <col min="10270" max="10273" width="2.5703125" style="400" hidden="1" customWidth="1"/>
    <col min="10274" max="10279" width="2.42578125" style="400" hidden="1" customWidth="1"/>
    <col min="10280" max="10280" width="1.5703125" style="400" hidden="1" customWidth="1"/>
    <col min="10281" max="10496" width="2.5703125" style="400" hidden="1"/>
    <col min="10497" max="10497" width="1.5703125" style="400" hidden="1" customWidth="1"/>
    <col min="10498" max="10498" width="0.85546875" style="400" hidden="1" customWidth="1"/>
    <col min="10499" max="10514" width="2.5703125" style="400" hidden="1" customWidth="1"/>
    <col min="10515" max="10515" width="4" style="400" hidden="1" customWidth="1"/>
    <col min="10516" max="10519" width="2.5703125" style="400" hidden="1" customWidth="1"/>
    <col min="10520" max="10520" width="2.42578125" style="400" hidden="1" customWidth="1"/>
    <col min="10521" max="10524" width="2.5703125" style="400" hidden="1" customWidth="1"/>
    <col min="10525" max="10525" width="2.42578125" style="400" hidden="1" customWidth="1"/>
    <col min="10526" max="10529" width="2.5703125" style="400" hidden="1" customWidth="1"/>
    <col min="10530" max="10535" width="2.42578125" style="400" hidden="1" customWidth="1"/>
    <col min="10536" max="10536" width="1.5703125" style="400" hidden="1" customWidth="1"/>
    <col min="10537" max="10752" width="2.5703125" style="400" hidden="1"/>
    <col min="10753" max="10753" width="1.5703125" style="400" hidden="1" customWidth="1"/>
    <col min="10754" max="10754" width="0.85546875" style="400" hidden="1" customWidth="1"/>
    <col min="10755" max="10770" width="2.5703125" style="400" hidden="1" customWidth="1"/>
    <col min="10771" max="10771" width="4" style="400" hidden="1" customWidth="1"/>
    <col min="10772" max="10775" width="2.5703125" style="400" hidden="1" customWidth="1"/>
    <col min="10776" max="10776" width="2.42578125" style="400" hidden="1" customWidth="1"/>
    <col min="10777" max="10780" width="2.5703125" style="400" hidden="1" customWidth="1"/>
    <col min="10781" max="10781" width="2.42578125" style="400" hidden="1" customWidth="1"/>
    <col min="10782" max="10785" width="2.5703125" style="400" hidden="1" customWidth="1"/>
    <col min="10786" max="10791" width="2.42578125" style="400" hidden="1" customWidth="1"/>
    <col min="10792" max="10792" width="1.5703125" style="400" hidden="1" customWidth="1"/>
    <col min="10793" max="11008" width="2.5703125" style="400" hidden="1"/>
    <col min="11009" max="11009" width="1.5703125" style="400" hidden="1" customWidth="1"/>
    <col min="11010" max="11010" width="0.85546875" style="400" hidden="1" customWidth="1"/>
    <col min="11011" max="11026" width="2.5703125" style="400" hidden="1" customWidth="1"/>
    <col min="11027" max="11027" width="4" style="400" hidden="1" customWidth="1"/>
    <col min="11028" max="11031" width="2.5703125" style="400" hidden="1" customWidth="1"/>
    <col min="11032" max="11032" width="2.42578125" style="400" hidden="1" customWidth="1"/>
    <col min="11033" max="11036" width="2.5703125" style="400" hidden="1" customWidth="1"/>
    <col min="11037" max="11037" width="2.42578125" style="400" hidden="1" customWidth="1"/>
    <col min="11038" max="11041" width="2.5703125" style="400" hidden="1" customWidth="1"/>
    <col min="11042" max="11047" width="2.42578125" style="400" hidden="1" customWidth="1"/>
    <col min="11048" max="11048" width="1.5703125" style="400" hidden="1" customWidth="1"/>
    <col min="11049" max="11264" width="2.5703125" style="400" hidden="1"/>
    <col min="11265" max="11265" width="1.5703125" style="400" hidden="1" customWidth="1"/>
    <col min="11266" max="11266" width="0.85546875" style="400" hidden="1" customWidth="1"/>
    <col min="11267" max="11282" width="2.5703125" style="400" hidden="1" customWidth="1"/>
    <col min="11283" max="11283" width="4" style="400" hidden="1" customWidth="1"/>
    <col min="11284" max="11287" width="2.5703125" style="400" hidden="1" customWidth="1"/>
    <col min="11288" max="11288" width="2.42578125" style="400" hidden="1" customWidth="1"/>
    <col min="11289" max="11292" width="2.5703125" style="400" hidden="1" customWidth="1"/>
    <col min="11293" max="11293" width="2.42578125" style="400" hidden="1" customWidth="1"/>
    <col min="11294" max="11297" width="2.5703125" style="400" hidden="1" customWidth="1"/>
    <col min="11298" max="11303" width="2.42578125" style="400" hidden="1" customWidth="1"/>
    <col min="11304" max="11304" width="1.5703125" style="400" hidden="1" customWidth="1"/>
    <col min="11305" max="11520" width="2.5703125" style="400" hidden="1"/>
    <col min="11521" max="11521" width="1.5703125" style="400" hidden="1" customWidth="1"/>
    <col min="11522" max="11522" width="0.85546875" style="400" hidden="1" customWidth="1"/>
    <col min="11523" max="11538" width="2.5703125" style="400" hidden="1" customWidth="1"/>
    <col min="11539" max="11539" width="4" style="400" hidden="1" customWidth="1"/>
    <col min="11540" max="11543" width="2.5703125" style="400" hidden="1" customWidth="1"/>
    <col min="11544" max="11544" width="2.42578125" style="400" hidden="1" customWidth="1"/>
    <col min="11545" max="11548" width="2.5703125" style="400" hidden="1" customWidth="1"/>
    <col min="11549" max="11549" width="2.42578125" style="400" hidden="1" customWidth="1"/>
    <col min="11550" max="11553" width="2.5703125" style="400" hidden="1" customWidth="1"/>
    <col min="11554" max="11559" width="2.42578125" style="400" hidden="1" customWidth="1"/>
    <col min="11560" max="11560" width="1.5703125" style="400" hidden="1" customWidth="1"/>
    <col min="11561" max="11776" width="2.5703125" style="400" hidden="1"/>
    <col min="11777" max="11777" width="1.5703125" style="400" hidden="1" customWidth="1"/>
    <col min="11778" max="11778" width="0.85546875" style="400" hidden="1" customWidth="1"/>
    <col min="11779" max="11794" width="2.5703125" style="400" hidden="1" customWidth="1"/>
    <col min="11795" max="11795" width="4" style="400" hidden="1" customWidth="1"/>
    <col min="11796" max="11799" width="2.5703125" style="400" hidden="1" customWidth="1"/>
    <col min="11800" max="11800" width="2.42578125" style="400" hidden="1" customWidth="1"/>
    <col min="11801" max="11804" width="2.5703125" style="400" hidden="1" customWidth="1"/>
    <col min="11805" max="11805" width="2.42578125" style="400" hidden="1" customWidth="1"/>
    <col min="11806" max="11809" width="2.5703125" style="400" hidden="1" customWidth="1"/>
    <col min="11810" max="11815" width="2.42578125" style="400" hidden="1" customWidth="1"/>
    <col min="11816" max="11816" width="1.5703125" style="400" hidden="1" customWidth="1"/>
    <col min="11817" max="12032" width="2.5703125" style="400" hidden="1"/>
    <col min="12033" max="12033" width="1.5703125" style="400" hidden="1" customWidth="1"/>
    <col min="12034" max="12034" width="0.85546875" style="400" hidden="1" customWidth="1"/>
    <col min="12035" max="12050" width="2.5703125" style="400" hidden="1" customWidth="1"/>
    <col min="12051" max="12051" width="4" style="400" hidden="1" customWidth="1"/>
    <col min="12052" max="12055" width="2.5703125" style="400" hidden="1" customWidth="1"/>
    <col min="12056" max="12056" width="2.42578125" style="400" hidden="1" customWidth="1"/>
    <col min="12057" max="12060" width="2.5703125" style="400" hidden="1" customWidth="1"/>
    <col min="12061" max="12061" width="2.42578125" style="400" hidden="1" customWidth="1"/>
    <col min="12062" max="12065" width="2.5703125" style="400" hidden="1" customWidth="1"/>
    <col min="12066" max="12071" width="2.42578125" style="400" hidden="1" customWidth="1"/>
    <col min="12072" max="12072" width="1.5703125" style="400" hidden="1" customWidth="1"/>
    <col min="12073" max="12288" width="2.5703125" style="400" hidden="1"/>
    <col min="12289" max="12289" width="1.5703125" style="400" hidden="1" customWidth="1"/>
    <col min="12290" max="12290" width="0.85546875" style="400" hidden="1" customWidth="1"/>
    <col min="12291" max="12306" width="2.5703125" style="400" hidden="1" customWidth="1"/>
    <col min="12307" max="12307" width="4" style="400" hidden="1" customWidth="1"/>
    <col min="12308" max="12311" width="2.5703125" style="400" hidden="1" customWidth="1"/>
    <col min="12312" max="12312" width="2.42578125" style="400" hidden="1" customWidth="1"/>
    <col min="12313" max="12316" width="2.5703125" style="400" hidden="1" customWidth="1"/>
    <col min="12317" max="12317" width="2.42578125" style="400" hidden="1" customWidth="1"/>
    <col min="12318" max="12321" width="2.5703125" style="400" hidden="1" customWidth="1"/>
    <col min="12322" max="12327" width="2.42578125" style="400" hidden="1" customWidth="1"/>
    <col min="12328" max="12328" width="1.5703125" style="400" hidden="1" customWidth="1"/>
    <col min="12329" max="12544" width="2.5703125" style="400" hidden="1"/>
    <col min="12545" max="12545" width="1.5703125" style="400" hidden="1" customWidth="1"/>
    <col min="12546" max="12546" width="0.85546875" style="400" hidden="1" customWidth="1"/>
    <col min="12547" max="12562" width="2.5703125" style="400" hidden="1" customWidth="1"/>
    <col min="12563" max="12563" width="4" style="400" hidden="1" customWidth="1"/>
    <col min="12564" max="12567" width="2.5703125" style="400" hidden="1" customWidth="1"/>
    <col min="12568" max="12568" width="2.42578125" style="400" hidden="1" customWidth="1"/>
    <col min="12569" max="12572" width="2.5703125" style="400" hidden="1" customWidth="1"/>
    <col min="12573" max="12573" width="2.42578125" style="400" hidden="1" customWidth="1"/>
    <col min="12574" max="12577" width="2.5703125" style="400" hidden="1" customWidth="1"/>
    <col min="12578" max="12583" width="2.42578125" style="400" hidden="1" customWidth="1"/>
    <col min="12584" max="12584" width="1.5703125" style="400" hidden="1" customWidth="1"/>
    <col min="12585" max="12800" width="2.5703125" style="400" hidden="1"/>
    <col min="12801" max="12801" width="1.5703125" style="400" hidden="1" customWidth="1"/>
    <col min="12802" max="12802" width="0.85546875" style="400" hidden="1" customWidth="1"/>
    <col min="12803" max="12818" width="2.5703125" style="400" hidden="1" customWidth="1"/>
    <col min="12819" max="12819" width="4" style="400" hidden="1" customWidth="1"/>
    <col min="12820" max="12823" width="2.5703125" style="400" hidden="1" customWidth="1"/>
    <col min="12824" max="12824" width="2.42578125" style="400" hidden="1" customWidth="1"/>
    <col min="12825" max="12828" width="2.5703125" style="400" hidden="1" customWidth="1"/>
    <col min="12829" max="12829" width="2.42578125" style="400" hidden="1" customWidth="1"/>
    <col min="12830" max="12833" width="2.5703125" style="400" hidden="1" customWidth="1"/>
    <col min="12834" max="12839" width="2.42578125" style="400" hidden="1" customWidth="1"/>
    <col min="12840" max="12840" width="1.5703125" style="400" hidden="1" customWidth="1"/>
    <col min="12841" max="13056" width="2.5703125" style="400" hidden="1"/>
    <col min="13057" max="13057" width="1.5703125" style="400" hidden="1" customWidth="1"/>
    <col min="13058" max="13058" width="0.85546875" style="400" hidden="1" customWidth="1"/>
    <col min="13059" max="13074" width="2.5703125" style="400" hidden="1" customWidth="1"/>
    <col min="13075" max="13075" width="4" style="400" hidden="1" customWidth="1"/>
    <col min="13076" max="13079" width="2.5703125" style="400" hidden="1" customWidth="1"/>
    <col min="13080" max="13080" width="2.42578125" style="400" hidden="1" customWidth="1"/>
    <col min="13081" max="13084" width="2.5703125" style="400" hidden="1" customWidth="1"/>
    <col min="13085" max="13085" width="2.42578125" style="400" hidden="1" customWidth="1"/>
    <col min="13086" max="13089" width="2.5703125" style="400" hidden="1" customWidth="1"/>
    <col min="13090" max="13095" width="2.42578125" style="400" hidden="1" customWidth="1"/>
    <col min="13096" max="13096" width="1.5703125" style="400" hidden="1" customWidth="1"/>
    <col min="13097" max="13312" width="2.5703125" style="400" hidden="1"/>
    <col min="13313" max="13313" width="1.5703125" style="400" hidden="1" customWidth="1"/>
    <col min="13314" max="13314" width="0.85546875" style="400" hidden="1" customWidth="1"/>
    <col min="13315" max="13330" width="2.5703125" style="400" hidden="1" customWidth="1"/>
    <col min="13331" max="13331" width="4" style="400" hidden="1" customWidth="1"/>
    <col min="13332" max="13335" width="2.5703125" style="400" hidden="1" customWidth="1"/>
    <col min="13336" max="13336" width="2.42578125" style="400" hidden="1" customWidth="1"/>
    <col min="13337" max="13340" width="2.5703125" style="400" hidden="1" customWidth="1"/>
    <col min="13341" max="13341" width="2.42578125" style="400" hidden="1" customWidth="1"/>
    <col min="13342" max="13345" width="2.5703125" style="400" hidden="1" customWidth="1"/>
    <col min="13346" max="13351" width="2.42578125" style="400" hidden="1" customWidth="1"/>
    <col min="13352" max="13352" width="1.5703125" style="400" hidden="1" customWidth="1"/>
    <col min="13353" max="13568" width="2.5703125" style="400" hidden="1"/>
    <col min="13569" max="13569" width="1.5703125" style="400" hidden="1" customWidth="1"/>
    <col min="13570" max="13570" width="0.85546875" style="400" hidden="1" customWidth="1"/>
    <col min="13571" max="13586" width="2.5703125" style="400" hidden="1" customWidth="1"/>
    <col min="13587" max="13587" width="4" style="400" hidden="1" customWidth="1"/>
    <col min="13588" max="13591" width="2.5703125" style="400" hidden="1" customWidth="1"/>
    <col min="13592" max="13592" width="2.42578125" style="400" hidden="1" customWidth="1"/>
    <col min="13593" max="13596" width="2.5703125" style="400" hidden="1" customWidth="1"/>
    <col min="13597" max="13597" width="2.42578125" style="400" hidden="1" customWidth="1"/>
    <col min="13598" max="13601" width="2.5703125" style="400" hidden="1" customWidth="1"/>
    <col min="13602" max="13607" width="2.42578125" style="400" hidden="1" customWidth="1"/>
    <col min="13608" max="13608" width="1.5703125" style="400" hidden="1" customWidth="1"/>
    <col min="13609" max="13824" width="2.5703125" style="400" hidden="1"/>
    <col min="13825" max="13825" width="1.5703125" style="400" hidden="1" customWidth="1"/>
    <col min="13826" max="13826" width="0.85546875" style="400" hidden="1" customWidth="1"/>
    <col min="13827" max="13842" width="2.5703125" style="400" hidden="1" customWidth="1"/>
    <col min="13843" max="13843" width="4" style="400" hidden="1" customWidth="1"/>
    <col min="13844" max="13847" width="2.5703125" style="400" hidden="1" customWidth="1"/>
    <col min="13848" max="13848" width="2.42578125" style="400" hidden="1" customWidth="1"/>
    <col min="13849" max="13852" width="2.5703125" style="400" hidden="1" customWidth="1"/>
    <col min="13853" max="13853" width="2.42578125" style="400" hidden="1" customWidth="1"/>
    <col min="13854" max="13857" width="2.5703125" style="400" hidden="1" customWidth="1"/>
    <col min="13858" max="13863" width="2.42578125" style="400" hidden="1" customWidth="1"/>
    <col min="13864" max="13864" width="1.5703125" style="400" hidden="1" customWidth="1"/>
    <col min="13865" max="14080" width="2.5703125" style="400" hidden="1"/>
    <col min="14081" max="14081" width="1.5703125" style="400" hidden="1" customWidth="1"/>
    <col min="14082" max="14082" width="0.85546875" style="400" hidden="1" customWidth="1"/>
    <col min="14083" max="14098" width="2.5703125" style="400" hidden="1" customWidth="1"/>
    <col min="14099" max="14099" width="4" style="400" hidden="1" customWidth="1"/>
    <col min="14100" max="14103" width="2.5703125" style="400" hidden="1" customWidth="1"/>
    <col min="14104" max="14104" width="2.42578125" style="400" hidden="1" customWidth="1"/>
    <col min="14105" max="14108" width="2.5703125" style="400" hidden="1" customWidth="1"/>
    <col min="14109" max="14109" width="2.42578125" style="400" hidden="1" customWidth="1"/>
    <col min="14110" max="14113" width="2.5703125" style="400" hidden="1" customWidth="1"/>
    <col min="14114" max="14119" width="2.42578125" style="400" hidden="1" customWidth="1"/>
    <col min="14120" max="14120" width="1.5703125" style="400" hidden="1" customWidth="1"/>
    <col min="14121" max="14336" width="2.5703125" style="400" hidden="1"/>
    <col min="14337" max="14337" width="1.5703125" style="400" hidden="1" customWidth="1"/>
    <col min="14338" max="14338" width="0.85546875" style="400" hidden="1" customWidth="1"/>
    <col min="14339" max="14354" width="2.5703125" style="400" hidden="1" customWidth="1"/>
    <col min="14355" max="14355" width="4" style="400" hidden="1" customWidth="1"/>
    <col min="14356" max="14359" width="2.5703125" style="400" hidden="1" customWidth="1"/>
    <col min="14360" max="14360" width="2.42578125" style="400" hidden="1" customWidth="1"/>
    <col min="14361" max="14364" width="2.5703125" style="400" hidden="1" customWidth="1"/>
    <col min="14365" max="14365" width="2.42578125" style="400" hidden="1" customWidth="1"/>
    <col min="14366" max="14369" width="2.5703125" style="400" hidden="1" customWidth="1"/>
    <col min="14370" max="14375" width="2.42578125" style="400" hidden="1" customWidth="1"/>
    <col min="14376" max="14376" width="1.5703125" style="400" hidden="1" customWidth="1"/>
    <col min="14377" max="14592" width="2.5703125" style="400" hidden="1"/>
    <col min="14593" max="14593" width="1.5703125" style="400" hidden="1" customWidth="1"/>
    <col min="14594" max="14594" width="0.85546875" style="400" hidden="1" customWidth="1"/>
    <col min="14595" max="14610" width="2.5703125" style="400" hidden="1" customWidth="1"/>
    <col min="14611" max="14611" width="4" style="400" hidden="1" customWidth="1"/>
    <col min="14612" max="14615" width="2.5703125" style="400" hidden="1" customWidth="1"/>
    <col min="14616" max="14616" width="2.42578125" style="400" hidden="1" customWidth="1"/>
    <col min="14617" max="14620" width="2.5703125" style="400" hidden="1" customWidth="1"/>
    <col min="14621" max="14621" width="2.42578125" style="400" hidden="1" customWidth="1"/>
    <col min="14622" max="14625" width="2.5703125" style="400" hidden="1" customWidth="1"/>
    <col min="14626" max="14631" width="2.42578125" style="400" hidden="1" customWidth="1"/>
    <col min="14632" max="14632" width="1.5703125" style="400" hidden="1" customWidth="1"/>
    <col min="14633" max="14848" width="2.5703125" style="400" hidden="1"/>
    <col min="14849" max="14849" width="1.5703125" style="400" hidden="1" customWidth="1"/>
    <col min="14850" max="14850" width="0.85546875" style="400" hidden="1" customWidth="1"/>
    <col min="14851" max="14866" width="2.5703125" style="400" hidden="1" customWidth="1"/>
    <col min="14867" max="14867" width="4" style="400" hidden="1" customWidth="1"/>
    <col min="14868" max="14871" width="2.5703125" style="400" hidden="1" customWidth="1"/>
    <col min="14872" max="14872" width="2.42578125" style="400" hidden="1" customWidth="1"/>
    <col min="14873" max="14876" width="2.5703125" style="400" hidden="1" customWidth="1"/>
    <col min="14877" max="14877" width="2.42578125" style="400" hidden="1" customWidth="1"/>
    <col min="14878" max="14881" width="2.5703125" style="400" hidden="1" customWidth="1"/>
    <col min="14882" max="14887" width="2.42578125" style="400" hidden="1" customWidth="1"/>
    <col min="14888" max="14888" width="1.5703125" style="400" hidden="1" customWidth="1"/>
    <col min="14889" max="15104" width="2.5703125" style="400" hidden="1"/>
    <col min="15105" max="15105" width="1.5703125" style="400" hidden="1" customWidth="1"/>
    <col min="15106" max="15106" width="0.85546875" style="400" hidden="1" customWidth="1"/>
    <col min="15107" max="15122" width="2.5703125" style="400" hidden="1" customWidth="1"/>
    <col min="15123" max="15123" width="4" style="400" hidden="1" customWidth="1"/>
    <col min="15124" max="15127" width="2.5703125" style="400" hidden="1" customWidth="1"/>
    <col min="15128" max="15128" width="2.42578125" style="400" hidden="1" customWidth="1"/>
    <col min="15129" max="15132" width="2.5703125" style="400" hidden="1" customWidth="1"/>
    <col min="15133" max="15133" width="2.42578125" style="400" hidden="1" customWidth="1"/>
    <col min="15134" max="15137" width="2.5703125" style="400" hidden="1" customWidth="1"/>
    <col min="15138" max="15143" width="2.42578125" style="400" hidden="1" customWidth="1"/>
    <col min="15144" max="15144" width="1.5703125" style="400" hidden="1" customWidth="1"/>
    <col min="15145" max="15360" width="2.5703125" style="400" hidden="1"/>
    <col min="15361" max="15361" width="1.5703125" style="400" hidden="1" customWidth="1"/>
    <col min="15362" max="15362" width="0.85546875" style="400" hidden="1" customWidth="1"/>
    <col min="15363" max="15378" width="2.5703125" style="400" hidden="1" customWidth="1"/>
    <col min="15379" max="15379" width="4" style="400" hidden="1" customWidth="1"/>
    <col min="15380" max="15383" width="2.5703125" style="400" hidden="1" customWidth="1"/>
    <col min="15384" max="15384" width="2.42578125" style="400" hidden="1" customWidth="1"/>
    <col min="15385" max="15388" width="2.5703125" style="400" hidden="1" customWidth="1"/>
    <col min="15389" max="15389" width="2.42578125" style="400" hidden="1" customWidth="1"/>
    <col min="15390" max="15393" width="2.5703125" style="400" hidden="1" customWidth="1"/>
    <col min="15394" max="15399" width="2.42578125" style="400" hidden="1" customWidth="1"/>
    <col min="15400" max="15400" width="1.5703125" style="400" hidden="1" customWidth="1"/>
    <col min="15401" max="15616" width="2.5703125" style="400" hidden="1"/>
    <col min="15617" max="15617" width="1.5703125" style="400" hidden="1" customWidth="1"/>
    <col min="15618" max="15618" width="0.85546875" style="400" hidden="1" customWidth="1"/>
    <col min="15619" max="15634" width="2.5703125" style="400" hidden="1" customWidth="1"/>
    <col min="15635" max="15635" width="4" style="400" hidden="1" customWidth="1"/>
    <col min="15636" max="15639" width="2.5703125" style="400" hidden="1" customWidth="1"/>
    <col min="15640" max="15640" width="2.42578125" style="400" hidden="1" customWidth="1"/>
    <col min="15641" max="15644" width="2.5703125" style="400" hidden="1" customWidth="1"/>
    <col min="15645" max="15645" width="2.42578125" style="400" hidden="1" customWidth="1"/>
    <col min="15646" max="15649" width="2.5703125" style="400" hidden="1" customWidth="1"/>
    <col min="15650" max="15655" width="2.42578125" style="400" hidden="1" customWidth="1"/>
    <col min="15656" max="15656" width="1.5703125" style="400" hidden="1" customWidth="1"/>
    <col min="15657" max="15872" width="2.5703125" style="400" hidden="1"/>
    <col min="15873" max="15873" width="1.5703125" style="400" hidden="1" customWidth="1"/>
    <col min="15874" max="15874" width="0.85546875" style="400" hidden="1" customWidth="1"/>
    <col min="15875" max="15890" width="2.5703125" style="400" hidden="1" customWidth="1"/>
    <col min="15891" max="15891" width="4" style="400" hidden="1" customWidth="1"/>
    <col min="15892" max="15895" width="2.5703125" style="400" hidden="1" customWidth="1"/>
    <col min="15896" max="15896" width="2.42578125" style="400" hidden="1" customWidth="1"/>
    <col min="15897" max="15900" width="2.5703125" style="400" hidden="1" customWidth="1"/>
    <col min="15901" max="15901" width="2.42578125" style="400" hidden="1" customWidth="1"/>
    <col min="15902" max="15905" width="2.5703125" style="400" hidden="1" customWidth="1"/>
    <col min="15906" max="15911" width="2.42578125" style="400" hidden="1" customWidth="1"/>
    <col min="15912" max="15912" width="1.5703125" style="400" hidden="1" customWidth="1"/>
    <col min="15913" max="16128" width="2.5703125" style="400" hidden="1"/>
    <col min="16129" max="16129" width="1.5703125" style="400" hidden="1" customWidth="1"/>
    <col min="16130" max="16130" width="0.85546875" style="400" hidden="1" customWidth="1"/>
    <col min="16131" max="16146" width="2.5703125" style="400" hidden="1" customWidth="1"/>
    <col min="16147" max="16147" width="4" style="400" hidden="1" customWidth="1"/>
    <col min="16148" max="16151" width="2.5703125" style="400" hidden="1" customWidth="1"/>
    <col min="16152" max="16152" width="2.42578125" style="400" hidden="1" customWidth="1"/>
    <col min="16153" max="16156" width="2.5703125" style="400" hidden="1" customWidth="1"/>
    <col min="16157" max="16157" width="2.42578125" style="400" hidden="1" customWidth="1"/>
    <col min="16158" max="16161" width="2.5703125" style="400" hidden="1" customWidth="1"/>
    <col min="16162" max="16167" width="2.42578125" style="400" hidden="1" customWidth="1"/>
    <col min="16168" max="16168" width="1.5703125" style="400" hidden="1" customWidth="1"/>
    <col min="16169" max="16384" width="2.5703125" style="400" hidden="1"/>
  </cols>
  <sheetData>
    <row r="1" spans="1:40" ht="12.95" customHeight="1">
      <c r="A1" s="2641" t="s">
        <v>1277</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2.9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2.95" customHeight="1" thickTop="1">
      <c r="A3" s="400" t="str">
        <f>+A1</f>
        <v>V. BASIS AND CREDITS : 4% FEDERAL AND STATE CREDIT</v>
      </c>
      <c r="C3" s="101"/>
      <c r="D3" s="101"/>
      <c r="E3" s="101"/>
      <c r="F3" s="101"/>
      <c r="G3" s="101"/>
      <c r="H3" s="101"/>
      <c r="I3" s="1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row>
    <row r="4" spans="1:40" ht="12.95" customHeight="1">
      <c r="A4" s="402"/>
    </row>
    <row r="5" spans="1:40" ht="12.95" customHeight="1">
      <c r="A5" s="402" t="s">
        <v>318</v>
      </c>
      <c r="C5" s="402" t="s">
        <v>122</v>
      </c>
      <c r="F5" s="402"/>
    </row>
    <row r="6" spans="1:40" ht="12.95" customHeight="1">
      <c r="A6" s="402"/>
      <c r="C6" s="400" t="s">
        <v>1235</v>
      </c>
    </row>
    <row r="7" spans="1:40" ht="12.95" customHeight="1">
      <c r="B7" s="403"/>
      <c r="C7" s="404"/>
      <c r="D7" s="404"/>
      <c r="E7" s="404"/>
      <c r="F7" s="404"/>
      <c r="G7" s="404"/>
      <c r="H7" s="404"/>
      <c r="I7" s="404"/>
      <c r="J7" s="404"/>
      <c r="K7" s="404"/>
      <c r="L7" s="404"/>
      <c r="M7" s="404"/>
      <c r="N7" s="404"/>
      <c r="O7" s="404"/>
      <c r="P7" s="404"/>
      <c r="Q7" s="404"/>
      <c r="R7" s="404"/>
      <c r="S7" s="404"/>
      <c r="T7" s="2621" t="str">
        <f xml:space="preserve"> IF(T25=100%,'Sources and Basis Breakdown'!G2,'Sources and Basis Breakdown'!F2)</f>
        <v>30% PVC for New Const/
Rehabilitation
DDA/QCT
Building(s)</v>
      </c>
      <c r="U7" s="2621"/>
      <c r="V7" s="2621"/>
      <c r="W7" s="2621"/>
      <c r="X7" s="2621"/>
      <c r="Y7" s="2621" t="str">
        <f>IF(T25=100%,"",'Sources and Basis Breakdown'!G2)</f>
        <v>30% PVC for New Const/
Rehabilitation
NON-DDA/
NON-QCT Building(s)</v>
      </c>
      <c r="Z7" s="2621"/>
      <c r="AA7" s="2621"/>
      <c r="AB7" s="2621"/>
      <c r="AC7" s="2621"/>
      <c r="AD7" s="2621" t="str">
        <f xml:space="preserve"> IF(T25=100%, 'Sources and Basis Breakdown'!J2,'Sources and Basis Breakdown'!I2)</f>
        <v>30% PVC for Acquisition
DDA/QCT Building(s)</v>
      </c>
      <c r="AE7" s="2621"/>
      <c r="AF7" s="2621"/>
      <c r="AG7" s="2621"/>
      <c r="AH7" s="2621"/>
      <c r="AI7" s="2621" t="str">
        <f>IF(T25=100%,"",'Sources and Basis Breakdown'!J2)</f>
        <v>30% PVC for Acquisition
NON-DDA/
NON-QCT Building(s)</v>
      </c>
      <c r="AJ7" s="2621"/>
      <c r="AK7" s="2621"/>
      <c r="AL7" s="2621"/>
      <c r="AM7" s="2621"/>
    </row>
    <row r="8" spans="1:40" ht="12.95" customHeight="1">
      <c r="B8" s="405"/>
      <c r="T8" s="2621"/>
      <c r="U8" s="2621"/>
      <c r="V8" s="2621"/>
      <c r="W8" s="2621"/>
      <c r="X8" s="2621"/>
      <c r="Y8" s="2621"/>
      <c r="Z8" s="2621"/>
      <c r="AA8" s="2621"/>
      <c r="AB8" s="2621"/>
      <c r="AC8" s="2621"/>
      <c r="AD8" s="2621"/>
      <c r="AE8" s="2621"/>
      <c r="AF8" s="2621"/>
      <c r="AG8" s="2621"/>
      <c r="AH8" s="2621"/>
      <c r="AI8" s="2621"/>
      <c r="AJ8" s="2621"/>
      <c r="AK8" s="2621"/>
      <c r="AL8" s="2621"/>
      <c r="AM8" s="2621"/>
    </row>
    <row r="9" spans="1:40" ht="12.95" customHeight="1">
      <c r="B9" s="405"/>
      <c r="T9" s="2621"/>
      <c r="U9" s="2621"/>
      <c r="V9" s="2621"/>
      <c r="W9" s="2621"/>
      <c r="X9" s="2621"/>
      <c r="Y9" s="2621"/>
      <c r="Z9" s="2621"/>
      <c r="AA9" s="2621"/>
      <c r="AB9" s="2621"/>
      <c r="AC9" s="2621"/>
      <c r="AD9" s="2621"/>
      <c r="AE9" s="2621"/>
      <c r="AF9" s="2621"/>
      <c r="AG9" s="2621"/>
      <c r="AH9" s="2621"/>
      <c r="AI9" s="2621"/>
      <c r="AJ9" s="2621"/>
      <c r="AK9" s="2621"/>
      <c r="AL9" s="2621"/>
      <c r="AM9" s="2621"/>
    </row>
    <row r="10" spans="1:40" ht="12.95" customHeight="1">
      <c r="B10" s="406"/>
      <c r="C10" s="407"/>
      <c r="D10" s="407"/>
      <c r="E10" s="407"/>
      <c r="F10" s="407"/>
      <c r="G10" s="407"/>
      <c r="H10" s="407"/>
      <c r="I10" s="407"/>
      <c r="J10" s="407"/>
      <c r="K10" s="407"/>
      <c r="L10" s="407"/>
      <c r="M10" s="407"/>
      <c r="N10" s="407"/>
      <c r="O10" s="407"/>
      <c r="P10" s="407"/>
      <c r="Q10" s="407"/>
      <c r="R10" s="407"/>
      <c r="S10" s="407"/>
      <c r="T10" s="2621"/>
      <c r="U10" s="2621"/>
      <c r="V10" s="2621"/>
      <c r="W10" s="2621"/>
      <c r="X10" s="2621"/>
      <c r="Y10" s="2621"/>
      <c r="Z10" s="2621"/>
      <c r="AA10" s="2621"/>
      <c r="AB10" s="2621"/>
      <c r="AC10" s="2621"/>
      <c r="AD10" s="2621"/>
      <c r="AE10" s="2621"/>
      <c r="AF10" s="2621"/>
      <c r="AG10" s="2621"/>
      <c r="AH10" s="2621"/>
      <c r="AI10" s="2621"/>
      <c r="AJ10" s="2621"/>
      <c r="AK10" s="2621"/>
      <c r="AL10" s="2621"/>
      <c r="AM10" s="2621"/>
    </row>
    <row r="11" spans="1:40" ht="12.95" customHeight="1">
      <c r="B11" s="2607" t="s">
        <v>374</v>
      </c>
      <c r="C11" s="2608"/>
      <c r="D11" s="2608"/>
      <c r="E11" s="2608"/>
      <c r="F11" s="2608"/>
      <c r="G11" s="2608"/>
      <c r="H11" s="2608"/>
      <c r="I11" s="2608"/>
      <c r="J11" s="2608"/>
      <c r="K11" s="2608"/>
      <c r="L11" s="2608"/>
      <c r="M11" s="2608"/>
      <c r="N11" s="2608"/>
      <c r="O11" s="2608"/>
      <c r="P11" s="2608"/>
      <c r="Q11" s="2608"/>
      <c r="R11" s="2608"/>
      <c r="S11" s="2609"/>
      <c r="T11" s="2643">
        <f>IF('Sources and Basis Breakdown'!F107=0,'Sources and Basis Breakdown'!E107,'Sources and Basis Breakdown'!F107)</f>
        <v>54982041</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45" t="s">
        <v>496</v>
      </c>
      <c r="C12" s="1567"/>
      <c r="D12" s="1567"/>
      <c r="E12" s="1567"/>
      <c r="F12" s="1567"/>
      <c r="G12" s="1567"/>
      <c r="H12" s="1567"/>
      <c r="I12" s="1567"/>
      <c r="J12" s="1567"/>
      <c r="K12" s="1567"/>
      <c r="L12" s="1567"/>
      <c r="M12" s="1567"/>
      <c r="N12" s="1567"/>
      <c r="O12" s="1567"/>
      <c r="P12" s="1567"/>
      <c r="Q12" s="1567"/>
      <c r="R12" s="1567"/>
      <c r="S12" s="2646"/>
      <c r="T12" s="2636"/>
      <c r="U12" s="2637"/>
      <c r="V12" s="2637"/>
      <c r="W12" s="2637"/>
      <c r="X12" s="2638"/>
      <c r="Y12" s="2636"/>
      <c r="Z12" s="2637"/>
      <c r="AA12" s="2637"/>
      <c r="AB12" s="2637"/>
      <c r="AC12" s="2638"/>
      <c r="AD12" s="2636"/>
      <c r="AE12" s="2637"/>
      <c r="AF12" s="2637"/>
      <c r="AG12" s="2637"/>
      <c r="AH12" s="2638"/>
      <c r="AI12" s="2636"/>
      <c r="AJ12" s="2637"/>
      <c r="AK12" s="2637"/>
      <c r="AL12" s="2637"/>
      <c r="AM12" s="2638"/>
    </row>
    <row r="13" spans="1:40" ht="12.95" customHeight="1">
      <c r="B13" s="433"/>
      <c r="C13" s="2647" t="s">
        <v>497</v>
      </c>
      <c r="D13" s="2647"/>
      <c r="E13" s="2647"/>
      <c r="F13" s="2647"/>
      <c r="G13" s="2647"/>
      <c r="H13" s="2647"/>
      <c r="I13" s="2647"/>
      <c r="J13" s="2647"/>
      <c r="K13" s="2647"/>
      <c r="L13" s="2647"/>
      <c r="M13" s="2647"/>
      <c r="N13" s="2647"/>
      <c r="O13" s="2647"/>
      <c r="P13" s="2647"/>
      <c r="Q13" s="2647"/>
      <c r="R13" s="2647"/>
      <c r="S13" s="2648"/>
      <c r="T13" s="2639"/>
      <c r="U13" s="2640"/>
      <c r="V13" s="2640"/>
      <c r="W13" s="2640"/>
      <c r="X13" s="2640"/>
      <c r="Y13" s="2639"/>
      <c r="Z13" s="2640"/>
      <c r="AA13" s="2640"/>
      <c r="AB13" s="2640"/>
      <c r="AC13" s="2640"/>
      <c r="AD13" s="2640"/>
      <c r="AE13" s="2640"/>
      <c r="AF13" s="2640"/>
      <c r="AG13" s="2640"/>
      <c r="AH13" s="2640"/>
      <c r="AI13" s="2640"/>
      <c r="AJ13" s="2640"/>
      <c r="AK13" s="2640"/>
      <c r="AL13" s="2640"/>
      <c r="AM13" s="2640"/>
    </row>
    <row r="14" spans="1:40" ht="12.95" customHeight="1">
      <c r="B14" s="433"/>
      <c r="C14" s="2647" t="s">
        <v>498</v>
      </c>
      <c r="D14" s="2647"/>
      <c r="E14" s="2647"/>
      <c r="F14" s="2647"/>
      <c r="G14" s="2647"/>
      <c r="H14" s="2647"/>
      <c r="I14" s="2647"/>
      <c r="J14" s="2647"/>
      <c r="K14" s="2647"/>
      <c r="L14" s="2647"/>
      <c r="M14" s="2647"/>
      <c r="N14" s="2647"/>
      <c r="O14" s="2647"/>
      <c r="P14" s="2647"/>
      <c r="Q14" s="2647"/>
      <c r="R14" s="2647"/>
      <c r="S14" s="2648"/>
      <c r="T14" s="2629"/>
      <c r="U14" s="2630"/>
      <c r="V14" s="2630"/>
      <c r="W14" s="2630"/>
      <c r="X14" s="2630"/>
      <c r="Y14" s="2629"/>
      <c r="Z14" s="2630"/>
      <c r="AA14" s="2630"/>
      <c r="AB14" s="2630"/>
      <c r="AC14" s="2630"/>
      <c r="AD14" s="2630"/>
      <c r="AE14" s="2630"/>
      <c r="AF14" s="2630"/>
      <c r="AG14" s="2630"/>
      <c r="AH14" s="2630"/>
      <c r="AI14" s="2630"/>
      <c r="AJ14" s="2630"/>
      <c r="AK14" s="2630"/>
      <c r="AL14" s="2630"/>
      <c r="AM14" s="2630"/>
    </row>
    <row r="15" spans="1:40" ht="12.95" customHeight="1">
      <c r="B15" s="433"/>
      <c r="C15" s="2647" t="s">
        <v>499</v>
      </c>
      <c r="D15" s="2647"/>
      <c r="E15" s="2647"/>
      <c r="F15" s="2647"/>
      <c r="G15" s="2647"/>
      <c r="H15" s="2647"/>
      <c r="I15" s="2647"/>
      <c r="J15" s="2647"/>
      <c r="K15" s="2647"/>
      <c r="L15" s="2647"/>
      <c r="M15" s="2647"/>
      <c r="N15" s="2647"/>
      <c r="O15" s="2647"/>
      <c r="P15" s="2647"/>
      <c r="Q15" s="2647"/>
      <c r="R15" s="2647"/>
      <c r="S15" s="2648"/>
      <c r="T15" s="2629"/>
      <c r="U15" s="2630"/>
      <c r="V15" s="2630"/>
      <c r="W15" s="2630"/>
      <c r="X15" s="2630"/>
      <c r="Y15" s="2629"/>
      <c r="Z15" s="2630"/>
      <c r="AA15" s="2630"/>
      <c r="AB15" s="2630"/>
      <c r="AC15" s="2630"/>
      <c r="AD15" s="2630"/>
      <c r="AE15" s="2630"/>
      <c r="AF15" s="2630"/>
      <c r="AG15" s="2630"/>
      <c r="AH15" s="2630"/>
      <c r="AI15" s="2630"/>
      <c r="AJ15" s="2630"/>
      <c r="AK15" s="2630"/>
      <c r="AL15" s="2630"/>
      <c r="AM15" s="2630"/>
    </row>
    <row r="16" spans="1:40" ht="12.95" customHeight="1">
      <c r="B16" s="433"/>
      <c r="C16" s="2647" t="s">
        <v>804</v>
      </c>
      <c r="D16" s="2647"/>
      <c r="E16" s="2647"/>
      <c r="F16" s="2647"/>
      <c r="G16" s="2647"/>
      <c r="H16" s="2647"/>
      <c r="I16" s="2647"/>
      <c r="J16" s="2647"/>
      <c r="K16" s="2647"/>
      <c r="L16" s="2647"/>
      <c r="M16" s="2647"/>
      <c r="N16" s="2647"/>
      <c r="O16" s="2647"/>
      <c r="P16" s="2647"/>
      <c r="Q16" s="2647"/>
      <c r="R16" s="2647"/>
      <c r="S16" s="2648"/>
      <c r="T16" s="2629"/>
      <c r="U16" s="2630"/>
      <c r="V16" s="2630"/>
      <c r="W16" s="2630"/>
      <c r="X16" s="2630"/>
      <c r="Y16" s="2629"/>
      <c r="Z16" s="2630"/>
      <c r="AA16" s="2630"/>
      <c r="AB16" s="2630"/>
      <c r="AC16" s="2630"/>
      <c r="AD16" s="2630"/>
      <c r="AE16" s="2630"/>
      <c r="AF16" s="2630"/>
      <c r="AG16" s="2630"/>
      <c r="AH16" s="2630"/>
      <c r="AI16" s="2630"/>
      <c r="AJ16" s="2630"/>
      <c r="AK16" s="2630"/>
      <c r="AL16" s="2630"/>
      <c r="AM16" s="2630"/>
    </row>
    <row r="17" spans="1:40" ht="12.95" customHeight="1">
      <c r="B17" s="433"/>
      <c r="C17" s="2647" t="s">
        <v>500</v>
      </c>
      <c r="D17" s="2647"/>
      <c r="E17" s="2647"/>
      <c r="F17" s="2647"/>
      <c r="G17" s="2647"/>
      <c r="H17" s="2647"/>
      <c r="I17" s="2647"/>
      <c r="J17" s="2647"/>
      <c r="K17" s="2647"/>
      <c r="L17" s="2647"/>
      <c r="M17" s="2647"/>
      <c r="N17" s="2647"/>
      <c r="O17" s="2647"/>
      <c r="P17" s="2647"/>
      <c r="Q17" s="2647"/>
      <c r="R17" s="2647"/>
      <c r="S17" s="2648"/>
      <c r="T17" s="2629"/>
      <c r="U17" s="2630"/>
      <c r="V17" s="2630"/>
      <c r="W17" s="2630"/>
      <c r="X17" s="2630"/>
      <c r="Y17" s="2629"/>
      <c r="Z17" s="2630"/>
      <c r="AA17" s="2630"/>
      <c r="AB17" s="2630"/>
      <c r="AC17" s="2630"/>
      <c r="AD17" s="2630"/>
      <c r="AE17" s="2630"/>
      <c r="AF17" s="2630"/>
      <c r="AG17" s="2630"/>
      <c r="AH17" s="2630"/>
      <c r="AI17" s="2630"/>
      <c r="AJ17" s="2630"/>
      <c r="AK17" s="2630"/>
      <c r="AL17" s="2630"/>
      <c r="AM17" s="2630"/>
    </row>
    <row r="18" spans="1:40" ht="12.95" customHeight="1">
      <c r="A18"/>
      <c r="B18" s="1139"/>
      <c r="C18" s="1821" t="s">
        <v>957</v>
      </c>
      <c r="D18" s="1821"/>
      <c r="E18" s="1821"/>
      <c r="F18" s="1821"/>
      <c r="G18" s="1821"/>
      <c r="H18" s="1821"/>
      <c r="I18" s="1821"/>
      <c r="J18" s="1821"/>
      <c r="K18" s="1821"/>
      <c r="L18" s="1821"/>
      <c r="M18" s="1821"/>
      <c r="N18" s="1821"/>
      <c r="O18" s="1821"/>
      <c r="P18" s="1821"/>
      <c r="Q18" s="1821"/>
      <c r="R18" s="1821"/>
      <c r="S18" s="1822"/>
      <c r="T18" s="2629"/>
      <c r="U18" s="2630"/>
      <c r="V18" s="2630"/>
      <c r="W18" s="2630"/>
      <c r="X18" s="2630"/>
      <c r="Y18" s="2629"/>
      <c r="Z18" s="2630"/>
      <c r="AA18" s="2630"/>
      <c r="AB18" s="2630"/>
      <c r="AC18" s="2630"/>
      <c r="AD18" s="2630"/>
      <c r="AE18" s="2630"/>
      <c r="AF18" s="2630"/>
      <c r="AG18" s="2630"/>
      <c r="AH18" s="2630"/>
      <c r="AI18" s="2630"/>
      <c r="AJ18" s="2630"/>
      <c r="AK18" s="2630"/>
      <c r="AL18" s="2630"/>
      <c r="AM18" s="2630"/>
    </row>
    <row r="19" spans="1:40" ht="12.95" customHeight="1">
      <c r="B19" s="1139"/>
      <c r="C19" s="1821" t="s">
        <v>957</v>
      </c>
      <c r="D19" s="1821"/>
      <c r="E19" s="1821"/>
      <c r="F19" s="1821"/>
      <c r="G19" s="1821"/>
      <c r="H19" s="1821"/>
      <c r="I19" s="1821"/>
      <c r="J19" s="1821"/>
      <c r="K19" s="1821"/>
      <c r="L19" s="1821"/>
      <c r="M19" s="1821"/>
      <c r="N19" s="1821"/>
      <c r="O19" s="1821"/>
      <c r="P19" s="1821"/>
      <c r="Q19" s="1821"/>
      <c r="R19" s="1821"/>
      <c r="S19" s="1822"/>
      <c r="T19" s="2629"/>
      <c r="U19" s="2630"/>
      <c r="V19" s="2630"/>
      <c r="W19" s="2630"/>
      <c r="X19" s="2630"/>
      <c r="Y19" s="2629"/>
      <c r="Z19" s="2630"/>
      <c r="AA19" s="2630"/>
      <c r="AB19" s="2630"/>
      <c r="AC19" s="2630"/>
      <c r="AD19" s="2630"/>
      <c r="AE19" s="2630"/>
      <c r="AF19" s="2630"/>
      <c r="AG19" s="2630"/>
      <c r="AH19" s="2630"/>
      <c r="AI19" s="2630"/>
      <c r="AJ19" s="2630"/>
      <c r="AK19" s="2630"/>
      <c r="AL19" s="2630"/>
      <c r="AM19" s="2630"/>
    </row>
    <row r="20" spans="1:40" ht="12.95" customHeight="1">
      <c r="B20" s="2607" t="s">
        <v>501</v>
      </c>
      <c r="C20" s="2608"/>
      <c r="D20" s="2608"/>
      <c r="E20" s="2608"/>
      <c r="F20" s="2608"/>
      <c r="G20" s="2608"/>
      <c r="H20" s="2608"/>
      <c r="I20" s="2608"/>
      <c r="J20" s="2608"/>
      <c r="K20" s="2608"/>
      <c r="L20" s="2608"/>
      <c r="M20" s="2608"/>
      <c r="N20" s="2608"/>
      <c r="O20" s="2608"/>
      <c r="P20" s="2608"/>
      <c r="Q20" s="2608"/>
      <c r="R20" s="2608"/>
      <c r="S20" s="2609"/>
      <c r="T20" s="2620">
        <f>SUM(T13:X19)</f>
        <v>0</v>
      </c>
      <c r="U20" s="2601"/>
      <c r="V20" s="2601"/>
      <c r="W20" s="2601"/>
      <c r="X20" s="2601"/>
      <c r="Y20" s="2620">
        <f>SUM(Y13:AC19)</f>
        <v>0</v>
      </c>
      <c r="Z20" s="2601"/>
      <c r="AA20" s="2601"/>
      <c r="AB20" s="2601"/>
      <c r="AC20" s="2601"/>
      <c r="AD20" s="2611">
        <f>SUM(AD13:AH19)</f>
        <v>0</v>
      </c>
      <c r="AE20" s="2619"/>
      <c r="AF20" s="2619"/>
      <c r="AG20" s="2619"/>
      <c r="AH20" s="2620"/>
      <c r="AI20" s="2611">
        <f>SUM(AI13:AM19)</f>
        <v>0</v>
      </c>
      <c r="AJ20" s="2619"/>
      <c r="AK20" s="2619"/>
      <c r="AL20" s="2619"/>
      <c r="AM20" s="2620"/>
    </row>
    <row r="21" spans="1:40" ht="12.95" customHeight="1">
      <c r="B21" s="2607" t="s">
        <v>1260</v>
      </c>
      <c r="C21" s="2608"/>
      <c r="D21" s="2608"/>
      <c r="E21" s="2608"/>
      <c r="F21" s="2608"/>
      <c r="G21" s="2608"/>
      <c r="H21" s="2608"/>
      <c r="I21" s="2608"/>
      <c r="J21" s="2608"/>
      <c r="K21" s="2608"/>
      <c r="L21" s="2608"/>
      <c r="M21" s="2608"/>
      <c r="N21" s="2608"/>
      <c r="O21" s="2608"/>
      <c r="P21" s="2608"/>
      <c r="Q21" s="2608"/>
      <c r="R21" s="2608"/>
      <c r="S21" s="2609"/>
      <c r="T21" s="2629"/>
      <c r="U21" s="2630"/>
      <c r="V21" s="2630"/>
      <c r="W21" s="2630"/>
      <c r="X21" s="2630"/>
      <c r="Y21" s="2629"/>
      <c r="Z21" s="2630"/>
      <c r="AA21" s="2630"/>
      <c r="AB21" s="2630"/>
      <c r="AC21" s="2630"/>
      <c r="AD21" s="2636"/>
      <c r="AE21" s="2637"/>
      <c r="AF21" s="2637"/>
      <c r="AG21" s="2637"/>
      <c r="AH21" s="2638"/>
      <c r="AI21" s="2636"/>
      <c r="AJ21" s="2637"/>
      <c r="AK21" s="2637"/>
      <c r="AL21" s="2637"/>
      <c r="AM21" s="2638"/>
    </row>
    <row r="22" spans="1:40" ht="12.95" customHeight="1">
      <c r="B22" s="2607" t="s">
        <v>502</v>
      </c>
      <c r="C22" s="2608"/>
      <c r="D22" s="2608"/>
      <c r="E22" s="2608"/>
      <c r="F22" s="2608"/>
      <c r="G22" s="2608"/>
      <c r="H22" s="2608"/>
      <c r="I22" s="2608"/>
      <c r="J22" s="2608"/>
      <c r="K22" s="2608"/>
      <c r="L22" s="2608"/>
      <c r="M22" s="2608"/>
      <c r="N22" s="2608"/>
      <c r="O22" s="2608"/>
      <c r="P22" s="2608"/>
      <c r="Q22" s="2608"/>
      <c r="R22" s="2608"/>
      <c r="S22" s="2609"/>
      <c r="T22" s="2625">
        <f>(ABS(T20)+ABS(T21))*-1</f>
        <v>0</v>
      </c>
      <c r="U22" s="2626"/>
      <c r="V22" s="2626"/>
      <c r="W22" s="2626"/>
      <c r="X22" s="2626"/>
      <c r="Y22" s="2625">
        <f>(Y20+Y21)*-1</f>
        <v>0</v>
      </c>
      <c r="Z22" s="2626"/>
      <c r="AA22" s="2626"/>
      <c r="AB22" s="2626"/>
      <c r="AC22" s="2626"/>
      <c r="AD22" s="2627">
        <f>(AD20)*-1</f>
        <v>0</v>
      </c>
      <c r="AE22" s="2628"/>
      <c r="AF22" s="2628"/>
      <c r="AG22" s="2628"/>
      <c r="AH22" s="2625"/>
      <c r="AI22" s="2627">
        <f>(AI20)*-1</f>
        <v>0</v>
      </c>
      <c r="AJ22" s="2628"/>
      <c r="AK22" s="2628"/>
      <c r="AL22" s="2628"/>
      <c r="AM22" s="2625"/>
    </row>
    <row r="23" spans="1:40" ht="12.95" customHeight="1">
      <c r="B23" s="2607" t="s">
        <v>503</v>
      </c>
      <c r="C23" s="2608"/>
      <c r="D23" s="2608"/>
      <c r="E23" s="2608"/>
      <c r="F23" s="2608"/>
      <c r="G23" s="2608"/>
      <c r="H23" s="2608"/>
      <c r="I23" s="2608"/>
      <c r="J23" s="2608"/>
      <c r="K23" s="2608"/>
      <c r="L23" s="2608"/>
      <c r="M23" s="2608"/>
      <c r="N23" s="2608"/>
      <c r="O23" s="2608"/>
      <c r="P23" s="2608"/>
      <c r="Q23" s="2608"/>
      <c r="R23" s="2608"/>
      <c r="S23" s="2609"/>
      <c r="T23" s="2620">
        <f>T11+T22</f>
        <v>54982041</v>
      </c>
      <c r="U23" s="2601"/>
      <c r="V23" s="2601"/>
      <c r="W23" s="2601"/>
      <c r="X23" s="2601"/>
      <c r="Y23" s="2620">
        <f>Y11+Y22</f>
        <v>0</v>
      </c>
      <c r="Z23" s="2601"/>
      <c r="AA23" s="2601"/>
      <c r="AB23" s="2601"/>
      <c r="AC23" s="2601"/>
      <c r="AD23" s="2620">
        <f>AD11+AD22</f>
        <v>0</v>
      </c>
      <c r="AE23" s="2601"/>
      <c r="AF23" s="2601"/>
      <c r="AG23" s="2601"/>
      <c r="AH23" s="2601"/>
      <c r="AI23" s="2620">
        <f>AI11+AI22</f>
        <v>0</v>
      </c>
      <c r="AJ23" s="2601"/>
      <c r="AK23" s="2601"/>
      <c r="AL23" s="2601"/>
      <c r="AM23" s="2601"/>
    </row>
    <row r="24" spans="1:40" ht="12.95" customHeight="1">
      <c r="B24" s="2607" t="s">
        <v>958</v>
      </c>
      <c r="C24" s="2608"/>
      <c r="D24" s="2608"/>
      <c r="E24" s="2608"/>
      <c r="F24" s="2608"/>
      <c r="G24" s="2608"/>
      <c r="H24" s="2608"/>
      <c r="I24" s="2608"/>
      <c r="J24" s="2608"/>
      <c r="K24" s="2608"/>
      <c r="L24" s="2608"/>
      <c r="M24" s="2608"/>
      <c r="N24" s="2608"/>
      <c r="O24" s="2608"/>
      <c r="P24" s="2608"/>
      <c r="Q24" s="2608"/>
      <c r="R24" s="2608"/>
      <c r="S24" s="2609"/>
      <c r="T24" s="2611">
        <f>Application!AJ1062</f>
        <v>90351262</v>
      </c>
      <c r="U24" s="2619"/>
      <c r="V24" s="2619"/>
      <c r="W24" s="2619"/>
      <c r="X24" s="2619"/>
      <c r="Y24" s="2619"/>
      <c r="Z24" s="2619"/>
      <c r="AA24" s="2619"/>
      <c r="AB24" s="2619"/>
      <c r="AC24" s="2619"/>
      <c r="AD24" s="2619"/>
      <c r="AE24" s="2619"/>
      <c r="AF24" s="2619"/>
      <c r="AG24" s="2619"/>
      <c r="AH24" s="2619"/>
      <c r="AI24" s="2619"/>
      <c r="AJ24" s="2619"/>
      <c r="AK24" s="2619"/>
      <c r="AL24" s="2619"/>
      <c r="AM24" s="2620"/>
    </row>
    <row r="25" spans="1:40" ht="12.95" customHeight="1">
      <c r="B25" s="2651" t="s">
        <v>1261</v>
      </c>
      <c r="C25" s="2652"/>
      <c r="D25" s="2652"/>
      <c r="E25" s="2652"/>
      <c r="F25" s="2652"/>
      <c r="G25" s="2652"/>
      <c r="H25" s="2652"/>
      <c r="I25" s="2652"/>
      <c r="J25" s="2652"/>
      <c r="K25" s="2652"/>
      <c r="L25" s="2652"/>
      <c r="M25" s="2652"/>
      <c r="N25" s="2652"/>
      <c r="O25" s="2652"/>
      <c r="P25" s="2652"/>
      <c r="Q25" s="2652"/>
      <c r="R25" s="2652"/>
      <c r="S25" s="2653"/>
      <c r="T25" s="2633">
        <f>IF(OR(Application!T196="yes",Application!T195="yes"),1.3,1)</f>
        <v>1.3</v>
      </c>
      <c r="U25" s="2634"/>
      <c r="V25" s="2634"/>
      <c r="W25" s="2634"/>
      <c r="X25" s="2634"/>
      <c r="Y25" s="2633">
        <v>1</v>
      </c>
      <c r="Z25" s="2634"/>
      <c r="AA25" s="2634"/>
      <c r="AB25" s="2634"/>
      <c r="AC25" s="2634"/>
      <c r="AD25" s="2633">
        <v>1</v>
      </c>
      <c r="AE25" s="2634"/>
      <c r="AF25" s="2634"/>
      <c r="AG25" s="2634"/>
      <c r="AH25" s="2635"/>
      <c r="AI25" s="2633">
        <v>1</v>
      </c>
      <c r="AJ25" s="2634"/>
      <c r="AK25" s="2634"/>
      <c r="AL25" s="2634"/>
      <c r="AM25" s="2635"/>
    </row>
    <row r="26" spans="1:40" ht="12.95" customHeight="1">
      <c r="B26" s="2607" t="s">
        <v>504</v>
      </c>
      <c r="C26" s="2608"/>
      <c r="D26" s="2608"/>
      <c r="E26" s="2608"/>
      <c r="F26" s="2608"/>
      <c r="G26" s="2608"/>
      <c r="H26" s="2608"/>
      <c r="I26" s="2608"/>
      <c r="J26" s="2608"/>
      <c r="K26" s="2608"/>
      <c r="L26" s="2608"/>
      <c r="M26" s="2608"/>
      <c r="N26" s="2608"/>
      <c r="O26" s="2608"/>
      <c r="P26" s="2608"/>
      <c r="Q26" s="2608"/>
      <c r="R26" s="2608"/>
      <c r="S26" s="2609"/>
      <c r="T26" s="2620">
        <f>T23*T25</f>
        <v>71476653.299999997</v>
      </c>
      <c r="U26" s="2601"/>
      <c r="V26" s="2601"/>
      <c r="W26" s="2601"/>
      <c r="X26" s="2601"/>
      <c r="Y26" s="2620">
        <f>Y23*Y25</f>
        <v>0</v>
      </c>
      <c r="Z26" s="2601"/>
      <c r="AA26" s="2601"/>
      <c r="AB26" s="2601"/>
      <c r="AC26" s="2601"/>
      <c r="AD26" s="2620">
        <f>AD23*AD25</f>
        <v>0</v>
      </c>
      <c r="AE26" s="2601"/>
      <c r="AF26" s="2601"/>
      <c r="AG26" s="2601"/>
      <c r="AH26" s="2601"/>
      <c r="AI26" s="2620">
        <f>AI23*AI25</f>
        <v>0</v>
      </c>
      <c r="AJ26" s="2601"/>
      <c r="AK26" s="2601"/>
      <c r="AL26" s="2601"/>
      <c r="AM26" s="2601"/>
    </row>
    <row r="27" spans="1:40" ht="12.95" customHeight="1">
      <c r="A27" s="408"/>
      <c r="B27" s="2654" t="s">
        <v>425</v>
      </c>
      <c r="C27" s="2655"/>
      <c r="D27" s="2655"/>
      <c r="E27" s="2655"/>
      <c r="F27" s="2655"/>
      <c r="G27" s="2655"/>
      <c r="H27" s="2655"/>
      <c r="I27" s="2655"/>
      <c r="J27" s="2655"/>
      <c r="K27" s="2655"/>
      <c r="L27" s="2655"/>
      <c r="M27" s="2655"/>
      <c r="N27" s="2655"/>
      <c r="O27" s="2655"/>
      <c r="P27" s="2655"/>
      <c r="Q27" s="2655"/>
      <c r="R27" s="2655"/>
      <c r="S27" s="2656"/>
      <c r="T27" s="2631">
        <f>Application!$AG$454</f>
        <v>1</v>
      </c>
      <c r="U27" s="2632"/>
      <c r="V27" s="2632"/>
      <c r="W27" s="2632"/>
      <c r="X27" s="2632"/>
      <c r="Y27" s="2631">
        <f>Application!$AG$454</f>
        <v>1</v>
      </c>
      <c r="Z27" s="2632"/>
      <c r="AA27" s="2632"/>
      <c r="AB27" s="2632"/>
      <c r="AC27" s="2632"/>
      <c r="AD27" s="2631">
        <f>Application!$AG$454</f>
        <v>1</v>
      </c>
      <c r="AE27" s="2632"/>
      <c r="AF27" s="2632"/>
      <c r="AG27" s="2632"/>
      <c r="AH27" s="2632"/>
      <c r="AI27" s="2631">
        <f>Application!$AG$454</f>
        <v>1</v>
      </c>
      <c r="AJ27" s="2632"/>
      <c r="AK27" s="2632"/>
      <c r="AL27" s="2632"/>
      <c r="AM27" s="2632"/>
    </row>
    <row r="28" spans="1:40" ht="12.95" customHeight="1">
      <c r="A28" s="402"/>
      <c r="B28" s="2607" t="s">
        <v>505</v>
      </c>
      <c r="C28" s="2608"/>
      <c r="D28" s="2608"/>
      <c r="E28" s="2608"/>
      <c r="F28" s="2608"/>
      <c r="G28" s="2608"/>
      <c r="H28" s="2608"/>
      <c r="I28" s="2608"/>
      <c r="J28" s="2608"/>
      <c r="K28" s="2608"/>
      <c r="L28" s="2608"/>
      <c r="M28" s="2608"/>
      <c r="N28" s="2608"/>
      <c r="O28" s="2608"/>
      <c r="P28" s="2608"/>
      <c r="Q28" s="2608"/>
      <c r="R28" s="2608"/>
      <c r="S28" s="2609"/>
      <c r="T28" s="2620">
        <f>IF(ISERROR((T26*T27)),0,(T26*T27))</f>
        <v>71476653.299999997</v>
      </c>
      <c r="U28" s="2601"/>
      <c r="V28" s="2601"/>
      <c r="W28" s="2601"/>
      <c r="X28" s="2601"/>
      <c r="Y28" s="2620">
        <f>IF(ISERROR((Y26*Y27)),0,(Y26*Y27))</f>
        <v>0</v>
      </c>
      <c r="Z28" s="2601"/>
      <c r="AA28" s="2601"/>
      <c r="AB28" s="2601"/>
      <c r="AC28" s="2601"/>
      <c r="AD28" s="2620">
        <f>IF(ISERROR((AD26*AD27)),0,(AD26*AD27))</f>
        <v>0</v>
      </c>
      <c r="AE28" s="2601"/>
      <c r="AF28" s="2601"/>
      <c r="AG28" s="2601"/>
      <c r="AH28" s="2601"/>
      <c r="AI28" s="2620">
        <f>IF(ISERROR((AI26*AI27)),0,(AI26*AI27))</f>
        <v>0</v>
      </c>
      <c r="AJ28" s="2601"/>
      <c r="AK28" s="2601"/>
      <c r="AL28" s="2601"/>
      <c r="AM28" s="2601"/>
    </row>
    <row r="29" spans="1:40" ht="12.95" customHeight="1">
      <c r="B29" s="2607" t="s">
        <v>522</v>
      </c>
      <c r="C29" s="2608"/>
      <c r="D29" s="2608"/>
      <c r="E29" s="2608"/>
      <c r="F29" s="2608"/>
      <c r="G29" s="2608"/>
      <c r="H29" s="2608"/>
      <c r="I29" s="2608"/>
      <c r="J29" s="2608"/>
      <c r="K29" s="2608"/>
      <c r="L29" s="2608"/>
      <c r="M29" s="2608"/>
      <c r="N29" s="2608"/>
      <c r="O29" s="2608"/>
      <c r="P29" s="2608"/>
      <c r="Q29" s="2608"/>
      <c r="R29" s="2608"/>
      <c r="S29" s="2609"/>
      <c r="T29" s="2611">
        <f>T28+Y28+AD28+AI28</f>
        <v>71476653.299999997</v>
      </c>
      <c r="U29" s="2619"/>
      <c r="V29" s="2619"/>
      <c r="W29" s="2619"/>
      <c r="X29" s="2619"/>
      <c r="Y29" s="2619"/>
      <c r="Z29" s="2619"/>
      <c r="AA29" s="2619"/>
      <c r="AB29" s="2619"/>
      <c r="AC29" s="2619"/>
      <c r="AD29" s="2619"/>
      <c r="AE29" s="2619"/>
      <c r="AF29" s="2619"/>
      <c r="AG29" s="2619"/>
      <c r="AH29" s="2619"/>
      <c r="AI29" s="2619"/>
      <c r="AJ29" s="2619"/>
      <c r="AK29" s="2619"/>
      <c r="AL29" s="2619"/>
      <c r="AM29" s="2620"/>
    </row>
    <row r="30" spans="1:40" ht="12.95" customHeight="1">
      <c r="B30" s="2624" t="s">
        <v>1263</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1262</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16"/>
    </row>
    <row r="32" spans="1:40" ht="12.95" customHeight="1">
      <c r="B32" s="432"/>
      <c r="C32" s="509" t="s">
        <v>386</v>
      </c>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row>
    <row r="33" spans="1:76" ht="12.95" customHeight="1"/>
    <row r="34" spans="1:76" ht="12.95" customHeight="1">
      <c r="A34" s="402" t="s">
        <v>575</v>
      </c>
      <c r="C34" s="402" t="s">
        <v>567</v>
      </c>
    </row>
    <row r="35" spans="1:76" ht="12.95" customHeight="1">
      <c r="B35" s="403"/>
      <c r="C35" s="404"/>
      <c r="D35" s="404"/>
      <c r="E35" s="404"/>
      <c r="F35" s="404"/>
      <c r="G35" s="404"/>
      <c r="H35" s="404"/>
      <c r="I35" s="404"/>
      <c r="J35" s="404"/>
      <c r="K35" s="404"/>
      <c r="L35" s="404"/>
      <c r="M35" s="404"/>
      <c r="N35" s="404"/>
      <c r="O35" s="404"/>
      <c r="P35" s="404"/>
      <c r="Q35" s="404"/>
      <c r="R35" s="404"/>
      <c r="S35" s="404"/>
      <c r="T35" s="404"/>
      <c r="U35" s="404"/>
      <c r="V35" s="404"/>
      <c r="W35" s="404"/>
      <c r="X35" s="409"/>
      <c r="Y35" s="2621" t="s">
        <v>1151</v>
      </c>
      <c r="Z35" s="2621"/>
      <c r="AA35" s="2621"/>
      <c r="AB35" s="2621"/>
      <c r="AC35" s="2621"/>
      <c r="AD35" s="2622" t="s">
        <v>368</v>
      </c>
      <c r="AE35" s="2622"/>
      <c r="AF35" s="2622"/>
      <c r="AG35" s="2622"/>
      <c r="AH35" s="2622"/>
    </row>
    <row r="36" spans="1:76" ht="12.95" customHeight="1">
      <c r="B36" s="405"/>
      <c r="X36" s="410"/>
      <c r="Y36" s="2621"/>
      <c r="Z36" s="2621"/>
      <c r="AA36" s="2621"/>
      <c r="AB36" s="2621"/>
      <c r="AC36" s="2621"/>
      <c r="AD36" s="2622"/>
      <c r="AE36" s="2622"/>
      <c r="AF36" s="2622"/>
      <c r="AG36" s="2622"/>
      <c r="AH36" s="2622"/>
    </row>
    <row r="37" spans="1:76" ht="12.95" customHeight="1">
      <c r="B37" s="406"/>
      <c r="C37" s="407"/>
      <c r="D37" s="407"/>
      <c r="E37" s="407"/>
      <c r="F37" s="407"/>
      <c r="G37" s="407"/>
      <c r="H37" s="407"/>
      <c r="I37" s="407"/>
      <c r="J37" s="407"/>
      <c r="K37" s="407"/>
      <c r="L37" s="407"/>
      <c r="M37" s="407"/>
      <c r="N37" s="407"/>
      <c r="O37" s="407"/>
      <c r="P37" s="407"/>
      <c r="Q37" s="407"/>
      <c r="R37" s="407"/>
      <c r="S37" s="407"/>
      <c r="T37" s="407"/>
      <c r="U37" s="407"/>
      <c r="V37" s="407"/>
      <c r="W37" s="407"/>
      <c r="X37" s="411"/>
      <c r="Y37" s="2621"/>
      <c r="Z37" s="2621"/>
      <c r="AA37" s="2621"/>
      <c r="AB37" s="2621"/>
      <c r="AC37" s="2621"/>
      <c r="AD37" s="2622"/>
      <c r="AE37" s="2622"/>
      <c r="AF37" s="2622"/>
      <c r="AG37" s="2622"/>
      <c r="AH37" s="2622"/>
    </row>
    <row r="38" spans="1:76" ht="12.95" customHeight="1">
      <c r="A38" s="402"/>
      <c r="B38" s="2607" t="s">
        <v>505</v>
      </c>
      <c r="C38" s="2608"/>
      <c r="D38" s="2608"/>
      <c r="E38" s="2608"/>
      <c r="F38" s="2608"/>
      <c r="G38" s="2608"/>
      <c r="H38" s="2608"/>
      <c r="I38" s="2608"/>
      <c r="J38" s="2608"/>
      <c r="K38" s="2608"/>
      <c r="L38" s="2608"/>
      <c r="M38" s="2608"/>
      <c r="N38" s="2608"/>
      <c r="O38" s="2608"/>
      <c r="P38" s="2608"/>
      <c r="Q38" s="2608"/>
      <c r="R38" s="2608"/>
      <c r="S38" s="2608"/>
      <c r="T38" s="2608"/>
      <c r="U38" s="2608"/>
      <c r="V38" s="2608"/>
      <c r="W38" s="2608"/>
      <c r="X38" s="2609"/>
      <c r="Y38" s="2601">
        <f>IF(T24&gt;=(T23+Y23+AD23+AI23),T28+Y28,0)</f>
        <v>71476653.299999997</v>
      </c>
      <c r="Z38" s="2601"/>
      <c r="AA38" s="2601"/>
      <c r="AB38" s="2601"/>
      <c r="AC38" s="2601"/>
      <c r="AD38" s="2601">
        <f>IF(T24&gt;=(T23+Y23+AD23+AI23),AD28+AI28,0)</f>
        <v>0</v>
      </c>
      <c r="AE38" s="2601"/>
      <c r="AF38" s="2601"/>
      <c r="AG38" s="2601"/>
      <c r="AH38" s="2601"/>
    </row>
    <row r="39" spans="1:76" ht="12.95" customHeight="1">
      <c r="B39" s="2607" t="s">
        <v>1677</v>
      </c>
      <c r="C39" s="2608"/>
      <c r="D39" s="2608"/>
      <c r="E39" s="2608"/>
      <c r="F39" s="2608"/>
      <c r="G39" s="2608"/>
      <c r="H39" s="2608"/>
      <c r="I39" s="2608"/>
      <c r="J39" s="2608"/>
      <c r="K39" s="2608"/>
      <c r="L39" s="2608"/>
      <c r="M39" s="2608"/>
      <c r="N39" s="2608"/>
      <c r="O39" s="2608"/>
      <c r="P39" s="2608"/>
      <c r="Q39" s="2608"/>
      <c r="R39" s="2608"/>
      <c r="S39" s="2608"/>
      <c r="T39" s="2608"/>
      <c r="U39" s="2608"/>
      <c r="V39" s="2608"/>
      <c r="W39" s="2608"/>
      <c r="X39" s="2609"/>
      <c r="Y39" s="2623">
        <v>0.04</v>
      </c>
      <c r="Z39" s="2623"/>
      <c r="AA39" s="2623"/>
      <c r="AB39" s="2623"/>
      <c r="AC39" s="2623"/>
      <c r="AD39" s="2623">
        <v>0.04</v>
      </c>
      <c r="AE39" s="2623"/>
      <c r="AF39" s="2623"/>
      <c r="AG39" s="2623"/>
      <c r="AH39" s="2623"/>
    </row>
    <row r="40" spans="1:76" ht="12.95" customHeight="1">
      <c r="A40" s="402"/>
      <c r="B40" s="2607" t="s">
        <v>641</v>
      </c>
      <c r="C40" s="2608"/>
      <c r="D40" s="2608"/>
      <c r="E40" s="2608"/>
      <c r="F40" s="2608"/>
      <c r="G40" s="2608"/>
      <c r="H40" s="2608"/>
      <c r="I40" s="2608"/>
      <c r="J40" s="2608"/>
      <c r="K40" s="2608"/>
      <c r="L40" s="2608"/>
      <c r="M40" s="2608"/>
      <c r="N40" s="2608"/>
      <c r="O40" s="2608"/>
      <c r="P40" s="2608"/>
      <c r="Q40" s="2608"/>
      <c r="R40" s="2608"/>
      <c r="S40" s="2608"/>
      <c r="T40" s="2608"/>
      <c r="U40" s="2608"/>
      <c r="V40" s="2608"/>
      <c r="W40" s="2608"/>
      <c r="X40" s="2609"/>
      <c r="Y40" s="2601">
        <f>ROUND(Y38*Y39,0)</f>
        <v>2859066</v>
      </c>
      <c r="Z40" s="2601"/>
      <c r="AA40" s="2601"/>
      <c r="AB40" s="2601"/>
      <c r="AC40" s="2601"/>
      <c r="AD40" s="2620">
        <f>ROUND(AD38*AD39,0)</f>
        <v>0</v>
      </c>
      <c r="AE40" s="2601"/>
      <c r="AF40" s="2601"/>
      <c r="AG40" s="2601"/>
      <c r="AH40" s="2601"/>
    </row>
    <row r="41" spans="1:76" ht="12.95" customHeight="1">
      <c r="B41" s="2607" t="s">
        <v>642</v>
      </c>
      <c r="C41" s="2608"/>
      <c r="D41" s="2608"/>
      <c r="E41" s="2608"/>
      <c r="F41" s="2608"/>
      <c r="G41" s="2608"/>
      <c r="H41" s="2608"/>
      <c r="I41" s="2608"/>
      <c r="J41" s="2608"/>
      <c r="K41" s="2608"/>
      <c r="L41" s="2608"/>
      <c r="M41" s="2608"/>
      <c r="N41" s="2608"/>
      <c r="O41" s="2608"/>
      <c r="P41" s="2608"/>
      <c r="Q41" s="2608"/>
      <c r="R41" s="2608"/>
      <c r="S41" s="2608"/>
      <c r="T41" s="2608"/>
      <c r="U41" s="2608"/>
      <c r="V41" s="2608"/>
      <c r="W41" s="2608"/>
      <c r="X41" s="2609"/>
      <c r="Y41" s="2611">
        <f>Y40+AD40</f>
        <v>2859066</v>
      </c>
      <c r="Z41" s="2619"/>
      <c r="AA41" s="2619"/>
      <c r="AB41" s="2619"/>
      <c r="AC41" s="2619"/>
      <c r="AD41" s="2619"/>
      <c r="AE41" s="2619"/>
      <c r="AF41" s="2619"/>
      <c r="AG41" s="2619"/>
      <c r="AH41" s="2620"/>
    </row>
    <row r="42" spans="1:76" ht="12.95" customHeight="1">
      <c r="A42" s="402"/>
      <c r="B42" s="924"/>
      <c r="C42" s="924"/>
      <c r="D42" s="924"/>
      <c r="E42" s="924"/>
      <c r="F42" s="924"/>
      <c r="G42" s="924"/>
      <c r="H42" s="924"/>
      <c r="I42" s="924"/>
      <c r="J42" s="924"/>
      <c r="K42" s="924"/>
      <c r="L42" s="924"/>
      <c r="M42" s="924"/>
      <c r="N42" s="924"/>
      <c r="O42" s="924"/>
      <c r="P42" s="924"/>
      <c r="Q42" s="924"/>
      <c r="R42" s="924"/>
      <c r="S42" s="924"/>
      <c r="T42" s="924"/>
      <c r="U42" s="924"/>
      <c r="V42" s="924"/>
      <c r="W42" s="924"/>
      <c r="X42" s="924"/>
      <c r="Y42" s="924"/>
      <c r="Z42" s="924"/>
      <c r="AA42" s="924"/>
      <c r="AB42" s="924"/>
      <c r="AC42" s="924"/>
      <c r="AD42" s="924"/>
      <c r="AE42" s="924"/>
      <c r="AF42" s="924"/>
      <c r="AG42" s="924"/>
      <c r="AH42" s="924"/>
    </row>
    <row r="43" spans="1:76" ht="12.95" customHeight="1">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row>
    <row r="44" spans="1:76" s="204" customFormat="1" ht="12.95" customHeight="1" thickBot="1">
      <c r="A44" s="2618" t="s">
        <v>1273</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04" customFormat="1" ht="12.95" customHeight="1" thickTop="1"/>
    <row r="46" spans="1:76" ht="12.95" customHeight="1">
      <c r="A46" s="402" t="s">
        <v>585</v>
      </c>
      <c r="C46" s="402" t="s">
        <v>281</v>
      </c>
    </row>
    <row r="47" spans="1:76" ht="12.95" customHeight="1">
      <c r="D47" s="402" t="s">
        <v>282</v>
      </c>
      <c r="AB47" s="2615">
        <f>'Sources and Uses Budget'!B105-MAX(IF('Sources and Uses Budget'!B15="",0,'Sources and Uses Budget'!B15),IF(Application!AG403="",0,Application!AG403))</f>
        <v>58141072</v>
      </c>
      <c r="AC47" s="2616"/>
      <c r="AD47" s="2616"/>
      <c r="AE47" s="2616"/>
      <c r="AF47" s="2617"/>
    </row>
    <row r="48" spans="1:76" ht="12.95" customHeight="1">
      <c r="D48" s="402" t="s">
        <v>21</v>
      </c>
      <c r="AB48" s="2615">
        <f>Application!AO647-MAX(IF('Sources and Uses Budget'!B15="",0,'Sources and Uses Budget'!B15),IF(Application!AG403="",0,Application!AG403))</f>
        <v>20114396</v>
      </c>
      <c r="AC48" s="2616"/>
      <c r="AD48" s="2616"/>
      <c r="AE48" s="2616"/>
      <c r="AF48" s="2617"/>
    </row>
    <row r="49" spans="1:76" ht="12.95" customHeight="1">
      <c r="D49" s="402" t="s">
        <v>91</v>
      </c>
      <c r="AB49" s="2615">
        <f>AB47-AB48</f>
        <v>38026676</v>
      </c>
      <c r="AC49" s="2616"/>
      <c r="AD49" s="2616"/>
      <c r="AE49" s="2616"/>
      <c r="AF49" s="2617"/>
    </row>
    <row r="50" spans="1:76" ht="12.95" customHeight="1">
      <c r="D50" s="402" t="s">
        <v>680</v>
      </c>
      <c r="AA50" s="413"/>
      <c r="AB50" s="2603">
        <f>0.83*0.9999</f>
        <v>0.82991700000000002</v>
      </c>
      <c r="AC50" s="2604"/>
      <c r="AD50" s="2604"/>
      <c r="AE50" s="2604"/>
      <c r="AF50" s="2605"/>
    </row>
    <row r="51" spans="1:76" s="415" customFormat="1" ht="12.95" customHeight="1">
      <c r="A51" s="400"/>
      <c r="B51" s="400"/>
      <c r="C51" s="400"/>
      <c r="D51" s="400"/>
      <c r="E51" s="2614" t="s">
        <v>2527</v>
      </c>
      <c r="F51" s="2614"/>
      <c r="G51" s="2614"/>
      <c r="H51" s="2614"/>
      <c r="I51" s="2614"/>
      <c r="J51" s="2614"/>
      <c r="K51" s="2614"/>
      <c r="L51" s="2614"/>
      <c r="M51" s="2614"/>
      <c r="N51" s="2614"/>
      <c r="O51" s="2614"/>
      <c r="P51" s="2614"/>
      <c r="Q51" s="2614"/>
      <c r="R51" s="2614"/>
      <c r="S51" s="2614"/>
      <c r="T51" s="2614"/>
      <c r="U51" s="2614"/>
      <c r="V51" s="2614"/>
      <c r="W51" s="2614"/>
      <c r="X51" s="2614"/>
      <c r="Y51" s="2614"/>
      <c r="Z51" s="2614"/>
      <c r="AA51" s="414"/>
      <c r="AB51" s="414"/>
      <c r="AC51" s="414"/>
      <c r="AD51" s="414"/>
      <c r="AE51" s="414"/>
      <c r="AF51" s="414"/>
      <c r="AG51" s="400"/>
      <c r="AH51" s="400"/>
      <c r="AI51" s="400"/>
      <c r="AJ51" s="400"/>
      <c r="AK51" s="400"/>
      <c r="AL51" s="400"/>
      <c r="AM51" s="400"/>
      <c r="AN51" s="400"/>
    </row>
    <row r="52" spans="1:76" s="415" customFormat="1" ht="12.95" customHeight="1">
      <c r="A52" s="400"/>
      <c r="B52" s="400"/>
      <c r="C52" s="400"/>
      <c r="D52" s="400"/>
      <c r="E52" s="2614"/>
      <c r="F52" s="2614"/>
      <c r="G52" s="2614"/>
      <c r="H52" s="2614"/>
      <c r="I52" s="2614"/>
      <c r="J52" s="2614"/>
      <c r="K52" s="2614"/>
      <c r="L52" s="2614"/>
      <c r="M52" s="2614"/>
      <c r="N52" s="2614"/>
      <c r="O52" s="2614"/>
      <c r="P52" s="2614"/>
      <c r="Q52" s="2614"/>
      <c r="R52" s="2614"/>
      <c r="S52" s="2614"/>
      <c r="T52" s="2614"/>
      <c r="U52" s="2614"/>
      <c r="V52" s="2614"/>
      <c r="W52" s="2614"/>
      <c r="X52" s="2614"/>
      <c r="Y52" s="2614"/>
      <c r="Z52" s="2614"/>
      <c r="AA52" s="416"/>
      <c r="AB52" s="416"/>
      <c r="AC52" s="416"/>
      <c r="AD52" s="416"/>
      <c r="AE52" s="416"/>
      <c r="AF52" s="416"/>
      <c r="AG52" s="417"/>
      <c r="AH52" s="400"/>
      <c r="AI52" s="400"/>
      <c r="AJ52" s="400"/>
      <c r="AK52" s="400"/>
      <c r="AL52" s="400"/>
      <c r="AM52" s="400"/>
      <c r="AN52" s="400"/>
    </row>
    <row r="53" spans="1:76" ht="12.95" customHeight="1">
      <c r="E53" s="414"/>
      <c r="F53" s="414"/>
      <c r="G53" s="414"/>
      <c r="H53" s="414"/>
      <c r="I53" s="414"/>
      <c r="J53" s="414"/>
      <c r="K53" s="414"/>
      <c r="L53" s="414"/>
      <c r="M53" s="414"/>
      <c r="N53" s="414"/>
      <c r="O53" s="414"/>
      <c r="P53" s="414"/>
      <c r="Q53" s="414"/>
      <c r="R53" s="414"/>
      <c r="S53" s="414"/>
      <c r="T53" s="414"/>
      <c r="U53" s="414"/>
      <c r="V53" s="414"/>
      <c r="W53" s="414"/>
      <c r="X53" s="414"/>
      <c r="Y53" s="414"/>
      <c r="Z53" s="414"/>
    </row>
    <row r="54" spans="1:76" ht="12.95" customHeight="1">
      <c r="D54" s="402" t="s">
        <v>331</v>
      </c>
      <c r="AB54" s="2615">
        <f>ROUND(IF(ISERROR((AB49/AB50)),0,(AB49/AB50)),0)</f>
        <v>45819854</v>
      </c>
      <c r="AC54" s="2616"/>
      <c r="AD54" s="2616"/>
      <c r="AE54" s="2616"/>
      <c r="AF54" s="2617"/>
    </row>
    <row r="55" spans="1:76" ht="12.95" customHeight="1">
      <c r="D55" s="402" t="s">
        <v>332</v>
      </c>
      <c r="AB55" s="2615">
        <f>(AB54/10)</f>
        <v>4581985.4000000004</v>
      </c>
      <c r="AC55" s="2616"/>
      <c r="AD55" s="2616"/>
      <c r="AE55" s="2616"/>
      <c r="AF55" s="2617"/>
    </row>
    <row r="56" spans="1:76" ht="12.95" customHeight="1">
      <c r="D56" s="402" t="s">
        <v>755</v>
      </c>
      <c r="AB56" s="2615">
        <f>ROUND((IF((Y41&lt;AB55),Y41,AB55)),0)</f>
        <v>2859066</v>
      </c>
      <c r="AC56" s="2616"/>
      <c r="AD56" s="2616"/>
      <c r="AE56" s="2616"/>
      <c r="AF56" s="2617"/>
    </row>
    <row r="57" spans="1:76" ht="12.95" customHeight="1">
      <c r="D57" s="402" t="s">
        <v>754</v>
      </c>
      <c r="AB57" s="2615">
        <f>ROUND((10*AB56*AB50),0)</f>
        <v>23727875</v>
      </c>
      <c r="AC57" s="2616"/>
      <c r="AD57" s="2616"/>
      <c r="AE57" s="2616"/>
      <c r="AF57" s="2617"/>
    </row>
    <row r="58" spans="1:76" ht="12.95" customHeight="1">
      <c r="D58" s="402"/>
      <c r="AB58" s="421"/>
      <c r="AC58" s="421"/>
      <c r="AD58" s="421"/>
      <c r="AE58" s="421"/>
      <c r="AF58" s="421"/>
    </row>
    <row r="59" spans="1:76" ht="12.95" customHeight="1">
      <c r="D59" s="402" t="s">
        <v>753</v>
      </c>
      <c r="AB59" s="2599">
        <f>AB49-AB57</f>
        <v>14298801</v>
      </c>
      <c r="AC59" s="2599"/>
      <c r="AD59" s="2599"/>
      <c r="AE59" s="2599"/>
      <c r="AF59" s="2599"/>
    </row>
    <row r="60" spans="1:76" ht="12.95" customHeight="1">
      <c r="D60" s="402"/>
      <c r="AB60" s="421"/>
      <c r="AC60" s="421"/>
      <c r="AD60" s="421"/>
      <c r="AE60" s="421"/>
      <c r="AF60" s="421"/>
    </row>
    <row r="61" spans="1:76" s="204"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04" customFormat="1" ht="12.95" customHeight="1" thickTop="1"/>
    <row r="63" spans="1:76" ht="12.95" customHeight="1">
      <c r="A63" s="402" t="s">
        <v>588</v>
      </c>
      <c r="C63" s="205" t="s">
        <v>1245</v>
      </c>
      <c r="Y63" s="2610" t="s">
        <v>981</v>
      </c>
      <c r="Z63" s="2610"/>
      <c r="AA63" s="2610"/>
      <c r="AB63" s="2610"/>
      <c r="AC63" s="2610"/>
      <c r="AD63" s="2610" t="s">
        <v>368</v>
      </c>
      <c r="AE63" s="2610"/>
      <c r="AF63" s="2610"/>
      <c r="AG63" s="2610"/>
      <c r="AH63" s="2610"/>
    </row>
    <row r="64" spans="1:76" ht="12.95" customHeight="1">
      <c r="C64" s="402"/>
      <c r="D64" s="375" t="s">
        <v>1246</v>
      </c>
      <c r="E64" s="418"/>
      <c r="F64" s="418"/>
      <c r="G64" s="418"/>
      <c r="H64" s="418"/>
      <c r="I64" s="418"/>
      <c r="J64" s="418"/>
      <c r="K64" s="418"/>
      <c r="L64" s="418"/>
      <c r="M64" s="418"/>
      <c r="N64" s="418"/>
      <c r="O64" s="418"/>
      <c r="P64" s="418"/>
      <c r="Q64" s="418"/>
      <c r="R64" s="418"/>
      <c r="S64" s="418"/>
      <c r="T64" s="418"/>
      <c r="U64" s="418"/>
      <c r="V64" s="418"/>
      <c r="W64" s="418"/>
      <c r="X64" s="418"/>
      <c r="Y64" s="2611">
        <f>IF(Application!$Z$205="(select)",0,((T23*T27)+Y28))</f>
        <v>54982041</v>
      </c>
      <c r="Z64" s="2612"/>
      <c r="AA64" s="2612"/>
      <c r="AB64" s="2612"/>
      <c r="AC64" s="2613"/>
      <c r="AD64" s="2611">
        <f>IF(AND(OR(Application!D211="At-Risk",Application!D211="At-Risk and Special Needs"),Application!M367="yes"),AD28+AI28,0)</f>
        <v>0</v>
      </c>
      <c r="AE64" s="2612"/>
      <c r="AF64" s="2612"/>
      <c r="AG64" s="2612"/>
      <c r="AH64" s="2613"/>
    </row>
    <row r="65" spans="1:37" ht="12.95" customHeight="1">
      <c r="C65" s="402"/>
      <c r="E65" s="1009" t="s">
        <v>1821</v>
      </c>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row>
    <row r="66" spans="1:37" ht="22.5" customHeight="1">
      <c r="C66" s="402"/>
      <c r="E66" s="1009" t="s">
        <v>1822</v>
      </c>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row>
    <row r="67" spans="1:37" ht="12.95" customHeight="1">
      <c r="C67" s="402"/>
      <c r="D67" s="402" t="s">
        <v>269</v>
      </c>
      <c r="E67" s="419"/>
      <c r="F67" s="419"/>
      <c r="G67" s="419"/>
      <c r="H67" s="419"/>
      <c r="I67" s="419"/>
      <c r="J67" s="419"/>
      <c r="K67" s="419"/>
      <c r="L67" s="419"/>
      <c r="M67" s="419"/>
      <c r="N67" s="419"/>
      <c r="O67" s="419"/>
      <c r="P67" s="419"/>
      <c r="Q67" s="419"/>
      <c r="R67" s="419"/>
      <c r="S67" s="419"/>
      <c r="T67" s="419"/>
      <c r="U67" s="419"/>
      <c r="V67" s="419"/>
      <c r="W67" s="419"/>
      <c r="X67" s="419"/>
      <c r="Y67" s="2600">
        <f>IF(OR(Application!Z205="State Farmworker Credit",Application!Z205="$500M (Farmworker Housing)"),0.75,IF(Application!Z205="15% set-aside",0.13,IF(Application!Z205="15% set-aside with qualifying low value rehab",0.95,IF(Application!Z205="$500M",0.3,0))))</f>
        <v>0.3</v>
      </c>
      <c r="Z67" s="2600"/>
      <c r="AA67" s="2600"/>
      <c r="AB67" s="2600"/>
      <c r="AC67" s="2600"/>
      <c r="AD67" s="2600">
        <f>IF(Application!Z205="15% set-aside with qualifying low value rehab", 0.95,IF(OR(Application!D211="At-Risk",'Points System'!B26="Yes"),0.13,0))</f>
        <v>0</v>
      </c>
      <c r="AE67" s="2600"/>
      <c r="AF67" s="2600"/>
      <c r="AG67" s="2600"/>
      <c r="AH67" s="2600"/>
    </row>
    <row r="68" spans="1:37" ht="12.95" customHeight="1">
      <c r="C68" s="402"/>
      <c r="D68" s="205" t="s">
        <v>2175</v>
      </c>
      <c r="Y68" s="2601">
        <f>IF(AND(T25=1.3,OR(Y67=0.13,Y67=0.95),NOT(Application!T212&gt;=50%)),0,ROUND(Y64*Y67,0))</f>
        <v>16494612</v>
      </c>
      <c r="Z68" s="2602"/>
      <c r="AA68" s="2602"/>
      <c r="AB68" s="2602"/>
      <c r="AC68" s="2602"/>
      <c r="AD68" s="2601">
        <f>IF(AND(T25=1.3,AD67&gt;0,NOT(Application!T212&gt;=50%)),0,ROUND(AD64*AD67,0))</f>
        <v>0</v>
      </c>
      <c r="AE68" s="2602"/>
      <c r="AF68" s="2602"/>
      <c r="AG68" s="2602"/>
      <c r="AH68" s="2602"/>
      <c r="AK68" s="1187"/>
    </row>
    <row r="69" spans="1:37" ht="12.95" customHeight="1">
      <c r="C69" s="402"/>
      <c r="D69" s="205" t="s">
        <v>2176</v>
      </c>
      <c r="Y69" s="2601">
        <f>IF(OR(Application!Z205="State Farmworker Credit",Application!Z205="$500M (Farmworker Housing)"),Y68+AD68,MIN(Y68+AD68,200000*(Application!G761+Application!O785)))</f>
        <v>16494612</v>
      </c>
      <c r="Z69" s="2601"/>
      <c r="AA69" s="2601"/>
      <c r="AB69" s="2601"/>
      <c r="AC69" s="2601"/>
      <c r="AD69" s="2601"/>
      <c r="AE69" s="2601"/>
      <c r="AF69" s="2601"/>
      <c r="AG69" s="2601"/>
      <c r="AH69" s="2601"/>
    </row>
    <row r="70" spans="1:37" ht="12.95" customHeight="1">
      <c r="C70" s="402"/>
      <c r="E70" s="402"/>
      <c r="AB70" s="420"/>
      <c r="AC70" s="420"/>
      <c r="AD70" s="420"/>
      <c r="AE70" s="420"/>
      <c r="AF70" s="420"/>
    </row>
    <row r="71" spans="1:37" ht="12.95" customHeight="1">
      <c r="A71" s="402" t="s">
        <v>589</v>
      </c>
      <c r="C71" s="205" t="s">
        <v>283</v>
      </c>
    </row>
    <row r="72" spans="1:37" ht="12.95" customHeight="1">
      <c r="A72" s="402"/>
      <c r="C72" s="402"/>
      <c r="D72" s="205" t="s">
        <v>1247</v>
      </c>
      <c r="AB72" s="2603">
        <v>0.88</v>
      </c>
      <c r="AC72" s="2604"/>
      <c r="AD72" s="2604"/>
      <c r="AE72" s="2604"/>
      <c r="AF72" s="2605"/>
    </row>
    <row r="73" spans="1:37" ht="12.95" customHeight="1">
      <c r="A73" s="402"/>
      <c r="C73" s="402"/>
      <c r="D73" s="402"/>
      <c r="E73" s="2606" t="s">
        <v>1248</v>
      </c>
      <c r="F73" s="2606"/>
      <c r="G73" s="2606"/>
      <c r="H73" s="2606"/>
      <c r="I73" s="2606"/>
      <c r="J73" s="2606"/>
      <c r="K73" s="2606"/>
      <c r="L73" s="2606"/>
      <c r="M73" s="2606"/>
      <c r="N73" s="2606"/>
      <c r="O73" s="2606"/>
      <c r="P73" s="2606"/>
      <c r="Q73" s="2606"/>
      <c r="R73" s="2606"/>
      <c r="S73" s="2606"/>
      <c r="T73" s="2606"/>
      <c r="U73" s="2606"/>
      <c r="V73" s="2606"/>
      <c r="W73" s="2606"/>
      <c r="X73" s="2606"/>
      <c r="Y73" s="2606"/>
      <c r="Z73" s="2606"/>
      <c r="AA73" s="2606"/>
      <c r="AB73" s="436"/>
      <c r="AC73" s="436"/>
    </row>
    <row r="74" spans="1:37" ht="12.95" customHeight="1">
      <c r="A74" s="402"/>
      <c r="C74" s="402"/>
      <c r="D74" s="402"/>
      <c r="E74" s="2606"/>
      <c r="F74" s="2606"/>
      <c r="G74" s="2606"/>
      <c r="H74" s="2606"/>
      <c r="I74" s="2606"/>
      <c r="J74" s="2606"/>
      <c r="K74" s="2606"/>
      <c r="L74" s="2606"/>
      <c r="M74" s="2606"/>
      <c r="N74" s="2606"/>
      <c r="O74" s="2606"/>
      <c r="P74" s="2606"/>
      <c r="Q74" s="2606"/>
      <c r="R74" s="2606"/>
      <c r="S74" s="2606"/>
      <c r="T74" s="2606"/>
      <c r="U74" s="2606"/>
      <c r="V74" s="2606"/>
      <c r="W74" s="2606"/>
      <c r="X74" s="2606"/>
      <c r="Y74" s="2606"/>
      <c r="Z74" s="2606"/>
      <c r="AA74" s="2606"/>
      <c r="AB74" s="436"/>
      <c r="AC74" s="436"/>
    </row>
    <row r="75" spans="1:37" ht="12.95" customHeight="1">
      <c r="A75" s="402"/>
      <c r="C75" s="402"/>
      <c r="D75" s="402"/>
      <c r="E75" s="2606"/>
      <c r="F75" s="2606"/>
      <c r="G75" s="2606"/>
      <c r="H75" s="2606"/>
      <c r="I75" s="2606"/>
      <c r="J75" s="2606"/>
      <c r="K75" s="2606"/>
      <c r="L75" s="2606"/>
      <c r="M75" s="2606"/>
      <c r="N75" s="2606"/>
      <c r="O75" s="2606"/>
      <c r="P75" s="2606"/>
      <c r="Q75" s="2606"/>
      <c r="R75" s="2606"/>
      <c r="S75" s="2606"/>
      <c r="T75" s="2606"/>
      <c r="U75" s="2606"/>
      <c r="V75" s="2606"/>
      <c r="W75" s="2606"/>
      <c r="X75" s="2606"/>
      <c r="Y75" s="2606"/>
      <c r="Z75" s="2606"/>
      <c r="AA75" s="2606"/>
      <c r="AB75" s="436"/>
      <c r="AC75" s="436"/>
    </row>
    <row r="76" spans="1:37" ht="12.95" customHeight="1">
      <c r="A76" s="402"/>
      <c r="C76" s="402"/>
      <c r="D76" s="402"/>
      <c r="E76" s="422"/>
      <c r="F76" s="422"/>
      <c r="G76" s="422"/>
      <c r="H76" s="422"/>
      <c r="I76" s="422"/>
      <c r="J76" s="422"/>
      <c r="K76" s="422"/>
      <c r="L76" s="422"/>
      <c r="M76" s="422"/>
      <c r="N76" s="422"/>
      <c r="O76" s="422"/>
      <c r="P76" s="422"/>
      <c r="Q76" s="422"/>
      <c r="R76" s="422"/>
      <c r="S76" s="422"/>
      <c r="T76" s="422"/>
      <c r="U76" s="422"/>
      <c r="V76" s="422"/>
      <c r="W76" s="422"/>
      <c r="X76" s="422"/>
      <c r="Y76" s="422"/>
      <c r="Z76" s="422"/>
      <c r="AA76" s="358"/>
      <c r="AB76" s="358"/>
      <c r="AC76" s="358"/>
    </row>
    <row r="77" spans="1:37" ht="12.95" customHeight="1">
      <c r="C77" s="402"/>
      <c r="D77" s="205" t="s">
        <v>1249</v>
      </c>
      <c r="AB77" s="2594">
        <f>ROUND(IF(ISERROR((AB59/AB72)),0,(AB59/AB72)),0)</f>
        <v>16248638</v>
      </c>
      <c r="AC77" s="2594"/>
      <c r="AD77" s="2594"/>
      <c r="AE77" s="2594"/>
      <c r="AF77" s="2594"/>
    </row>
    <row r="78" spans="1:37" ht="12.95" customHeight="1">
      <c r="C78" s="402"/>
      <c r="D78" s="205" t="s">
        <v>1250</v>
      </c>
      <c r="AB78" s="2595">
        <f>ROUNDUP(MIN(Y69,AB77),0)</f>
        <v>16248638</v>
      </c>
      <c r="AC78" s="2596"/>
      <c r="AD78" s="2596"/>
      <c r="AE78" s="2596"/>
      <c r="AF78" s="2597"/>
    </row>
    <row r="79" spans="1:37" ht="12.95" customHeight="1">
      <c r="C79" s="402"/>
      <c r="D79" s="205" t="s">
        <v>1251</v>
      </c>
      <c r="AB79" s="2598">
        <f>AB78*AB72</f>
        <v>14298801.439999999</v>
      </c>
      <c r="AC79" s="2598"/>
      <c r="AD79" s="2598"/>
      <c r="AE79" s="2598"/>
      <c r="AF79" s="2598"/>
    </row>
    <row r="80" spans="1:37" ht="12.95" customHeight="1">
      <c r="C80" s="402"/>
      <c r="D80" s="402"/>
      <c r="AB80" s="423"/>
      <c r="AC80" s="423"/>
      <c r="AD80" s="423"/>
      <c r="AE80" s="423"/>
      <c r="AF80" s="423"/>
    </row>
    <row r="81" spans="1:78" ht="12.95" customHeight="1">
      <c r="D81" s="402" t="s">
        <v>753</v>
      </c>
      <c r="AB81" s="2599">
        <f>AB49-(AB57+AB79)</f>
        <v>-0.43999999761581421</v>
      </c>
      <c r="AC81" s="2599"/>
      <c r="AD81" s="2599"/>
      <c r="AE81" s="2599"/>
      <c r="AF81" s="2599"/>
    </row>
    <row r="82" spans="1:78" ht="12.95" customHeight="1">
      <c r="F82" s="520"/>
      <c r="J82" s="520" t="str">
        <f>IF(AB81&gt;0,"FUNDING GAP MUST NOT EXCEED ZERO","")</f>
        <v/>
      </c>
    </row>
    <row r="83" spans="1:78" ht="12.95" customHeight="1">
      <c r="D83" s="521"/>
    </row>
    <row r="84" spans="1:78" ht="12.95"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2.95" customHeight="1" thickTop="1"/>
    <row r="86" spans="1:78" ht="12.95" hidden="1" customHeight="1">
      <c r="A86" s="402"/>
      <c r="C86" s="205"/>
    </row>
    <row r="87" spans="1:78" ht="12.95" hidden="1" customHeight="1">
      <c r="D87" s="205"/>
      <c r="AB87" s="2650"/>
      <c r="AC87" s="2650"/>
      <c r="AD87" s="2650"/>
      <c r="AE87" s="2650"/>
      <c r="AF87" s="2650"/>
    </row>
    <row r="88" spans="1:78" ht="12.95" hidden="1" customHeight="1" thickBot="1">
      <c r="D88" s="205"/>
      <c r="AB88" s="2649"/>
      <c r="AC88" s="2649"/>
      <c r="AD88" s="2649"/>
      <c r="AE88" s="2649"/>
      <c r="AF88" s="2649"/>
      <c r="AO88" s="519"/>
      <c r="AP88" s="519"/>
      <c r="AQ88" s="519"/>
      <c r="AR88" s="519"/>
      <c r="AS88" s="519"/>
      <c r="AT88" s="519"/>
      <c r="AU88" s="519"/>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c r="BW88" s="519"/>
      <c r="BX88" s="519"/>
      <c r="BY88" s="519"/>
      <c r="BZ88" s="519"/>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74" workbookViewId="0">
      <selection activeCell="F305" sqref="F305:AD307"/>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2"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1309" t="s">
        <v>1296</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c r="AH1" s="1309"/>
      <c r="AI1" s="1309"/>
      <c r="AJ1" s="1309"/>
      <c r="AK1" s="1309"/>
      <c r="AL1" s="1309"/>
      <c r="AM1" s="1309"/>
    </row>
    <row r="2" spans="1:41" s="534" customFormat="1" ht="12.75" customHeight="1" thickBot="1">
      <c r="A2" s="1310"/>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c r="AM2" s="1310"/>
      <c r="AN2" s="533"/>
    </row>
    <row r="3" spans="1:41" s="534" customFormat="1" ht="12.75" customHeight="1" thickTop="1">
      <c r="A3" s="535"/>
      <c r="B3" s="535"/>
      <c r="C3" s="535"/>
      <c r="D3" s="535"/>
      <c r="E3" s="535"/>
      <c r="F3" s="535"/>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3"/>
    </row>
    <row r="4" spans="1:41" s="534" customFormat="1" ht="12.75" customHeight="1">
      <c r="A4" s="536" t="s">
        <v>1297</v>
      </c>
      <c r="B4" s="537" t="s">
        <v>1298</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3"/>
    </row>
    <row r="5" spans="1:41" s="534" customFormat="1" ht="12.75" customHeight="1" thickBot="1">
      <c r="A5" s="536"/>
      <c r="B5" s="537"/>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3"/>
    </row>
    <row r="6" spans="1:41" s="534" customFormat="1" ht="12.75" customHeight="1" thickTop="1">
      <c r="A6" s="539"/>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40"/>
      <c r="AN6" s="533"/>
    </row>
    <row r="7" spans="1:41" s="534" customFormat="1" ht="12.75" customHeight="1">
      <c r="A7" s="536" t="s">
        <v>1299</v>
      </c>
      <c r="B7" s="537" t="s">
        <v>2540</v>
      </c>
      <c r="C7" s="537"/>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7"/>
      <c r="AD7" s="537"/>
      <c r="AE7" s="1302" t="s">
        <v>1300</v>
      </c>
      <c r="AF7" s="1302"/>
      <c r="AG7" s="1302"/>
      <c r="AH7" s="1302"/>
      <c r="AI7" s="1302"/>
      <c r="AJ7" s="1302"/>
      <c r="AK7" s="1302"/>
      <c r="AL7" s="538"/>
      <c r="AM7" s="538"/>
      <c r="AN7" s="533"/>
    </row>
    <row r="8" spans="1:41" s="534" customFormat="1" ht="12.75" customHeight="1">
      <c r="A8" s="536"/>
      <c r="B8" s="537" t="s">
        <v>2629</v>
      </c>
      <c r="C8" s="537"/>
      <c r="D8" s="537"/>
      <c r="E8" s="537"/>
      <c r="F8" s="537"/>
      <c r="G8" s="537"/>
      <c r="H8" s="537"/>
      <c r="I8" s="537"/>
      <c r="J8" s="537"/>
      <c r="K8" s="537"/>
      <c r="L8" s="537"/>
      <c r="M8" s="537"/>
      <c r="N8" s="537"/>
      <c r="O8" s="537"/>
      <c r="P8" s="537"/>
      <c r="Q8" s="537"/>
      <c r="R8" s="537"/>
      <c r="S8" s="537"/>
      <c r="T8" s="537"/>
      <c r="U8" s="537"/>
      <c r="V8" s="537"/>
      <c r="W8" s="537"/>
      <c r="X8" s="537"/>
      <c r="Y8" s="537"/>
      <c r="Z8" s="537"/>
      <c r="AA8" s="537"/>
      <c r="AB8" s="537"/>
      <c r="AC8" s="537"/>
      <c r="AD8" s="537"/>
      <c r="AE8" s="541"/>
      <c r="AF8" s="541"/>
      <c r="AG8" s="541"/>
      <c r="AH8" s="541"/>
      <c r="AI8" s="541"/>
      <c r="AJ8" s="541"/>
      <c r="AK8" s="541"/>
      <c r="AL8" s="538"/>
      <c r="AM8" s="538"/>
      <c r="AN8" s="533"/>
    </row>
    <row r="9" spans="1:41" s="534" customFormat="1" ht="12.75" customHeight="1">
      <c r="A9" s="536"/>
      <c r="B9" s="537"/>
      <c r="C9" s="537"/>
      <c r="D9" s="537"/>
      <c r="E9" s="537"/>
      <c r="F9" s="537"/>
      <c r="G9" s="537"/>
      <c r="H9" s="537"/>
      <c r="I9" s="537"/>
      <c r="J9" s="537"/>
      <c r="K9" s="537"/>
      <c r="L9" s="537"/>
      <c r="M9" s="537"/>
      <c r="N9" s="537"/>
      <c r="O9" s="537"/>
      <c r="P9" s="537"/>
      <c r="Q9" s="537"/>
      <c r="R9" s="537"/>
      <c r="S9" s="537"/>
      <c r="T9" s="537"/>
      <c r="U9" s="537"/>
      <c r="V9" s="537"/>
      <c r="W9" s="537"/>
      <c r="X9" s="537"/>
      <c r="Y9" s="537"/>
      <c r="Z9" s="537"/>
      <c r="AA9" s="537"/>
      <c r="AB9" s="537"/>
      <c r="AC9" s="537"/>
      <c r="AD9" s="537"/>
      <c r="AE9" s="541"/>
      <c r="AF9" s="541"/>
      <c r="AG9" s="541"/>
      <c r="AH9" s="541"/>
      <c r="AI9" s="541"/>
      <c r="AJ9" s="541"/>
      <c r="AK9" s="541"/>
      <c r="AL9" s="538"/>
      <c r="AM9" s="538"/>
      <c r="AN9" s="533"/>
    </row>
    <row r="10" spans="1:41" s="534" customFormat="1" ht="12.75" customHeight="1">
      <c r="A10" s="537"/>
      <c r="B10" s="537" t="s">
        <v>2543</v>
      </c>
      <c r="C10" s="544"/>
      <c r="D10" s="544"/>
      <c r="E10" s="553"/>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3"/>
      <c r="AO10" s="552"/>
    </row>
    <row r="11" spans="1:41" s="534" customFormat="1" ht="12.75" customHeight="1">
      <c r="A11" s="544"/>
      <c r="B11" s="544"/>
      <c r="C11" s="544"/>
      <c r="D11" s="544"/>
      <c r="E11" s="554"/>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3"/>
      <c r="AO11" s="552"/>
    </row>
    <row r="12" spans="1:41" s="534" customFormat="1" ht="12.75" customHeight="1">
      <c r="A12" s="538"/>
      <c r="B12" s="1274" t="s">
        <v>590</v>
      </c>
      <c r="C12" s="1274"/>
      <c r="D12" s="538"/>
      <c r="E12" s="1290" t="s">
        <v>2541</v>
      </c>
      <c r="F12" s="1291"/>
      <c r="G12" s="1291"/>
      <c r="H12" s="1291"/>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2"/>
      <c r="AK12" s="538"/>
      <c r="AL12" s="538"/>
      <c r="AM12" s="538"/>
      <c r="AN12" s="533"/>
      <c r="AO12" s="555"/>
    </row>
    <row r="13" spans="1:41" s="534" customFormat="1" ht="12.75" customHeight="1">
      <c r="A13" s="538"/>
      <c r="D13" s="544"/>
      <c r="E13" s="1319"/>
      <c r="F13" s="1320"/>
      <c r="G13" s="1320"/>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1"/>
      <c r="AK13" s="538"/>
      <c r="AL13" s="538"/>
      <c r="AM13" s="538"/>
      <c r="AN13" s="533"/>
      <c r="AO13" s="555"/>
    </row>
    <row r="14" spans="1:41" s="534" customFormat="1" ht="12.75" customHeight="1">
      <c r="A14" s="538"/>
      <c r="D14" s="538"/>
      <c r="E14" s="1293"/>
      <c r="F14" s="1294"/>
      <c r="G14" s="1294"/>
      <c r="H14" s="1294"/>
      <c r="I14" s="1294"/>
      <c r="J14" s="1294"/>
      <c r="K14" s="1294"/>
      <c r="L14" s="1294"/>
      <c r="M14" s="1294"/>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c r="AJ14" s="1295"/>
      <c r="AK14" s="538"/>
      <c r="AL14" s="538"/>
      <c r="AM14" s="538"/>
      <c r="AN14" s="533"/>
    </row>
    <row r="15" spans="1:41" s="534" customFormat="1" ht="12.75" customHeight="1">
      <c r="A15" s="538"/>
      <c r="B15" s="538"/>
      <c r="C15" s="538"/>
      <c r="D15" s="544"/>
      <c r="E15" s="554"/>
      <c r="F15" s="552"/>
      <c r="G15" s="552"/>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3"/>
    </row>
    <row r="16" spans="1:41" s="534" customFormat="1" ht="12.75" customHeight="1">
      <c r="A16" s="538"/>
      <c r="B16" s="1274" t="s">
        <v>590</v>
      </c>
      <c r="C16" s="1274"/>
      <c r="D16" s="538"/>
      <c r="E16" s="1290" t="s">
        <v>2542</v>
      </c>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2"/>
      <c r="AK16" s="538"/>
      <c r="AL16" s="538"/>
      <c r="AM16" s="538"/>
      <c r="AN16" s="533"/>
    </row>
    <row r="17" spans="1:50" s="534" customFormat="1" ht="12.75" customHeight="1">
      <c r="A17" s="538"/>
      <c r="B17" s="538"/>
      <c r="C17" s="538"/>
      <c r="D17" s="538"/>
      <c r="E17" s="1319"/>
      <c r="F17" s="1320"/>
      <c r="G17" s="1320"/>
      <c r="H17" s="1320"/>
      <c r="I17" s="1320"/>
      <c r="J17" s="1320"/>
      <c r="K17" s="1320"/>
      <c r="L17" s="1320"/>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0"/>
      <c r="AI17" s="1320"/>
      <c r="AJ17" s="1321"/>
      <c r="AK17" s="538"/>
      <c r="AL17" s="538"/>
      <c r="AM17" s="538"/>
      <c r="AN17" s="533"/>
    </row>
    <row r="18" spans="1:50" s="534" customFormat="1" ht="12.75" customHeight="1">
      <c r="A18" s="538"/>
      <c r="B18" s="538"/>
      <c r="C18" s="1132"/>
      <c r="D18" s="538"/>
      <c r="E18" s="1293"/>
      <c r="F18" s="1294"/>
      <c r="G18" s="1294"/>
      <c r="H18" s="1294"/>
      <c r="I18" s="1294"/>
      <c r="J18" s="1294"/>
      <c r="K18" s="1294"/>
      <c r="L18" s="1294"/>
      <c r="M18" s="1294"/>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5"/>
      <c r="AK18" s="538"/>
      <c r="AL18" s="538"/>
      <c r="AM18" s="538"/>
      <c r="AN18" s="533"/>
      <c r="AO18" s="552"/>
    </row>
    <row r="19" spans="1:50" s="534" customFormat="1" ht="12.75" customHeight="1">
      <c r="A19" s="538"/>
      <c r="B19" s="538"/>
      <c r="C19" s="538"/>
      <c r="D19" s="544"/>
      <c r="E19" s="556"/>
      <c r="F19" s="552"/>
      <c r="G19" s="552"/>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3"/>
    </row>
    <row r="20" spans="1:50" s="534" customFormat="1" ht="12.75" customHeight="1">
      <c r="A20" s="538"/>
      <c r="B20" s="1274" t="s">
        <v>590</v>
      </c>
      <c r="C20" s="1274"/>
      <c r="D20" s="538"/>
      <c r="E20" s="1290" t="s">
        <v>1976</v>
      </c>
      <c r="F20" s="1291"/>
      <c r="G20" s="1291"/>
      <c r="H20" s="1291"/>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2"/>
      <c r="AK20" s="538"/>
      <c r="AL20" s="538"/>
      <c r="AM20" s="538"/>
      <c r="AN20" s="533"/>
    </row>
    <row r="21" spans="1:50" s="534" customFormat="1" ht="12.75" customHeight="1">
      <c r="A21" s="538"/>
      <c r="B21" s="544"/>
      <c r="C21" s="544"/>
      <c r="D21" s="544"/>
      <c r="E21" s="1293"/>
      <c r="F21" s="1294"/>
      <c r="G21" s="1294"/>
      <c r="H21" s="1294"/>
      <c r="I21" s="1294"/>
      <c r="J21" s="1294"/>
      <c r="K21" s="1294"/>
      <c r="L21" s="1294"/>
      <c r="M21" s="1294"/>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5"/>
      <c r="AK21" s="538"/>
      <c r="AL21" s="538"/>
      <c r="AM21" s="538"/>
      <c r="AN21" s="533"/>
      <c r="AO21" s="534">
        <f>IF(AND(B12="Yes",B16="Yes",B20="Yes"),10,0)</f>
        <v>0</v>
      </c>
      <c r="AP21" s="534" t="s">
        <v>1302</v>
      </c>
      <c r="AX21" s="537"/>
    </row>
    <row r="22" spans="1:50" s="534" customFormat="1" ht="12.75" customHeight="1">
      <c r="A22" s="538"/>
      <c r="B22" s="544"/>
      <c r="C22" s="544"/>
      <c r="D22" s="544"/>
      <c r="E22" s="556"/>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3"/>
      <c r="AX22" s="537"/>
    </row>
    <row r="23" spans="1:50" s="534" customFormat="1" ht="12.75" customHeight="1">
      <c r="A23" s="536"/>
      <c r="B23" s="1191" t="s">
        <v>2630</v>
      </c>
      <c r="C23" s="537"/>
      <c r="D23" s="537"/>
      <c r="E23" s="537"/>
      <c r="F23" s="537"/>
      <c r="G23" s="537"/>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41"/>
      <c r="AF23" s="541"/>
      <c r="AG23" s="541"/>
      <c r="AH23" s="541"/>
      <c r="AI23" s="541"/>
      <c r="AJ23" s="541"/>
      <c r="AK23" s="541"/>
      <c r="AL23" s="538"/>
      <c r="AM23" s="538"/>
      <c r="AN23" s="533"/>
    </row>
    <row r="24" spans="1:50" s="534" customFormat="1" ht="12.75" customHeight="1">
      <c r="A24" s="538"/>
      <c r="C24" s="1193" t="s">
        <v>2544</v>
      </c>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538"/>
      <c r="AL24" s="538"/>
      <c r="AM24" s="538"/>
      <c r="AN24" s="533"/>
      <c r="AO24" s="445"/>
      <c r="AP24" s="542"/>
    </row>
    <row r="25" spans="1:50" s="534" customFormat="1" ht="12.75" customHeight="1">
      <c r="A25" s="538"/>
      <c r="B25" s="543"/>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3"/>
      <c r="AP25" s="14"/>
    </row>
    <row r="26" spans="1:50" s="534" customFormat="1" ht="12.75" customHeight="1">
      <c r="A26" s="538"/>
      <c r="B26" s="1274" t="s">
        <v>590</v>
      </c>
      <c r="C26" s="1274"/>
      <c r="D26" s="544"/>
      <c r="E26" s="545" t="s">
        <v>1301</v>
      </c>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1311"/>
      <c r="AH26" s="1311"/>
      <c r="AI26" s="1311"/>
      <c r="AJ26" s="1312"/>
      <c r="AK26" s="538"/>
      <c r="AL26" s="538"/>
      <c r="AM26" s="538"/>
      <c r="AN26" s="533"/>
      <c r="AO26" s="534">
        <f>IF($B26="yes",20,0)</f>
        <v>0</v>
      </c>
      <c r="AP26" s="14" t="s">
        <v>1302</v>
      </c>
    </row>
    <row r="27" spans="1:50" s="534" customFormat="1" ht="12.75" customHeight="1">
      <c r="A27" s="538"/>
      <c r="B27" s="538"/>
      <c r="C27" s="538"/>
      <c r="D27" s="14"/>
      <c r="E27" s="538"/>
      <c r="F27" s="538"/>
      <c r="G27" s="538"/>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3"/>
      <c r="AO27" s="547"/>
      <c r="AP27" s="14"/>
    </row>
    <row r="28" spans="1:50" s="534" customFormat="1" ht="12.75" customHeight="1">
      <c r="A28" s="538"/>
      <c r="B28" s="538"/>
      <c r="C28" s="1192" t="s">
        <v>2545</v>
      </c>
      <c r="D28" s="547"/>
      <c r="E28" s="538"/>
      <c r="F28" s="538"/>
      <c r="G28" s="538"/>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3"/>
      <c r="AO28" s="547"/>
      <c r="AP28" s="14"/>
    </row>
    <row r="29" spans="1:50" s="534" customFormat="1" ht="12.75" customHeight="1">
      <c r="A29" s="538"/>
      <c r="B29" s="538"/>
      <c r="C29" s="1192"/>
      <c r="D29" s="547"/>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3"/>
      <c r="AO29" s="547"/>
      <c r="AP29" s="14"/>
    </row>
    <row r="30" spans="1:50" s="534" customFormat="1" ht="12.75" customHeight="1">
      <c r="A30" s="538"/>
      <c r="B30" s="1274" t="s">
        <v>590</v>
      </c>
      <c r="C30" s="1274"/>
      <c r="D30" s="544"/>
      <c r="E30" s="1275" t="s">
        <v>2631</v>
      </c>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7"/>
      <c r="AK30" s="538"/>
      <c r="AL30" s="538"/>
      <c r="AM30" s="538"/>
      <c r="AN30" s="533"/>
      <c r="AO30" s="547">
        <f>IF($B30="yes",9,0)</f>
        <v>0</v>
      </c>
    </row>
    <row r="31" spans="1:50" s="534" customFormat="1" ht="12.75" customHeight="1">
      <c r="A31" s="538"/>
      <c r="B31" s="538"/>
      <c r="C31" s="538"/>
      <c r="E31" s="1278"/>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80"/>
      <c r="AK31" s="538"/>
      <c r="AL31" s="538"/>
      <c r="AM31" s="538"/>
      <c r="AN31" s="533"/>
      <c r="AO31" s="547">
        <f>IF($B33="yes",9,0)</f>
        <v>0</v>
      </c>
    </row>
    <row r="32" spans="1:50" s="534" customFormat="1" ht="12.75" customHeight="1">
      <c r="A32" s="538"/>
      <c r="B32" s="538"/>
      <c r="C32" s="538"/>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538"/>
      <c r="AL32" s="538"/>
      <c r="AM32" s="538"/>
      <c r="AN32" s="533"/>
      <c r="AO32" s="547">
        <f>IF($B37="yes",9,0)</f>
        <v>0</v>
      </c>
    </row>
    <row r="33" spans="1:43" s="534" customFormat="1" ht="12.75" customHeight="1">
      <c r="A33" s="538"/>
      <c r="B33" s="1274" t="s">
        <v>590</v>
      </c>
      <c r="C33" s="1274"/>
      <c r="D33" s="544"/>
      <c r="E33" s="1275" t="s">
        <v>2548</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7"/>
      <c r="AK33" s="538"/>
      <c r="AL33" s="538"/>
      <c r="AM33" s="538"/>
      <c r="AN33" s="533"/>
      <c r="AO33" s="547">
        <f>IF($B39="yes",9,0)</f>
        <v>0</v>
      </c>
    </row>
    <row r="34" spans="1:43" s="534" customFormat="1" ht="12.75" customHeight="1">
      <c r="A34" s="538"/>
      <c r="B34" s="538"/>
      <c r="C34" s="538"/>
      <c r="D34" s="544"/>
      <c r="E34" s="1316"/>
      <c r="F34" s="1317"/>
      <c r="G34" s="1317"/>
      <c r="H34" s="1317"/>
      <c r="I34" s="1317"/>
      <c r="J34" s="1317"/>
      <c r="K34" s="1317"/>
      <c r="L34" s="1317"/>
      <c r="M34" s="1317"/>
      <c r="N34" s="1317"/>
      <c r="O34" s="1317"/>
      <c r="P34" s="1317"/>
      <c r="Q34" s="1317"/>
      <c r="R34" s="1317"/>
      <c r="S34" s="1317"/>
      <c r="T34" s="1317"/>
      <c r="U34" s="1317"/>
      <c r="V34" s="1317"/>
      <c r="W34" s="1317"/>
      <c r="X34" s="1317"/>
      <c r="Y34" s="1317"/>
      <c r="Z34" s="1317"/>
      <c r="AA34" s="1317"/>
      <c r="AB34" s="1317"/>
      <c r="AC34" s="1317"/>
      <c r="AD34" s="1317"/>
      <c r="AE34" s="1317"/>
      <c r="AF34" s="1317"/>
      <c r="AG34" s="1317"/>
      <c r="AH34" s="1317"/>
      <c r="AI34" s="1317"/>
      <c r="AJ34" s="1318"/>
      <c r="AK34" s="538"/>
      <c r="AL34" s="538"/>
      <c r="AM34" s="538"/>
      <c r="AN34" s="533"/>
      <c r="AO34" s="534">
        <f>MAX(AO30,AO31,AO32,AO33)</f>
        <v>0</v>
      </c>
      <c r="AP34" s="534" t="s">
        <v>1302</v>
      </c>
    </row>
    <row r="35" spans="1:43" s="534" customFormat="1" ht="12.75" customHeight="1">
      <c r="A35" s="538"/>
      <c r="B35" s="538"/>
      <c r="C35" s="538"/>
      <c r="E35" s="1278"/>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80"/>
      <c r="AK35" s="538"/>
      <c r="AL35" s="538"/>
      <c r="AM35" s="538"/>
      <c r="AN35" s="533"/>
    </row>
    <row r="36" spans="1:43" s="534" customFormat="1" ht="12.75" customHeight="1">
      <c r="A36" s="538"/>
      <c r="B36" s="538"/>
      <c r="C36" s="538"/>
      <c r="F36" s="900"/>
      <c r="G36" s="900"/>
      <c r="H36" s="900"/>
      <c r="I36" s="900"/>
      <c r="J36" s="900"/>
      <c r="K36" s="900"/>
      <c r="L36" s="900"/>
      <c r="M36" s="900"/>
      <c r="N36" s="900"/>
      <c r="O36" s="900"/>
      <c r="P36" s="900"/>
      <c r="Q36" s="900"/>
      <c r="R36" s="900"/>
      <c r="S36" s="900"/>
      <c r="T36" s="900"/>
      <c r="U36" s="900"/>
      <c r="V36" s="900"/>
      <c r="W36" s="900"/>
      <c r="X36" s="900"/>
      <c r="Y36" s="900"/>
      <c r="Z36" s="900"/>
      <c r="AA36" s="900"/>
      <c r="AB36" s="900"/>
      <c r="AC36" s="900"/>
      <c r="AD36" s="900"/>
      <c r="AE36" s="900"/>
      <c r="AF36" s="900"/>
      <c r="AG36" s="900"/>
      <c r="AH36" s="900"/>
      <c r="AI36" s="900"/>
      <c r="AJ36" s="900"/>
      <c r="AK36" s="538"/>
      <c r="AL36" s="538"/>
      <c r="AM36" s="538"/>
      <c r="AN36" s="533"/>
    </row>
    <row r="37" spans="1:43" s="534" customFormat="1" ht="12.75" customHeight="1">
      <c r="A37" s="538"/>
      <c r="B37" s="1274" t="s">
        <v>590</v>
      </c>
      <c r="C37" s="1274"/>
      <c r="D37" s="1133"/>
      <c r="E37" s="1281" t="s">
        <v>2550</v>
      </c>
      <c r="F37" s="1282"/>
      <c r="G37" s="1282"/>
      <c r="H37" s="1282"/>
      <c r="I37" s="1282"/>
      <c r="J37" s="1282"/>
      <c r="K37" s="1282"/>
      <c r="L37" s="1282"/>
      <c r="M37" s="1282"/>
      <c r="N37" s="1282"/>
      <c r="O37" s="1282"/>
      <c r="P37" s="1282"/>
      <c r="Q37" s="1282"/>
      <c r="R37" s="1282"/>
      <c r="S37" s="1282"/>
      <c r="T37" s="1282"/>
      <c r="U37" s="1282"/>
      <c r="V37" s="1282"/>
      <c r="W37" s="1282"/>
      <c r="X37" s="1282"/>
      <c r="Y37" s="1282"/>
      <c r="Z37" s="1282"/>
      <c r="AA37" s="1282"/>
      <c r="AB37" s="1282"/>
      <c r="AC37" s="1282"/>
      <c r="AD37" s="1282"/>
      <c r="AE37" s="1282"/>
      <c r="AF37" s="1282"/>
      <c r="AG37" s="1282"/>
      <c r="AH37" s="1282"/>
      <c r="AI37" s="1282"/>
      <c r="AJ37" s="1283"/>
      <c r="AK37" s="1133"/>
      <c r="AL37" s="538"/>
      <c r="AM37" s="538"/>
      <c r="AN37" s="533"/>
    </row>
    <row r="38" spans="1:43" s="534" customFormat="1" ht="12.75" customHeight="1">
      <c r="A38" s="538"/>
      <c r="B38" s="538"/>
      <c r="C38" s="538"/>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3"/>
      <c r="AO38" s="552"/>
    </row>
    <row r="39" spans="1:43" s="534" customFormat="1" ht="12.75" customHeight="1">
      <c r="A39" s="538"/>
      <c r="B39" s="1274" t="s">
        <v>590</v>
      </c>
      <c r="C39" s="1274"/>
      <c r="D39" s="1133"/>
      <c r="E39" s="1281" t="s">
        <v>2549</v>
      </c>
      <c r="F39" s="1282"/>
      <c r="G39" s="1282"/>
      <c r="H39" s="1282"/>
      <c r="I39" s="1282"/>
      <c r="J39" s="1282"/>
      <c r="K39" s="1282"/>
      <c r="L39" s="1282"/>
      <c r="M39" s="1282"/>
      <c r="N39" s="1282"/>
      <c r="O39" s="1282"/>
      <c r="P39" s="1282"/>
      <c r="Q39" s="1282"/>
      <c r="R39" s="1282"/>
      <c r="S39" s="1282"/>
      <c r="T39" s="1282"/>
      <c r="U39" s="1282"/>
      <c r="V39" s="1282"/>
      <c r="W39" s="1282"/>
      <c r="X39" s="1282"/>
      <c r="Y39" s="1282"/>
      <c r="Z39" s="1282"/>
      <c r="AA39" s="1282"/>
      <c r="AB39" s="1282"/>
      <c r="AC39" s="1282"/>
      <c r="AD39" s="1282"/>
      <c r="AE39" s="1282"/>
      <c r="AF39" s="1282"/>
      <c r="AG39" s="1282"/>
      <c r="AH39" s="1282"/>
      <c r="AI39" s="1282"/>
      <c r="AJ39" s="1283"/>
      <c r="AK39" s="1133"/>
      <c r="AL39" s="538"/>
      <c r="AM39" s="538"/>
      <c r="AN39" s="533"/>
    </row>
    <row r="40" spans="1:43" s="534" customFormat="1" ht="12.75" customHeight="1">
      <c r="A40" s="538"/>
      <c r="B40" s="538"/>
      <c r="C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3"/>
    </row>
    <row r="41" spans="1:43" s="534" customFormat="1" ht="12.75" customHeight="1">
      <c r="A41" s="538"/>
      <c r="B41" s="538"/>
      <c r="C41" s="1192" t="s">
        <v>2546</v>
      </c>
      <c r="D41" s="547"/>
      <c r="E41" s="538"/>
      <c r="F41" s="538"/>
      <c r="G41" s="538"/>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3"/>
      <c r="AP41" s="14"/>
    </row>
    <row r="42" spans="1:43" s="534" customFormat="1" ht="12.75" customHeight="1">
      <c r="A42" s="538"/>
      <c r="B42" s="538"/>
      <c r="C42" s="1192"/>
      <c r="D42" s="547"/>
      <c r="E42" s="538"/>
      <c r="F42" s="538"/>
      <c r="G42" s="538"/>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3"/>
      <c r="AO42" s="547"/>
      <c r="AP42" s="14"/>
    </row>
    <row r="43" spans="1:43" s="534" customFormat="1" ht="12.75" customHeight="1">
      <c r="A43" s="538"/>
      <c r="B43" s="1274" t="s">
        <v>590</v>
      </c>
      <c r="C43" s="1274"/>
      <c r="D43" s="544"/>
      <c r="E43" s="1284" t="s">
        <v>2632</v>
      </c>
      <c r="F43" s="1285"/>
      <c r="G43" s="1285"/>
      <c r="H43" s="1285"/>
      <c r="I43" s="1285"/>
      <c r="J43" s="1285"/>
      <c r="K43" s="1285"/>
      <c r="L43" s="1285"/>
      <c r="M43" s="1285"/>
      <c r="N43" s="1285"/>
      <c r="O43" s="1285"/>
      <c r="P43" s="1285"/>
      <c r="Q43" s="1285"/>
      <c r="R43" s="1285"/>
      <c r="S43" s="1285"/>
      <c r="T43" s="1285"/>
      <c r="U43" s="1285"/>
      <c r="V43" s="1285"/>
      <c r="W43" s="1285"/>
      <c r="X43" s="1285"/>
      <c r="Y43" s="1285"/>
      <c r="Z43" s="1285"/>
      <c r="AA43" s="1285"/>
      <c r="AB43" s="1285"/>
      <c r="AC43" s="1285"/>
      <c r="AD43" s="1285"/>
      <c r="AE43" s="1285"/>
      <c r="AF43" s="1285"/>
      <c r="AG43" s="1285"/>
      <c r="AH43" s="1285"/>
      <c r="AI43" s="1285"/>
      <c r="AJ43" s="1286"/>
      <c r="AK43" s="538"/>
      <c r="AL43" s="538"/>
      <c r="AM43" s="538"/>
      <c r="AN43" s="533"/>
      <c r="AO43" s="547">
        <f>IF($B43="yes",8,0)</f>
        <v>0</v>
      </c>
      <c r="AP43" s="14"/>
    </row>
    <row r="44" spans="1:43" s="534" customFormat="1" ht="12.75" customHeight="1">
      <c r="A44" s="538"/>
      <c r="B44" s="538"/>
      <c r="C44" s="538"/>
      <c r="D44" s="548"/>
      <c r="E44" s="1287"/>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1288"/>
      <c r="AD44" s="1288"/>
      <c r="AE44" s="1288"/>
      <c r="AF44" s="1288"/>
      <c r="AG44" s="1288"/>
      <c r="AH44" s="1288"/>
      <c r="AI44" s="1288"/>
      <c r="AJ44" s="1289"/>
      <c r="AK44" s="538"/>
      <c r="AL44" s="538"/>
      <c r="AM44" s="538"/>
      <c r="AN44" s="533"/>
      <c r="AO44" s="547">
        <f>IF($B46="yes",8,0)</f>
        <v>0</v>
      </c>
    </row>
    <row r="45" spans="1:43" s="534" customFormat="1" ht="12.75" customHeight="1">
      <c r="A45" s="538"/>
      <c r="B45" s="538"/>
      <c r="C45" s="538"/>
      <c r="E45" s="538"/>
      <c r="F45" s="538"/>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3"/>
      <c r="AO45" s="547">
        <f>IF($B49="yes",8,0)</f>
        <v>0</v>
      </c>
      <c r="AP45" s="14"/>
    </row>
    <row r="46" spans="1:43" s="534" customFormat="1" ht="12.75" customHeight="1">
      <c r="A46" s="538"/>
      <c r="B46" s="1274" t="s">
        <v>590</v>
      </c>
      <c r="C46" s="1274"/>
      <c r="D46" s="544"/>
      <c r="E46" s="1275" t="s">
        <v>2633</v>
      </c>
      <c r="F46" s="1276"/>
      <c r="G46" s="1276"/>
      <c r="H46" s="1276"/>
      <c r="I46" s="1276"/>
      <c r="J46" s="1276"/>
      <c r="K46" s="1276"/>
      <c r="L46" s="1276"/>
      <c r="M46" s="1276"/>
      <c r="N46" s="1276"/>
      <c r="O46" s="1276"/>
      <c r="P46" s="1276"/>
      <c r="Q46" s="1276"/>
      <c r="R46" s="1276"/>
      <c r="S46" s="1276"/>
      <c r="T46" s="1276"/>
      <c r="U46" s="1276"/>
      <c r="V46" s="1276"/>
      <c r="W46" s="1276"/>
      <c r="X46" s="1276"/>
      <c r="Y46" s="1276"/>
      <c r="Z46" s="1276"/>
      <c r="AA46" s="1276"/>
      <c r="AB46" s="1276"/>
      <c r="AC46" s="1276"/>
      <c r="AD46" s="1276"/>
      <c r="AE46" s="1276"/>
      <c r="AF46" s="1276"/>
      <c r="AG46" s="1276"/>
      <c r="AH46" s="1276"/>
      <c r="AI46" s="1276"/>
      <c r="AJ46" s="1277"/>
      <c r="AK46" s="538"/>
      <c r="AL46" s="538"/>
      <c r="AM46" s="538"/>
      <c r="AN46" s="533"/>
      <c r="AO46" s="547">
        <f>IF($B52="yes",8,0)</f>
        <v>0</v>
      </c>
    </row>
    <row r="47" spans="1:43" s="534" customFormat="1" ht="12.75" customHeight="1">
      <c r="A47" s="538"/>
      <c r="B47" s="538"/>
      <c r="C47" s="538"/>
      <c r="D47" s="547"/>
      <c r="E47" s="1278"/>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80"/>
      <c r="AK47" s="538"/>
      <c r="AL47" s="538"/>
      <c r="AM47" s="538"/>
      <c r="AN47" s="533"/>
      <c r="AO47" s="534">
        <f>MAX(AO43,AO44,AO45,AO46)</f>
        <v>0</v>
      </c>
      <c r="AP47" s="534" t="s">
        <v>1302</v>
      </c>
      <c r="AQ47" s="552"/>
    </row>
    <row r="48" spans="1:43" s="534" customFormat="1" ht="12.75" customHeight="1">
      <c r="A48" s="538"/>
      <c r="B48" s="538"/>
      <c r="C48" s="538"/>
      <c r="D48" s="548"/>
      <c r="E48" s="538"/>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3"/>
    </row>
    <row r="49" spans="1:42" s="534" customFormat="1" ht="12.75" customHeight="1">
      <c r="A49" s="538"/>
      <c r="B49" s="1274" t="s">
        <v>590</v>
      </c>
      <c r="C49" s="1274"/>
      <c r="D49" s="544"/>
      <c r="E49" s="1290" t="s">
        <v>2634</v>
      </c>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2"/>
      <c r="AK49" s="538"/>
      <c r="AL49" s="538"/>
      <c r="AM49" s="538"/>
      <c r="AN49" s="533"/>
      <c r="AO49" s="547"/>
    </row>
    <row r="50" spans="1:42" s="534" customFormat="1" ht="12.75" customHeight="1">
      <c r="A50" s="538"/>
      <c r="B50" s="538"/>
      <c r="C50" s="538"/>
      <c r="D50" s="547"/>
      <c r="E50" s="1293"/>
      <c r="F50" s="1294"/>
      <c r="G50" s="1294"/>
      <c r="H50" s="1294"/>
      <c r="I50" s="1294"/>
      <c r="J50" s="1294"/>
      <c r="K50" s="1294"/>
      <c r="L50" s="1294"/>
      <c r="M50" s="1294"/>
      <c r="N50" s="1294"/>
      <c r="O50" s="1294"/>
      <c r="P50" s="1294"/>
      <c r="Q50" s="1294"/>
      <c r="R50" s="1294"/>
      <c r="S50" s="1294"/>
      <c r="T50" s="1294"/>
      <c r="U50" s="1294"/>
      <c r="V50" s="1294"/>
      <c r="W50" s="1294"/>
      <c r="X50" s="1294"/>
      <c r="Y50" s="1294"/>
      <c r="Z50" s="1294"/>
      <c r="AA50" s="1294"/>
      <c r="AB50" s="1294"/>
      <c r="AC50" s="1294"/>
      <c r="AD50" s="1294"/>
      <c r="AE50" s="1294"/>
      <c r="AF50" s="1294"/>
      <c r="AG50" s="1294"/>
      <c r="AH50" s="1294"/>
      <c r="AI50" s="1294"/>
      <c r="AJ50" s="1295"/>
      <c r="AK50" s="538"/>
      <c r="AL50" s="538"/>
      <c r="AM50" s="538"/>
      <c r="AN50" s="533"/>
    </row>
    <row r="51" spans="1:42" s="534" customFormat="1" ht="12.75" customHeight="1">
      <c r="A51" s="538"/>
      <c r="B51" s="538"/>
      <c r="C51" s="538"/>
      <c r="D51" s="547"/>
      <c r="E51" s="538"/>
      <c r="F51" s="538"/>
      <c r="G51" s="538"/>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3"/>
      <c r="AO51" s="547"/>
    </row>
    <row r="52" spans="1:42" s="534" customFormat="1" ht="12.75" customHeight="1">
      <c r="A52" s="538"/>
      <c r="B52" s="1274" t="s">
        <v>590</v>
      </c>
      <c r="C52" s="1274"/>
      <c r="D52" s="544"/>
      <c r="E52" s="1281" t="s">
        <v>2635</v>
      </c>
      <c r="F52" s="1282"/>
      <c r="G52" s="1282"/>
      <c r="H52" s="1282"/>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3"/>
      <c r="AK52" s="538"/>
      <c r="AL52" s="538"/>
      <c r="AM52" s="538"/>
      <c r="AN52" s="533"/>
      <c r="AO52" s="547"/>
    </row>
    <row r="53" spans="1:42" s="534" customFormat="1" ht="12.75" customHeight="1">
      <c r="A53" s="538"/>
      <c r="B53" s="538"/>
      <c r="C53" s="538"/>
      <c r="D53" s="547"/>
      <c r="E53" s="538"/>
      <c r="F53" s="538"/>
      <c r="G53" s="538"/>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3"/>
      <c r="AO53" s="547"/>
    </row>
    <row r="54" spans="1:42" s="534" customFormat="1" ht="12.75" customHeight="1">
      <c r="A54" s="538"/>
      <c r="B54" s="538"/>
      <c r="C54" s="1192" t="s">
        <v>2547</v>
      </c>
      <c r="D54" s="547"/>
      <c r="E54" s="538"/>
      <c r="F54" s="538"/>
      <c r="G54" s="538"/>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3"/>
      <c r="AO54" s="547"/>
      <c r="AP54" s="14"/>
    </row>
    <row r="55" spans="1:42" s="534" customFormat="1" ht="12.75" customHeight="1">
      <c r="A55" s="538"/>
      <c r="B55" s="538"/>
      <c r="C55" s="1192"/>
      <c r="D55" s="547"/>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538"/>
      <c r="AC55" s="538"/>
      <c r="AD55" s="538"/>
      <c r="AE55" s="538"/>
      <c r="AF55" s="538"/>
      <c r="AG55" s="538"/>
      <c r="AH55" s="538"/>
      <c r="AI55" s="538"/>
      <c r="AJ55" s="538"/>
      <c r="AK55" s="538"/>
      <c r="AL55" s="538"/>
      <c r="AM55" s="538"/>
      <c r="AN55" s="533"/>
      <c r="AO55" s="547">
        <f>IF($B56="yes",7,0)</f>
        <v>0</v>
      </c>
      <c r="AP55" s="14"/>
    </row>
    <row r="56" spans="1:42" s="534" customFormat="1" ht="12.75" customHeight="1">
      <c r="A56" s="538"/>
      <c r="B56" s="1274" t="s">
        <v>590</v>
      </c>
      <c r="C56" s="1274"/>
      <c r="D56" s="544"/>
      <c r="E56" s="1290" t="s">
        <v>2551</v>
      </c>
      <c r="F56" s="1291"/>
      <c r="G56" s="1291"/>
      <c r="H56" s="1291"/>
      <c r="I56" s="1291"/>
      <c r="J56" s="1291"/>
      <c r="K56" s="1291"/>
      <c r="L56" s="1291"/>
      <c r="M56" s="1291"/>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2"/>
      <c r="AK56" s="538"/>
      <c r="AL56" s="538"/>
      <c r="AM56" s="538"/>
      <c r="AN56" s="533"/>
      <c r="AO56" s="547">
        <f>IF($B59="yes",7,0)</f>
        <v>0</v>
      </c>
    </row>
    <row r="57" spans="1:42" s="534" customFormat="1" ht="12.75" customHeight="1">
      <c r="A57" s="538"/>
      <c r="B57" s="538"/>
      <c r="C57" s="538"/>
      <c r="D57" s="547"/>
      <c r="E57" s="1293"/>
      <c r="F57" s="1294"/>
      <c r="G57" s="1294"/>
      <c r="H57" s="1294"/>
      <c r="I57" s="1294"/>
      <c r="J57" s="1294"/>
      <c r="K57" s="1294"/>
      <c r="L57" s="1294"/>
      <c r="M57" s="1294"/>
      <c r="N57" s="1294"/>
      <c r="O57" s="1294"/>
      <c r="P57" s="1294"/>
      <c r="Q57" s="1294"/>
      <c r="R57" s="1294"/>
      <c r="S57" s="1294"/>
      <c r="T57" s="1294"/>
      <c r="U57" s="1294"/>
      <c r="V57" s="1294"/>
      <c r="W57" s="1294"/>
      <c r="X57" s="1294"/>
      <c r="Y57" s="1294"/>
      <c r="Z57" s="1294"/>
      <c r="AA57" s="1294"/>
      <c r="AB57" s="1294"/>
      <c r="AC57" s="1294"/>
      <c r="AD57" s="1294"/>
      <c r="AE57" s="1294"/>
      <c r="AF57" s="1294"/>
      <c r="AG57" s="1294"/>
      <c r="AH57" s="1294"/>
      <c r="AI57" s="1294"/>
      <c r="AJ57" s="1295"/>
      <c r="AK57" s="538"/>
      <c r="AL57" s="538"/>
      <c r="AM57" s="538"/>
      <c r="AN57" s="533"/>
      <c r="AO57" s="534">
        <f>MAX(AO55:AO56)</f>
        <v>0</v>
      </c>
      <c r="AP57" s="534" t="s">
        <v>1302</v>
      </c>
    </row>
    <row r="58" spans="1:42" s="534" customFormat="1" ht="12.75" customHeight="1">
      <c r="A58" s="538"/>
      <c r="B58" s="538"/>
      <c r="C58" s="538"/>
      <c r="D58" s="547"/>
      <c r="E58" s="538"/>
      <c r="F58" s="538"/>
      <c r="G58" s="538"/>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3"/>
      <c r="AO58" s="547"/>
    </row>
    <row r="59" spans="1:42" s="534" customFormat="1" ht="12.75" customHeight="1">
      <c r="A59" s="538"/>
      <c r="B59" s="1274" t="s">
        <v>590</v>
      </c>
      <c r="C59" s="1274"/>
      <c r="D59" s="544"/>
      <c r="E59" s="1281" t="s">
        <v>2552</v>
      </c>
      <c r="F59" s="1282"/>
      <c r="G59" s="1282"/>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3"/>
      <c r="AK59" s="538"/>
      <c r="AL59" s="538"/>
      <c r="AM59" s="538"/>
      <c r="AN59" s="533"/>
      <c r="AO59" s="547"/>
    </row>
    <row r="60" spans="1:42" s="534" customFormat="1" ht="12.75" customHeight="1">
      <c r="A60" s="538"/>
      <c r="B60" s="538"/>
      <c r="C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3"/>
      <c r="AO60" s="534">
        <f>SUM(AO21,MAX(AO26,AO34,AO47,AO57))</f>
        <v>0</v>
      </c>
      <c r="AP60" s="534" t="s">
        <v>1302</v>
      </c>
    </row>
    <row r="61" spans="1:42" s="534" customFormat="1" ht="12.75" customHeight="1">
      <c r="A61" s="557"/>
      <c r="B61" s="558"/>
      <c r="C61" s="558"/>
      <c r="D61" s="558"/>
      <c r="E61" s="558"/>
      <c r="F61" s="558"/>
      <c r="G61" s="559"/>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1"/>
      <c r="AJ61" s="561" t="s">
        <v>2553</v>
      </c>
      <c r="AK61" s="1313">
        <f>AO60</f>
        <v>0</v>
      </c>
      <c r="AL61" s="1314"/>
      <c r="AM61" s="1315"/>
      <c r="AN61" s="533"/>
    </row>
    <row r="62" spans="1:42" s="534" customFormat="1" ht="12.75" customHeight="1" thickBot="1">
      <c r="A62" s="562"/>
      <c r="B62" s="563"/>
      <c r="C62" s="564"/>
      <c r="D62" s="564"/>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5"/>
      <c r="AN62" s="533"/>
    </row>
    <row r="63" spans="1:42" s="534" customFormat="1" ht="12.75" customHeight="1" thickTop="1">
      <c r="A63" s="566"/>
      <c r="B63" s="567"/>
      <c r="C63" s="568"/>
      <c r="D63" s="568"/>
      <c r="E63" s="568"/>
      <c r="F63" s="568"/>
      <c r="G63" s="568"/>
      <c r="H63" s="568"/>
      <c r="I63" s="569"/>
      <c r="J63" s="569"/>
      <c r="K63" s="569"/>
      <c r="L63" s="569"/>
      <c r="M63" s="569"/>
      <c r="N63" s="569"/>
      <c r="O63" s="569"/>
      <c r="P63" s="569"/>
      <c r="Q63" s="569"/>
      <c r="R63" s="566"/>
      <c r="S63" s="537"/>
      <c r="T63" s="537"/>
      <c r="U63" s="537"/>
      <c r="V63" s="537"/>
      <c r="W63" s="537"/>
      <c r="X63" s="537"/>
      <c r="Y63" s="537"/>
      <c r="Z63" s="537"/>
      <c r="AA63" s="537"/>
      <c r="AB63" s="537"/>
      <c r="AC63" s="537"/>
      <c r="AD63" s="537"/>
      <c r="AE63" s="537"/>
      <c r="AF63" s="566"/>
      <c r="AG63" s="537"/>
      <c r="AH63" s="537"/>
      <c r="AI63" s="537"/>
      <c r="AJ63" s="537"/>
      <c r="AK63" s="547"/>
      <c r="AL63" s="547"/>
      <c r="AM63" s="547"/>
      <c r="AN63" s="533"/>
    </row>
    <row r="64" spans="1:42" s="534" customFormat="1" ht="12.75" customHeight="1">
      <c r="A64" s="536" t="s">
        <v>1303</v>
      </c>
      <c r="B64" s="537" t="s">
        <v>1304</v>
      </c>
      <c r="C64" s="537"/>
      <c r="D64" s="537"/>
      <c r="E64" s="537"/>
      <c r="F64" s="537"/>
      <c r="G64" s="537"/>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1302" t="s">
        <v>1305</v>
      </c>
      <c r="AF64" s="1302"/>
      <c r="AG64" s="1302"/>
      <c r="AH64" s="1302"/>
      <c r="AI64" s="1302"/>
      <c r="AJ64" s="1302"/>
      <c r="AK64" s="1302"/>
      <c r="AL64" s="538"/>
      <c r="AM64" s="538"/>
      <c r="AN64" s="533"/>
    </row>
    <row r="65" spans="1:42" s="534" customFormat="1" ht="12.75" customHeight="1">
      <c r="A65" s="536"/>
      <c r="B65" s="537" t="s">
        <v>1714</v>
      </c>
      <c r="C65" s="537"/>
      <c r="D65" s="537"/>
      <c r="E65" s="537"/>
      <c r="F65" s="537"/>
      <c r="G65" s="537"/>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41"/>
      <c r="AF65" s="541"/>
      <c r="AG65" s="541"/>
      <c r="AH65" s="541"/>
      <c r="AI65" s="541"/>
      <c r="AJ65" s="541"/>
      <c r="AK65" s="541"/>
      <c r="AL65" s="538"/>
      <c r="AM65" s="538"/>
      <c r="AN65" s="533"/>
    </row>
    <row r="66" spans="1:42" s="534" customFormat="1" ht="12.75" customHeight="1">
      <c r="A66" s="536"/>
      <c r="B66" s="537"/>
      <c r="C66" s="537"/>
      <c r="D66" s="537"/>
      <c r="E66" s="537"/>
      <c r="F66" s="537"/>
      <c r="G66" s="537"/>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41"/>
      <c r="AF66" s="541"/>
      <c r="AG66" s="541"/>
      <c r="AH66" s="541"/>
      <c r="AI66" s="541"/>
      <c r="AJ66" s="541"/>
      <c r="AK66" s="541"/>
      <c r="AL66" s="538"/>
      <c r="AM66" s="538"/>
      <c r="AN66" s="533"/>
    </row>
    <row r="67" spans="1:42" s="534" customFormat="1" ht="12.75" customHeight="1">
      <c r="A67" s="536"/>
      <c r="B67" s="1274" t="s">
        <v>590</v>
      </c>
      <c r="C67" s="1274"/>
      <c r="D67" s="544" t="s">
        <v>1306</v>
      </c>
      <c r="E67" s="1284" t="s">
        <v>1977</v>
      </c>
      <c r="F67" s="1285"/>
      <c r="G67" s="1285"/>
      <c r="H67" s="1285"/>
      <c r="I67" s="1285"/>
      <c r="J67" s="1285"/>
      <c r="K67" s="1285"/>
      <c r="L67" s="1285"/>
      <c r="M67" s="1285"/>
      <c r="N67" s="1285"/>
      <c r="O67" s="1285"/>
      <c r="P67" s="1285"/>
      <c r="Q67" s="1285"/>
      <c r="R67" s="1285"/>
      <c r="S67" s="1285"/>
      <c r="T67" s="1285"/>
      <c r="U67" s="1285"/>
      <c r="V67" s="1285"/>
      <c r="W67" s="1285"/>
      <c r="X67" s="1285"/>
      <c r="Y67" s="1285"/>
      <c r="Z67" s="1285"/>
      <c r="AA67" s="1285"/>
      <c r="AB67" s="1285"/>
      <c r="AC67" s="1285"/>
      <c r="AD67" s="1285"/>
      <c r="AE67" s="1285"/>
      <c r="AF67" s="1285"/>
      <c r="AG67" s="1285"/>
      <c r="AH67" s="1285"/>
      <c r="AI67" s="1285"/>
      <c r="AJ67" s="1286"/>
      <c r="AK67" s="541"/>
      <c r="AL67" s="538"/>
      <c r="AM67" s="538"/>
      <c r="AN67" s="533"/>
      <c r="AO67" s="547">
        <f>IF($B67="yes",10,0)</f>
        <v>0</v>
      </c>
    </row>
    <row r="68" spans="1:42" s="534" customFormat="1" ht="12.75" customHeight="1">
      <c r="A68" s="536"/>
      <c r="B68" s="538"/>
      <c r="C68" s="538"/>
      <c r="D68" s="548"/>
      <c r="E68" s="1303"/>
      <c r="F68" s="1304"/>
      <c r="G68" s="1304"/>
      <c r="H68" s="1304"/>
      <c r="I68" s="1304"/>
      <c r="J68" s="1304"/>
      <c r="K68" s="1304"/>
      <c r="L68" s="1304"/>
      <c r="M68" s="1304"/>
      <c r="N68" s="1304"/>
      <c r="O68" s="1304"/>
      <c r="P68" s="1304"/>
      <c r="Q68" s="1304"/>
      <c r="R68" s="1304"/>
      <c r="S68" s="1304"/>
      <c r="T68" s="1304"/>
      <c r="U68" s="1304"/>
      <c r="V68" s="1304"/>
      <c r="W68" s="1304"/>
      <c r="X68" s="1304"/>
      <c r="Y68" s="1304"/>
      <c r="Z68" s="1304"/>
      <c r="AA68" s="1304"/>
      <c r="AB68" s="1304"/>
      <c r="AC68" s="1304"/>
      <c r="AD68" s="1304"/>
      <c r="AE68" s="1304"/>
      <c r="AF68" s="1304"/>
      <c r="AG68" s="1304"/>
      <c r="AH68" s="1304"/>
      <c r="AI68" s="1304"/>
      <c r="AJ68" s="1305"/>
      <c r="AK68" s="541"/>
      <c r="AL68" s="538"/>
      <c r="AM68" s="538"/>
      <c r="AN68" s="533"/>
      <c r="AO68" s="547">
        <f>IF(AND($B73="yes",OR(E74="Yes",E75="Yes",E76="Yes")),10,0)</f>
        <v>10</v>
      </c>
    </row>
    <row r="69" spans="1:42" s="534" customFormat="1" ht="12.75" customHeight="1">
      <c r="A69" s="536"/>
      <c r="B69" s="538"/>
      <c r="C69" s="538"/>
      <c r="D69" s="548"/>
      <c r="E69" s="1303"/>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c r="AG69" s="1304"/>
      <c r="AH69" s="1304"/>
      <c r="AI69" s="1304"/>
      <c r="AJ69" s="1305"/>
      <c r="AK69" s="541"/>
      <c r="AL69" s="538"/>
      <c r="AM69" s="538"/>
      <c r="AN69" s="533"/>
      <c r="AO69" s="547">
        <f>IF($B78="yes",10,0)</f>
        <v>0</v>
      </c>
    </row>
    <row r="70" spans="1:42" s="534" customFormat="1" ht="12.75" customHeight="1">
      <c r="A70" s="536"/>
      <c r="B70" s="538"/>
      <c r="C70" s="538"/>
      <c r="D70" s="548"/>
      <c r="E70" s="1303"/>
      <c r="F70" s="1304"/>
      <c r="G70" s="1304"/>
      <c r="H70" s="1304"/>
      <c r="I70" s="1304"/>
      <c r="J70" s="1304"/>
      <c r="K70" s="1304"/>
      <c r="L70" s="1304"/>
      <c r="M70" s="1304"/>
      <c r="N70" s="1304"/>
      <c r="O70" s="1304"/>
      <c r="P70" s="1304"/>
      <c r="Q70" s="1304"/>
      <c r="R70" s="1304"/>
      <c r="S70" s="1304"/>
      <c r="T70" s="1304"/>
      <c r="U70" s="1304"/>
      <c r="V70" s="1304"/>
      <c r="W70" s="1304"/>
      <c r="X70" s="1304"/>
      <c r="Y70" s="1304"/>
      <c r="Z70" s="1304"/>
      <c r="AA70" s="1304"/>
      <c r="AB70" s="1304"/>
      <c r="AC70" s="1304"/>
      <c r="AD70" s="1304"/>
      <c r="AE70" s="1304"/>
      <c r="AF70" s="1304"/>
      <c r="AG70" s="1304"/>
      <c r="AH70" s="1304"/>
      <c r="AI70" s="1304"/>
      <c r="AJ70" s="1305"/>
      <c r="AK70" s="541"/>
      <c r="AL70" s="538"/>
      <c r="AM70" s="538"/>
      <c r="AN70" s="533"/>
      <c r="AO70" s="547">
        <f>IF($B81="yes",10,0)</f>
        <v>0</v>
      </c>
    </row>
    <row r="71" spans="1:42" s="534" customFormat="1" ht="12.75" customHeight="1">
      <c r="A71" s="536"/>
      <c r="B71" s="538"/>
      <c r="C71" s="538"/>
      <c r="D71" s="548"/>
      <c r="E71" s="1287"/>
      <c r="F71" s="1288"/>
      <c r="G71" s="1288"/>
      <c r="H71" s="1288"/>
      <c r="I71" s="1288"/>
      <c r="J71" s="1288"/>
      <c r="K71" s="1288"/>
      <c r="L71" s="1288"/>
      <c r="M71" s="1288"/>
      <c r="N71" s="1288"/>
      <c r="O71" s="1288"/>
      <c r="P71" s="1288"/>
      <c r="Q71" s="1288"/>
      <c r="R71" s="1288"/>
      <c r="S71" s="1288"/>
      <c r="T71" s="1288"/>
      <c r="U71" s="1288"/>
      <c r="V71" s="1288"/>
      <c r="W71" s="1288"/>
      <c r="X71" s="1288"/>
      <c r="Y71" s="1288"/>
      <c r="Z71" s="1288"/>
      <c r="AA71" s="1288"/>
      <c r="AB71" s="1288"/>
      <c r="AC71" s="1288"/>
      <c r="AD71" s="1288"/>
      <c r="AE71" s="1288"/>
      <c r="AF71" s="1288"/>
      <c r="AG71" s="1288"/>
      <c r="AH71" s="1288"/>
      <c r="AI71" s="1288"/>
      <c r="AJ71" s="1289"/>
      <c r="AK71" s="541"/>
      <c r="AL71" s="538"/>
      <c r="AM71" s="538"/>
      <c r="AN71" s="533"/>
      <c r="AO71" s="534">
        <f>IF(SUM(AO67:AO70)&gt;10,10,(SUM(AO67:AO70)))</f>
        <v>10</v>
      </c>
      <c r="AP71" s="570" t="s">
        <v>1307</v>
      </c>
    </row>
    <row r="72" spans="1:42" s="534" customFormat="1" ht="12.75" customHeight="1">
      <c r="A72" s="536"/>
      <c r="B72" s="538"/>
      <c r="C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41"/>
      <c r="AL72" s="538"/>
      <c r="AM72" s="538"/>
      <c r="AN72" s="533"/>
    </row>
    <row r="73" spans="1:42" s="534" customFormat="1" ht="12.75" customHeight="1">
      <c r="A73" s="536"/>
      <c r="B73" s="1274" t="s">
        <v>544</v>
      </c>
      <c r="C73" s="1274"/>
      <c r="D73" s="544" t="s">
        <v>1308</v>
      </c>
      <c r="E73" s="964" t="s">
        <v>1710</v>
      </c>
      <c r="F73" s="965"/>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6"/>
      <c r="AK73" s="541"/>
      <c r="AL73" s="538"/>
      <c r="AM73" s="538"/>
      <c r="AN73" s="533"/>
    </row>
    <row r="74" spans="1:42" s="534" customFormat="1" ht="12.75" customHeight="1">
      <c r="A74" s="536"/>
      <c r="B74" s="538"/>
      <c r="C74" s="538"/>
      <c r="D74" s="547"/>
      <c r="E74" s="1306" t="s">
        <v>590</v>
      </c>
      <c r="F74" s="1274"/>
      <c r="G74" s="571"/>
      <c r="H74" s="554" t="s">
        <v>1309</v>
      </c>
      <c r="I74" s="902"/>
      <c r="J74" s="571"/>
      <c r="K74" s="571"/>
      <c r="L74" s="571"/>
      <c r="M74" s="571"/>
      <c r="N74" s="571"/>
      <c r="O74" s="571"/>
      <c r="P74" s="571"/>
      <c r="Q74" s="571"/>
      <c r="R74" s="571"/>
      <c r="S74" s="571"/>
      <c r="T74" s="571"/>
      <c r="U74" s="571"/>
      <c r="V74" s="571"/>
      <c r="W74" s="571"/>
      <c r="X74" s="571"/>
      <c r="Y74" s="571"/>
      <c r="Z74" s="571"/>
      <c r="AA74" s="571"/>
      <c r="AB74" s="571"/>
      <c r="AC74" s="571"/>
      <c r="AD74" s="571"/>
      <c r="AE74" s="571"/>
      <c r="AF74" s="571"/>
      <c r="AG74" s="571"/>
      <c r="AH74" s="571"/>
      <c r="AI74" s="571"/>
      <c r="AJ74" s="967"/>
      <c r="AK74" s="541"/>
      <c r="AL74" s="538"/>
      <c r="AM74" s="538"/>
      <c r="AN74" s="533"/>
    </row>
    <row r="75" spans="1:42" s="534" customFormat="1" ht="12.75" customHeight="1">
      <c r="A75" s="536"/>
      <c r="B75" s="538"/>
      <c r="C75" s="538"/>
      <c r="D75" s="547"/>
      <c r="E75" s="1300" t="s">
        <v>544</v>
      </c>
      <c r="F75" s="1301"/>
      <c r="G75" s="571"/>
      <c r="H75" s="554" t="s">
        <v>1310</v>
      </c>
      <c r="I75" s="571"/>
      <c r="J75" s="571"/>
      <c r="K75" s="571"/>
      <c r="L75" s="571"/>
      <c r="M75" s="571"/>
      <c r="N75" s="571"/>
      <c r="O75" s="571"/>
      <c r="P75" s="571"/>
      <c r="Q75" s="571"/>
      <c r="R75" s="571"/>
      <c r="S75" s="571"/>
      <c r="T75" s="571"/>
      <c r="U75" s="571"/>
      <c r="V75" s="571"/>
      <c r="W75" s="571"/>
      <c r="X75" s="571"/>
      <c r="Y75" s="571"/>
      <c r="Z75" s="571"/>
      <c r="AA75" s="571"/>
      <c r="AB75" s="571"/>
      <c r="AC75" s="571"/>
      <c r="AD75" s="571"/>
      <c r="AE75" s="571"/>
      <c r="AF75" s="571"/>
      <c r="AG75" s="571"/>
      <c r="AH75" s="571"/>
      <c r="AI75" s="571"/>
      <c r="AJ75" s="967"/>
      <c r="AK75" s="541"/>
      <c r="AL75" s="538"/>
      <c r="AM75" s="538"/>
      <c r="AN75" s="533"/>
    </row>
    <row r="76" spans="1:42" s="534" customFormat="1" ht="12.75" customHeight="1">
      <c r="A76" s="536"/>
      <c r="B76" s="538"/>
      <c r="C76" s="538"/>
      <c r="D76" s="547"/>
      <c r="E76" s="1300" t="s">
        <v>590</v>
      </c>
      <c r="F76" s="1301"/>
      <c r="G76" s="900"/>
      <c r="H76" s="1194" t="s">
        <v>1724</v>
      </c>
      <c r="I76" s="900"/>
      <c r="J76" s="900"/>
      <c r="K76" s="900"/>
      <c r="L76" s="900"/>
      <c r="M76" s="900"/>
      <c r="N76" s="900"/>
      <c r="O76" s="900"/>
      <c r="P76" s="900"/>
      <c r="Q76" s="900"/>
      <c r="R76" s="900"/>
      <c r="S76" s="900"/>
      <c r="T76" s="900"/>
      <c r="U76" s="900"/>
      <c r="V76" s="900"/>
      <c r="W76" s="900"/>
      <c r="X76" s="900"/>
      <c r="Y76" s="900"/>
      <c r="Z76" s="900"/>
      <c r="AA76" s="900"/>
      <c r="AB76" s="900"/>
      <c r="AC76" s="900"/>
      <c r="AD76" s="900"/>
      <c r="AE76" s="900"/>
      <c r="AF76" s="900"/>
      <c r="AG76" s="900"/>
      <c r="AH76" s="900"/>
      <c r="AI76" s="900"/>
      <c r="AJ76" s="901"/>
      <c r="AK76" s="541"/>
      <c r="AL76" s="538"/>
      <c r="AM76" s="538"/>
      <c r="AN76" s="533"/>
    </row>
    <row r="77" spans="1:42" s="534" customFormat="1" ht="12.75" customHeight="1">
      <c r="A77" s="536"/>
      <c r="B77" s="538"/>
      <c r="C77" s="538"/>
      <c r="D77" s="548"/>
      <c r="E77" s="538"/>
      <c r="F77" s="538"/>
      <c r="G77" s="538"/>
      <c r="H77" s="538"/>
      <c r="I77" s="538"/>
      <c r="J77" s="538"/>
      <c r="K77" s="538"/>
      <c r="L77" s="538"/>
      <c r="M77" s="538"/>
      <c r="N77" s="538"/>
      <c r="O77" s="538"/>
      <c r="P77" s="538"/>
      <c r="Q77" s="538"/>
      <c r="R77" s="538"/>
      <c r="S77" s="538"/>
      <c r="T77" s="538"/>
      <c r="U77" s="538"/>
      <c r="V77" s="538"/>
      <c r="W77" s="538"/>
      <c r="X77" s="538"/>
      <c r="Y77" s="538"/>
      <c r="Z77" s="538"/>
      <c r="AA77" s="538"/>
      <c r="AB77" s="538"/>
      <c r="AC77" s="538"/>
      <c r="AD77" s="538"/>
      <c r="AE77" s="538"/>
      <c r="AF77" s="538"/>
      <c r="AG77" s="538"/>
      <c r="AH77" s="538"/>
      <c r="AI77" s="538"/>
      <c r="AJ77" s="538"/>
      <c r="AK77" s="541"/>
      <c r="AL77" s="538"/>
      <c r="AM77" s="538"/>
      <c r="AN77" s="533"/>
    </row>
    <row r="78" spans="1:42" s="534" customFormat="1" ht="12.75" customHeight="1">
      <c r="A78" s="536"/>
      <c r="B78" s="1274" t="s">
        <v>590</v>
      </c>
      <c r="C78" s="1274"/>
      <c r="D78" s="544" t="s">
        <v>1311</v>
      </c>
      <c r="E78" s="1290" t="s">
        <v>1725</v>
      </c>
      <c r="F78" s="1291"/>
      <c r="G78" s="1291"/>
      <c r="H78" s="1291"/>
      <c r="I78" s="1291"/>
      <c r="J78" s="1291"/>
      <c r="K78" s="1291"/>
      <c r="L78" s="1291"/>
      <c r="M78" s="1291"/>
      <c r="N78" s="1291"/>
      <c r="O78" s="1291"/>
      <c r="P78" s="1291"/>
      <c r="Q78" s="1291"/>
      <c r="R78" s="1291"/>
      <c r="S78" s="1291"/>
      <c r="T78" s="1291"/>
      <c r="U78" s="1291"/>
      <c r="V78" s="1291"/>
      <c r="W78" s="1291"/>
      <c r="X78" s="1291"/>
      <c r="Y78" s="1291"/>
      <c r="Z78" s="1291"/>
      <c r="AA78" s="1291"/>
      <c r="AB78" s="1291"/>
      <c r="AC78" s="1291"/>
      <c r="AD78" s="1291"/>
      <c r="AE78" s="1291"/>
      <c r="AF78" s="1291"/>
      <c r="AG78" s="1291"/>
      <c r="AH78" s="1291"/>
      <c r="AI78" s="1291"/>
      <c r="AJ78" s="1292"/>
      <c r="AK78" s="541"/>
      <c r="AL78" s="538"/>
      <c r="AM78" s="538"/>
      <c r="AN78" s="533"/>
    </row>
    <row r="79" spans="1:42" s="534" customFormat="1" ht="12.75" customHeight="1">
      <c r="A79" s="536"/>
      <c r="B79" s="538"/>
      <c r="C79" s="538"/>
      <c r="E79" s="1293"/>
      <c r="F79" s="1294"/>
      <c r="G79" s="1294"/>
      <c r="H79" s="1294"/>
      <c r="I79" s="1294"/>
      <c r="J79" s="1294"/>
      <c r="K79" s="1294"/>
      <c r="L79" s="1294"/>
      <c r="M79" s="1294"/>
      <c r="N79" s="1294"/>
      <c r="O79" s="1294"/>
      <c r="P79" s="1294"/>
      <c r="Q79" s="1294"/>
      <c r="R79" s="1294"/>
      <c r="S79" s="1294"/>
      <c r="T79" s="1294"/>
      <c r="U79" s="1294"/>
      <c r="V79" s="1294"/>
      <c r="W79" s="1294"/>
      <c r="X79" s="1294"/>
      <c r="Y79" s="1294"/>
      <c r="Z79" s="1294"/>
      <c r="AA79" s="1294"/>
      <c r="AB79" s="1294"/>
      <c r="AC79" s="1294"/>
      <c r="AD79" s="1294"/>
      <c r="AE79" s="1294"/>
      <c r="AF79" s="1294"/>
      <c r="AG79" s="1294"/>
      <c r="AH79" s="1294"/>
      <c r="AI79" s="1294"/>
      <c r="AJ79" s="1295"/>
      <c r="AK79" s="541"/>
      <c r="AL79" s="538"/>
      <c r="AM79" s="538"/>
      <c r="AN79" s="533"/>
    </row>
    <row r="80" spans="1:42" s="534" customFormat="1" ht="12.75" customHeight="1">
      <c r="A80" s="536"/>
      <c r="B80" s="538"/>
      <c r="C80" s="538"/>
      <c r="D80" s="547"/>
      <c r="E80" s="547"/>
      <c r="F80" s="571"/>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967"/>
      <c r="AK80" s="541"/>
      <c r="AL80" s="538"/>
      <c r="AM80" s="538"/>
      <c r="AN80" s="533"/>
    </row>
    <row r="81" spans="1:43" s="534" customFormat="1" ht="12.75" customHeight="1">
      <c r="A81" s="536"/>
      <c r="B81" s="1274" t="s">
        <v>590</v>
      </c>
      <c r="C81" s="1274"/>
      <c r="D81" s="544" t="s">
        <v>1458</v>
      </c>
      <c r="E81" s="1281" t="s">
        <v>1723</v>
      </c>
      <c r="F81" s="1282"/>
      <c r="G81" s="1282"/>
      <c r="H81" s="1282"/>
      <c r="I81" s="1282"/>
      <c r="J81" s="1282"/>
      <c r="K81" s="1282"/>
      <c r="L81" s="1282"/>
      <c r="M81" s="1282"/>
      <c r="N81" s="1282"/>
      <c r="O81" s="1282"/>
      <c r="P81" s="1282"/>
      <c r="Q81" s="1282"/>
      <c r="R81" s="1282"/>
      <c r="S81" s="1282"/>
      <c r="T81" s="1282"/>
      <c r="U81" s="1282"/>
      <c r="V81" s="1282"/>
      <c r="W81" s="1282"/>
      <c r="X81" s="1282"/>
      <c r="Y81" s="1282"/>
      <c r="Z81" s="1282"/>
      <c r="AA81" s="1282"/>
      <c r="AB81" s="1282"/>
      <c r="AC81" s="1282"/>
      <c r="AD81" s="1282"/>
      <c r="AE81" s="1282"/>
      <c r="AF81" s="1282"/>
      <c r="AG81" s="1282"/>
      <c r="AH81" s="1282"/>
      <c r="AI81" s="1282"/>
      <c r="AJ81" s="1283"/>
      <c r="AK81" s="541"/>
      <c r="AL81" s="538"/>
      <c r="AM81" s="538"/>
      <c r="AN81" s="533"/>
    </row>
    <row r="82" spans="1:43" s="534" customFormat="1" ht="12.75" customHeight="1">
      <c r="A82" s="536"/>
      <c r="B82" s="538"/>
      <c r="C82" s="538"/>
      <c r="D82" s="547"/>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c r="AI82" s="538"/>
      <c r="AJ82" s="538"/>
      <c r="AK82" s="541"/>
      <c r="AL82" s="538"/>
      <c r="AM82" s="538"/>
      <c r="AN82" s="533"/>
    </row>
    <row r="83" spans="1:43" s="534" customFormat="1" ht="12.75" customHeight="1">
      <c r="A83" s="557"/>
      <c r="B83" s="558"/>
      <c r="C83" s="558"/>
      <c r="D83" s="558"/>
      <c r="E83" s="558"/>
      <c r="F83" s="558"/>
      <c r="G83" s="559"/>
      <c r="H83" s="560"/>
      <c r="I83" s="560"/>
      <c r="J83" s="560"/>
      <c r="K83" s="560"/>
      <c r="L83" s="560"/>
      <c r="M83" s="560"/>
      <c r="N83" s="560"/>
      <c r="O83" s="560"/>
      <c r="P83" s="560"/>
      <c r="Q83" s="560"/>
      <c r="R83" s="560"/>
      <c r="S83" s="560"/>
      <c r="T83" s="560"/>
      <c r="U83" s="560"/>
      <c r="V83" s="560"/>
      <c r="W83" s="560"/>
      <c r="X83" s="560"/>
      <c r="Y83" s="560"/>
      <c r="Z83" s="560"/>
      <c r="AA83" s="560"/>
      <c r="AB83" s="560"/>
      <c r="AC83" s="560"/>
      <c r="AD83" s="560"/>
      <c r="AE83" s="560"/>
      <c r="AF83" s="560"/>
      <c r="AG83" s="560"/>
      <c r="AH83" s="560"/>
      <c r="AI83" s="561"/>
      <c r="AJ83" s="561" t="s">
        <v>1312</v>
      </c>
      <c r="AK83" s="1313">
        <f>IF(AK61&gt;0,0,AO71)</f>
        <v>10</v>
      </c>
      <c r="AL83" s="1314"/>
      <c r="AM83" s="1315"/>
      <c r="AN83" s="533"/>
    </row>
    <row r="84" spans="1:43" s="534" customFormat="1" ht="12.75" customHeight="1" thickBot="1">
      <c r="A84" s="562"/>
      <c r="B84" s="563"/>
      <c r="C84" s="564"/>
      <c r="D84" s="564"/>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4"/>
      <c r="AL84" s="564"/>
      <c r="AM84" s="565"/>
      <c r="AN84" s="533"/>
    </row>
    <row r="85" spans="1:43" s="534" customFormat="1" ht="12.75" customHeight="1" thickTop="1">
      <c r="A85" s="566"/>
      <c r="B85" s="567"/>
      <c r="C85" s="568"/>
      <c r="D85" s="568"/>
      <c r="E85" s="568"/>
      <c r="F85" s="568"/>
      <c r="G85" s="568"/>
      <c r="H85" s="568"/>
      <c r="I85" s="569"/>
      <c r="J85" s="569"/>
      <c r="K85" s="569"/>
      <c r="L85" s="569"/>
      <c r="M85" s="569"/>
      <c r="N85" s="569"/>
      <c r="O85" s="569"/>
      <c r="P85" s="569"/>
      <c r="Q85" s="569"/>
      <c r="R85" s="566"/>
      <c r="S85" s="537"/>
      <c r="T85" s="537"/>
      <c r="U85" s="537"/>
      <c r="V85" s="537"/>
      <c r="W85" s="537"/>
      <c r="X85" s="537"/>
      <c r="Y85" s="537"/>
      <c r="Z85" s="537"/>
      <c r="AA85" s="537"/>
      <c r="AB85" s="537"/>
      <c r="AC85" s="537"/>
      <c r="AD85" s="537"/>
      <c r="AE85" s="537"/>
      <c r="AF85" s="566"/>
      <c r="AG85" s="537"/>
      <c r="AH85" s="537"/>
      <c r="AI85" s="537"/>
      <c r="AJ85" s="537"/>
      <c r="AK85" s="547"/>
      <c r="AL85" s="547"/>
      <c r="AM85" s="547"/>
      <c r="AN85" s="533"/>
    </row>
    <row r="86" spans="1:43" s="534" customFormat="1" ht="12.75" customHeight="1">
      <c r="A86" s="536" t="s">
        <v>1313</v>
      </c>
      <c r="B86" s="537" t="s">
        <v>1314</v>
      </c>
      <c r="C86" s="537"/>
      <c r="D86" s="537"/>
      <c r="E86" s="537"/>
      <c r="F86" s="537"/>
      <c r="G86" s="537"/>
      <c r="H86" s="537"/>
      <c r="I86" s="537"/>
      <c r="J86" s="537"/>
      <c r="K86" s="537"/>
      <c r="L86" s="537"/>
      <c r="M86" s="537"/>
      <c r="N86" s="537"/>
      <c r="O86" s="537"/>
      <c r="P86" s="537"/>
      <c r="Q86" s="537"/>
      <c r="R86" s="537"/>
      <c r="S86" s="537"/>
      <c r="T86" s="537"/>
      <c r="U86" s="537"/>
      <c r="V86" s="537"/>
      <c r="W86" s="537"/>
      <c r="X86" s="537"/>
      <c r="Y86" s="537"/>
      <c r="Z86" s="537"/>
      <c r="AA86" s="537"/>
      <c r="AB86" s="537"/>
      <c r="AC86" s="537"/>
      <c r="AD86" s="537"/>
      <c r="AE86" s="1302" t="s">
        <v>1300</v>
      </c>
      <c r="AF86" s="1302"/>
      <c r="AG86" s="1302"/>
      <c r="AH86" s="1302"/>
      <c r="AI86" s="1302"/>
      <c r="AJ86" s="1302"/>
      <c r="AK86" s="1302"/>
      <c r="AL86" s="538"/>
      <c r="AM86" s="538"/>
      <c r="AN86" s="533"/>
    </row>
    <row r="87" spans="1:43" s="534" customFormat="1" ht="12.75" customHeight="1">
      <c r="A87" s="536"/>
      <c r="B87" s="537" t="s">
        <v>1315</v>
      </c>
      <c r="C87" s="537"/>
      <c r="D87" s="537"/>
      <c r="E87" s="537"/>
      <c r="F87" s="537"/>
      <c r="G87" s="537"/>
      <c r="H87" s="537"/>
      <c r="I87" s="537"/>
      <c r="J87" s="537"/>
      <c r="K87" s="537"/>
      <c r="L87" s="537"/>
      <c r="M87" s="537"/>
      <c r="N87" s="537"/>
      <c r="O87" s="537"/>
      <c r="P87" s="537"/>
      <c r="Q87" s="537"/>
      <c r="R87" s="537"/>
      <c r="S87" s="537"/>
      <c r="T87" s="537"/>
      <c r="U87" s="537"/>
      <c r="V87" s="537"/>
      <c r="W87" s="537"/>
      <c r="X87" s="537"/>
      <c r="Y87" s="537"/>
      <c r="Z87" s="537"/>
      <c r="AA87" s="537"/>
      <c r="AB87" s="537"/>
      <c r="AC87" s="537"/>
      <c r="AD87" s="537"/>
      <c r="AE87" s="541"/>
      <c r="AF87" s="541"/>
      <c r="AG87" s="541"/>
      <c r="AH87" s="541"/>
      <c r="AI87" s="541"/>
      <c r="AJ87" s="541"/>
      <c r="AK87" s="541"/>
      <c r="AL87" s="538"/>
      <c r="AM87" s="538"/>
      <c r="AN87" s="533"/>
    </row>
    <row r="88" spans="1:43" s="534" customFormat="1" ht="12.75" customHeight="1">
      <c r="A88" s="536"/>
      <c r="B88" s="537"/>
      <c r="C88" s="537"/>
      <c r="D88" s="537"/>
      <c r="E88" s="537"/>
      <c r="F88" s="537"/>
      <c r="G88" s="537"/>
      <c r="H88" s="537"/>
      <c r="I88" s="537"/>
      <c r="J88" s="537"/>
      <c r="K88" s="537"/>
      <c r="L88" s="537"/>
      <c r="M88" s="537"/>
      <c r="N88" s="537"/>
      <c r="O88" s="537"/>
      <c r="P88" s="537"/>
      <c r="Q88" s="537"/>
      <c r="R88" s="537"/>
      <c r="S88" s="537"/>
      <c r="T88" s="537"/>
      <c r="U88" s="537"/>
      <c r="V88" s="537"/>
      <c r="W88" s="537"/>
      <c r="X88" s="537"/>
      <c r="Y88" s="537"/>
      <c r="Z88" s="537"/>
      <c r="AA88" s="537"/>
      <c r="AB88" s="537"/>
      <c r="AC88" s="537"/>
      <c r="AD88" s="537"/>
      <c r="AE88" s="541"/>
      <c r="AF88" s="541"/>
      <c r="AG88" s="541"/>
      <c r="AH88" s="541"/>
      <c r="AI88" s="541"/>
      <c r="AJ88" s="541"/>
      <c r="AK88" s="541"/>
      <c r="AL88" s="538"/>
      <c r="AM88" s="538"/>
      <c r="AN88" s="533"/>
    </row>
    <row r="89" spans="1:43" s="534" customFormat="1" ht="12.75" customHeight="1">
      <c r="A89" s="536"/>
      <c r="B89" s="1274" t="s">
        <v>544</v>
      </c>
      <c r="C89" s="1274"/>
      <c r="D89" s="544" t="s">
        <v>1306</v>
      </c>
      <c r="E89" s="1284" t="s">
        <v>1316</v>
      </c>
      <c r="F89" s="1285"/>
      <c r="G89" s="1285"/>
      <c r="H89" s="1285"/>
      <c r="I89" s="1285"/>
      <c r="J89" s="1285"/>
      <c r="K89" s="1285"/>
      <c r="L89" s="1285"/>
      <c r="M89" s="1285"/>
      <c r="N89" s="1285"/>
      <c r="O89" s="1285"/>
      <c r="P89" s="1285"/>
      <c r="Q89" s="1285"/>
      <c r="R89" s="1285"/>
      <c r="S89" s="1285"/>
      <c r="T89" s="1285"/>
      <c r="U89" s="1285"/>
      <c r="V89" s="1285"/>
      <c r="W89" s="1285"/>
      <c r="X89" s="1285"/>
      <c r="Y89" s="1285"/>
      <c r="Z89" s="1285"/>
      <c r="AA89" s="1285"/>
      <c r="AB89" s="1285"/>
      <c r="AC89" s="1285"/>
      <c r="AD89" s="1285"/>
      <c r="AE89" s="1285"/>
      <c r="AF89" s="1285"/>
      <c r="AG89" s="1285"/>
      <c r="AH89" s="1285"/>
      <c r="AI89" s="1285"/>
      <c r="AJ89" s="1286"/>
      <c r="AK89" s="541"/>
      <c r="AL89" s="538"/>
      <c r="AM89" s="538"/>
      <c r="AN89" s="533"/>
    </row>
    <row r="90" spans="1:43" s="534" customFormat="1" ht="12.75" customHeight="1">
      <c r="A90" s="536"/>
      <c r="B90" s="537"/>
      <c r="C90" s="537"/>
      <c r="D90" s="537"/>
      <c r="E90" s="1303"/>
      <c r="F90" s="1304"/>
      <c r="G90" s="1304"/>
      <c r="H90" s="1304"/>
      <c r="I90" s="1304"/>
      <c r="J90" s="1304"/>
      <c r="K90" s="1304"/>
      <c r="L90" s="1304"/>
      <c r="M90" s="1304"/>
      <c r="N90" s="1304"/>
      <c r="O90" s="1304"/>
      <c r="P90" s="1304"/>
      <c r="Q90" s="1304"/>
      <c r="R90" s="1304"/>
      <c r="S90" s="1304"/>
      <c r="T90" s="1304"/>
      <c r="U90" s="1304"/>
      <c r="V90" s="1304"/>
      <c r="W90" s="1304"/>
      <c r="X90" s="1304"/>
      <c r="Y90" s="1304"/>
      <c r="Z90" s="1304"/>
      <c r="AA90" s="1304"/>
      <c r="AB90" s="1304"/>
      <c r="AC90" s="1304"/>
      <c r="AD90" s="1304"/>
      <c r="AE90" s="1304"/>
      <c r="AF90" s="1304"/>
      <c r="AG90" s="1304"/>
      <c r="AH90" s="1304"/>
      <c r="AI90" s="1304"/>
      <c r="AJ90" s="1305"/>
      <c r="AK90" s="541"/>
      <c r="AL90" s="538"/>
      <c r="AM90" s="538"/>
      <c r="AN90" s="533"/>
    </row>
    <row r="91" spans="1:43" s="534" customFormat="1" ht="12.75" customHeight="1">
      <c r="A91" s="536"/>
      <c r="B91" s="537"/>
      <c r="C91" s="537"/>
      <c r="D91" s="537"/>
      <c r="E91" s="572"/>
      <c r="F91" s="573"/>
      <c r="G91" s="573"/>
      <c r="H91" s="573"/>
      <c r="I91" s="573"/>
      <c r="J91" s="573"/>
      <c r="K91" s="573"/>
      <c r="L91" s="573"/>
      <c r="M91" s="573"/>
      <c r="N91" s="573"/>
      <c r="O91" s="573"/>
      <c r="P91" s="573"/>
      <c r="Q91" s="573"/>
      <c r="R91" s="573"/>
      <c r="S91" s="573"/>
      <c r="T91" s="573"/>
      <c r="U91" s="573"/>
      <c r="V91" s="573"/>
      <c r="W91" s="573"/>
      <c r="X91" s="573"/>
      <c r="Y91" s="573"/>
      <c r="Z91" s="574"/>
      <c r="AA91" s="574"/>
      <c r="AB91" s="574"/>
      <c r="AC91" s="573"/>
      <c r="AD91" s="573"/>
      <c r="AE91" s="573"/>
      <c r="AF91" s="573"/>
      <c r="AG91" s="573"/>
      <c r="AH91" s="573"/>
      <c r="AI91" s="573"/>
      <c r="AJ91" s="575"/>
      <c r="AK91" s="541"/>
      <c r="AL91" s="538"/>
      <c r="AM91" s="538"/>
      <c r="AN91" s="533"/>
    </row>
    <row r="92" spans="1:43" s="534" customFormat="1" ht="12.75" customHeight="1">
      <c r="A92" s="536"/>
      <c r="B92" s="537"/>
      <c r="C92" s="537"/>
      <c r="D92" s="537"/>
      <c r="E92" s="1296">
        <f>Application!AC761</f>
        <v>0.56779661016949134</v>
      </c>
      <c r="F92" s="1297"/>
      <c r="G92" s="1297"/>
      <c r="H92" s="1297"/>
      <c r="I92" s="573"/>
      <c r="J92" s="576" t="s">
        <v>1317</v>
      </c>
      <c r="K92" s="573"/>
      <c r="L92" s="573"/>
      <c r="M92" s="573"/>
      <c r="N92" s="573"/>
      <c r="O92" s="573"/>
      <c r="P92" s="573"/>
      <c r="Q92" s="573"/>
      <c r="R92" s="573"/>
      <c r="S92" s="573"/>
      <c r="T92" s="573"/>
      <c r="U92" s="573"/>
      <c r="V92" s="573"/>
      <c r="W92" s="573"/>
      <c r="X92" s="573"/>
      <c r="Y92" s="573"/>
      <c r="Z92" s="577"/>
      <c r="AA92" s="577"/>
      <c r="AB92" s="577"/>
      <c r="AC92" s="573"/>
      <c r="AD92" s="573"/>
      <c r="AE92" s="573"/>
      <c r="AF92" s="573"/>
      <c r="AG92" s="573"/>
      <c r="AH92" s="573"/>
      <c r="AI92" s="573"/>
      <c r="AJ92" s="575"/>
      <c r="AK92" s="541"/>
      <c r="AL92" s="538"/>
      <c r="AM92" s="538"/>
      <c r="AN92" s="533"/>
    </row>
    <row r="93" spans="1:43" s="534" customFormat="1" ht="12.75" customHeight="1">
      <c r="A93" s="536"/>
      <c r="B93" s="537"/>
      <c r="C93" s="537"/>
      <c r="D93" s="537"/>
      <c r="E93" s="1298">
        <f>0.6-ROUNDUP(E92,2)</f>
        <v>2.9999999999999916E-2</v>
      </c>
      <c r="F93" s="1299"/>
      <c r="G93" s="1299"/>
      <c r="H93" s="1299"/>
      <c r="I93" s="573"/>
      <c r="J93" s="576" t="s">
        <v>1318</v>
      </c>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5"/>
      <c r="AK93" s="541"/>
      <c r="AL93" s="538"/>
      <c r="AM93" s="538"/>
      <c r="AN93" s="533"/>
    </row>
    <row r="94" spans="1:43" s="534" customFormat="1" ht="12.75" customHeight="1">
      <c r="A94" s="536"/>
      <c r="B94" s="537"/>
      <c r="C94" s="537"/>
      <c r="D94" s="537"/>
      <c r="E94" s="1325">
        <f>IF(E93*200&gt;20,20,E93*200)</f>
        <v>5.9999999999999831</v>
      </c>
      <c r="F94" s="1326"/>
      <c r="G94" s="1326"/>
      <c r="H94" s="1326"/>
      <c r="I94" s="573"/>
      <c r="J94" s="576" t="s">
        <v>1319</v>
      </c>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5"/>
      <c r="AK94" s="541"/>
      <c r="AL94" s="538"/>
      <c r="AM94" s="538"/>
      <c r="AN94" s="533"/>
      <c r="AP94" s="534">
        <f>IF(B89="yes",E94,0)</f>
        <v>5.9999999999999831</v>
      </c>
      <c r="AQ94" s="534" t="s">
        <v>1302</v>
      </c>
    </row>
    <row r="95" spans="1:43" s="534" customFormat="1" ht="12.75" customHeight="1">
      <c r="A95" s="536"/>
      <c r="B95" s="537"/>
      <c r="C95" s="537"/>
      <c r="D95" s="537"/>
      <c r="E95" s="578"/>
      <c r="F95" s="579"/>
      <c r="G95" s="579"/>
      <c r="H95" s="579"/>
      <c r="I95" s="579"/>
      <c r="J95" s="579"/>
      <c r="K95" s="579"/>
      <c r="L95" s="579"/>
      <c r="M95" s="579"/>
      <c r="N95" s="579"/>
      <c r="O95" s="579"/>
      <c r="P95" s="579"/>
      <c r="Q95" s="579"/>
      <c r="R95" s="579"/>
      <c r="S95" s="579"/>
      <c r="T95" s="579"/>
      <c r="U95" s="579"/>
      <c r="V95" s="579"/>
      <c r="W95" s="579"/>
      <c r="X95" s="579"/>
      <c r="Y95" s="579"/>
      <c r="Z95" s="579"/>
      <c r="AA95" s="579"/>
      <c r="AB95" s="579"/>
      <c r="AC95" s="579"/>
      <c r="AD95" s="579"/>
      <c r="AE95" s="580"/>
      <c r="AF95" s="580"/>
      <c r="AG95" s="580"/>
      <c r="AH95" s="580"/>
      <c r="AI95" s="580"/>
      <c r="AJ95" s="581"/>
      <c r="AK95" s="541"/>
      <c r="AL95" s="538"/>
      <c r="AM95" s="538"/>
      <c r="AN95" s="533"/>
    </row>
    <row r="96" spans="1:43" s="534" customFormat="1" ht="12.75" customHeight="1">
      <c r="A96" s="536"/>
      <c r="B96" s="537"/>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41"/>
      <c r="AF96" s="541"/>
      <c r="AG96" s="541"/>
      <c r="AH96" s="541"/>
      <c r="AI96" s="541"/>
      <c r="AJ96" s="541"/>
      <c r="AK96" s="541"/>
      <c r="AL96" s="538"/>
      <c r="AM96" s="538"/>
      <c r="AN96" s="533"/>
    </row>
    <row r="97" spans="1:47" s="534" customFormat="1" ht="12.75" customHeight="1">
      <c r="A97" s="536"/>
      <c r="B97" s="1274" t="s">
        <v>544</v>
      </c>
      <c r="C97" s="1274"/>
      <c r="D97" s="544" t="s">
        <v>1308</v>
      </c>
      <c r="E97" s="1284" t="s">
        <v>1711</v>
      </c>
      <c r="F97" s="1285"/>
      <c r="G97" s="1285"/>
      <c r="H97" s="1285"/>
      <c r="I97" s="1285"/>
      <c r="J97" s="1285"/>
      <c r="K97" s="1285"/>
      <c r="L97" s="1285"/>
      <c r="M97" s="1285"/>
      <c r="N97" s="1285"/>
      <c r="O97" s="1285"/>
      <c r="P97" s="1285"/>
      <c r="Q97" s="1285"/>
      <c r="R97" s="1285"/>
      <c r="S97" s="1285"/>
      <c r="T97" s="1285"/>
      <c r="U97" s="1285"/>
      <c r="V97" s="1285"/>
      <c r="W97" s="1285"/>
      <c r="X97" s="1285"/>
      <c r="Y97" s="1285"/>
      <c r="Z97" s="1285"/>
      <c r="AA97" s="1285"/>
      <c r="AB97" s="1285"/>
      <c r="AC97" s="1285"/>
      <c r="AD97" s="1285"/>
      <c r="AE97" s="1285"/>
      <c r="AF97" s="1285"/>
      <c r="AG97" s="1285"/>
      <c r="AH97" s="1285"/>
      <c r="AI97" s="1285"/>
      <c r="AJ97" s="1286"/>
      <c r="AK97" s="541"/>
      <c r="AL97" s="538"/>
      <c r="AM97" s="538"/>
      <c r="AN97" s="533"/>
    </row>
    <row r="98" spans="1:47" s="534" customFormat="1" ht="12.75" customHeight="1">
      <c r="A98" s="536"/>
      <c r="B98" s="537"/>
      <c r="C98" s="537"/>
      <c r="D98" s="537"/>
      <c r="E98" s="1303"/>
      <c r="F98" s="1304"/>
      <c r="G98" s="1304"/>
      <c r="H98" s="1304"/>
      <c r="I98" s="1304"/>
      <c r="J98" s="1304"/>
      <c r="K98" s="1304"/>
      <c r="L98" s="1304"/>
      <c r="M98" s="1304"/>
      <c r="N98" s="1304"/>
      <c r="O98" s="1304"/>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5"/>
      <c r="AK98" s="541"/>
      <c r="AL98" s="538"/>
      <c r="AM98" s="538"/>
      <c r="AN98" s="533"/>
    </row>
    <row r="99" spans="1:47" s="534" customFormat="1" ht="12.75" customHeight="1">
      <c r="A99" s="536"/>
      <c r="B99" s="537"/>
      <c r="C99" s="537"/>
      <c r="D99" s="537"/>
      <c r="E99" s="1303"/>
      <c r="F99" s="1304"/>
      <c r="G99" s="1304"/>
      <c r="H99" s="1304"/>
      <c r="I99" s="1304"/>
      <c r="J99" s="1304"/>
      <c r="K99" s="1304"/>
      <c r="L99" s="1304"/>
      <c r="M99" s="1304"/>
      <c r="N99" s="1304"/>
      <c r="O99" s="1304"/>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5"/>
      <c r="AK99" s="541"/>
      <c r="AL99" s="538"/>
      <c r="AM99" s="538"/>
      <c r="AN99" s="533"/>
    </row>
    <row r="100" spans="1:47" s="534" customFormat="1" ht="12.75" customHeight="1">
      <c r="A100" s="536"/>
      <c r="B100" s="537"/>
      <c r="C100" s="537"/>
      <c r="D100" s="537"/>
      <c r="E100" s="1303"/>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5"/>
      <c r="AK100" s="541"/>
      <c r="AL100" s="538"/>
      <c r="AM100" s="538"/>
      <c r="AN100" s="533"/>
    </row>
    <row r="101" spans="1:47" s="534" customFormat="1" ht="12.75" customHeight="1">
      <c r="A101" s="536"/>
      <c r="B101" s="537"/>
      <c r="C101" s="537"/>
      <c r="D101" s="537"/>
      <c r="E101" s="582"/>
      <c r="F101" s="549"/>
      <c r="G101" s="549"/>
      <c r="H101" s="549"/>
      <c r="I101" s="549"/>
      <c r="J101" s="549"/>
      <c r="K101" s="549"/>
      <c r="L101" s="549"/>
      <c r="M101" s="549"/>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50"/>
      <c r="AK101" s="541"/>
      <c r="AL101" s="538"/>
      <c r="AM101" s="538"/>
      <c r="AN101" s="533"/>
    </row>
    <row r="102" spans="1:47" s="534" customFormat="1" ht="12.75" customHeight="1">
      <c r="A102" s="536"/>
      <c r="B102" s="537"/>
      <c r="C102" s="537"/>
      <c r="D102" s="537"/>
      <c r="E102" s="1296">
        <f>Application!AC761</f>
        <v>0.56779661016949134</v>
      </c>
      <c r="F102" s="1297"/>
      <c r="G102" s="1297"/>
      <c r="H102" s="1297"/>
      <c r="I102" s="573"/>
      <c r="J102" s="576" t="s">
        <v>1317</v>
      </c>
      <c r="K102" s="573"/>
      <c r="L102" s="573"/>
      <c r="M102" s="573"/>
      <c r="N102" s="573"/>
      <c r="O102" s="573"/>
      <c r="P102" s="573"/>
      <c r="Q102" s="573"/>
      <c r="R102" s="549"/>
      <c r="S102" s="549"/>
      <c r="T102" s="549"/>
      <c r="U102" s="549"/>
      <c r="V102" s="549"/>
      <c r="W102" s="549"/>
      <c r="X102" s="549"/>
      <c r="Y102" s="549"/>
      <c r="Z102" s="549"/>
      <c r="AA102" s="549"/>
      <c r="AB102" s="549"/>
      <c r="AC102" s="549"/>
      <c r="AD102" s="549"/>
      <c r="AE102" s="549"/>
      <c r="AF102" s="549"/>
      <c r="AG102" s="549"/>
      <c r="AH102" s="549"/>
      <c r="AI102" s="549"/>
      <c r="AJ102" s="550"/>
      <c r="AK102" s="541"/>
      <c r="AL102" s="538"/>
      <c r="AM102" s="538"/>
      <c r="AN102" s="533"/>
    </row>
    <row r="103" spans="1:47" s="534" customFormat="1" ht="12.75" customHeight="1">
      <c r="A103" s="536"/>
      <c r="B103" s="537"/>
      <c r="C103" s="537"/>
      <c r="D103" s="537"/>
      <c r="E103" s="1296">
        <f ca="1">SUMIF(Application!AC726:AG760,0.2,Application!G726:J760)/Application!G761+SUMIF(Application!AC726:AG760,0.25,Application!G726:J760)/Application!G761+SUMIF(Application!AC726:AG760,0.3,Application!G726:J760)/Application!G761</f>
        <v>0.10169491525423729</v>
      </c>
      <c r="F103" s="1297"/>
      <c r="G103" s="1297"/>
      <c r="H103" s="1297"/>
      <c r="I103" s="573"/>
      <c r="J103" s="576" t="s">
        <v>1320</v>
      </c>
      <c r="K103" s="573"/>
      <c r="L103" s="573"/>
      <c r="M103" s="573"/>
      <c r="N103" s="573"/>
      <c r="O103" s="573"/>
      <c r="P103" s="573"/>
      <c r="Q103" s="573"/>
      <c r="R103" s="549"/>
      <c r="S103" s="549"/>
      <c r="T103" s="549"/>
      <c r="U103" s="549"/>
      <c r="V103" s="549"/>
      <c r="W103" s="549"/>
      <c r="X103" s="549"/>
      <c r="Y103" s="549"/>
      <c r="Z103" s="549"/>
      <c r="AA103" s="549"/>
      <c r="AB103" s="549"/>
      <c r="AC103" s="549"/>
      <c r="AD103" s="549"/>
      <c r="AE103" s="549"/>
      <c r="AF103" s="549"/>
      <c r="AG103" s="549"/>
      <c r="AH103" s="549"/>
      <c r="AI103" s="549"/>
      <c r="AJ103" s="550"/>
      <c r="AK103" s="541"/>
      <c r="AL103" s="538"/>
      <c r="AM103" s="538"/>
      <c r="AN103" s="533"/>
      <c r="AU103" s="856"/>
    </row>
    <row r="104" spans="1:47" s="534" customFormat="1" ht="12.75" customHeight="1">
      <c r="A104" s="536"/>
      <c r="B104" s="537"/>
      <c r="C104" s="537"/>
      <c r="D104" s="537"/>
      <c r="E104" s="1296">
        <f ca="1">SUMIF(Application!AC726:AG760,0.35,Application!G726:J760)/Application!G761+SUMIF(Application!AC726:AG760,0.4,Application!G726:J760)/Application!G761+SUMIF(Application!AC726:AG760,0.45,Application!G726:J760)/Application!G761+SUMIF(Application!AC726:AG760,0.5,Application!G726:J760)/Application!G761</f>
        <v>0.20338983050847459</v>
      </c>
      <c r="F104" s="1297"/>
      <c r="G104" s="1297"/>
      <c r="H104" s="1297"/>
      <c r="I104" s="573"/>
      <c r="J104" s="576" t="s">
        <v>1321</v>
      </c>
      <c r="K104" s="573"/>
      <c r="L104" s="573"/>
      <c r="M104" s="573"/>
      <c r="N104" s="573"/>
      <c r="O104" s="573"/>
      <c r="P104" s="573"/>
      <c r="Q104" s="573"/>
      <c r="R104" s="549"/>
      <c r="S104" s="549"/>
      <c r="T104" s="549"/>
      <c r="U104" s="549"/>
      <c r="V104" s="549"/>
      <c r="W104" s="549"/>
      <c r="X104" s="549"/>
      <c r="Y104" s="549"/>
      <c r="Z104" s="549"/>
      <c r="AA104" s="549"/>
      <c r="AB104" s="549"/>
      <c r="AC104" s="549"/>
      <c r="AD104" s="549"/>
      <c r="AE104" s="549"/>
      <c r="AF104" s="549"/>
      <c r="AG104" s="549"/>
      <c r="AH104" s="549"/>
      <c r="AI104" s="549"/>
      <c r="AJ104" s="550"/>
      <c r="AK104" s="541"/>
      <c r="AL104" s="538"/>
      <c r="AM104" s="538"/>
      <c r="AN104" s="533"/>
      <c r="AU104" s="856"/>
    </row>
    <row r="105" spans="1:47" s="534" customFormat="1" ht="12.75" customHeight="1">
      <c r="A105" s="536"/>
      <c r="B105" s="537"/>
      <c r="C105" s="537"/>
      <c r="D105" s="537"/>
      <c r="E105" s="1331">
        <f ca="1">IF(AND(E102&lt;=0.6,OR(AND(E103&gt;=0.1,E104&gt;=0.1),AND(E103&gt;0.1,(E103+E104)&gt;=0.2))),20,0)</f>
        <v>20</v>
      </c>
      <c r="F105" s="1332"/>
      <c r="G105" s="1332"/>
      <c r="H105" s="1332"/>
      <c r="I105" s="549"/>
      <c r="J105" s="583" t="s">
        <v>1319</v>
      </c>
      <c r="K105" s="549"/>
      <c r="L105" s="549"/>
      <c r="M105" s="549"/>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50"/>
      <c r="AK105" s="541"/>
      <c r="AL105" s="538"/>
      <c r="AM105" s="538"/>
      <c r="AN105" s="533"/>
      <c r="AP105" s="534">
        <f ca="1">IF(B97="yes",E105,0)</f>
        <v>20</v>
      </c>
      <c r="AQ105" s="534" t="s">
        <v>1302</v>
      </c>
    </row>
    <row r="106" spans="1:47" s="534" customFormat="1" ht="12.75" customHeight="1">
      <c r="A106" s="536"/>
      <c r="B106" s="537"/>
      <c r="C106" s="537"/>
      <c r="D106" s="537"/>
      <c r="E106" s="578"/>
      <c r="F106" s="579"/>
      <c r="G106" s="579"/>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80"/>
      <c r="AF106" s="580"/>
      <c r="AG106" s="580"/>
      <c r="AH106" s="580"/>
      <c r="AI106" s="580"/>
      <c r="AJ106" s="581"/>
      <c r="AK106" s="541"/>
      <c r="AL106" s="538"/>
      <c r="AM106" s="538"/>
      <c r="AN106" s="533"/>
    </row>
    <row r="107" spans="1:47" s="534" customFormat="1" ht="12.75" customHeight="1">
      <c r="A107" s="536"/>
      <c r="B107" s="537"/>
      <c r="C107" s="537"/>
      <c r="D107" s="537"/>
      <c r="E107" s="537"/>
      <c r="F107" s="537"/>
      <c r="G107" s="537"/>
      <c r="H107" s="537"/>
      <c r="I107" s="537"/>
      <c r="J107" s="537"/>
      <c r="K107" s="537"/>
      <c r="L107" s="537"/>
      <c r="M107" s="537"/>
      <c r="N107" s="537"/>
      <c r="O107" s="537"/>
      <c r="P107" s="537"/>
      <c r="Q107" s="537"/>
      <c r="R107" s="537"/>
      <c r="S107" s="537"/>
      <c r="T107" s="537"/>
      <c r="U107" s="537"/>
      <c r="V107" s="537"/>
      <c r="W107" s="537"/>
      <c r="X107" s="537"/>
      <c r="Y107" s="537"/>
      <c r="Z107" s="537"/>
      <c r="AA107" s="537"/>
      <c r="AB107" s="537"/>
      <c r="AC107" s="537"/>
      <c r="AD107" s="537"/>
      <c r="AE107" s="541"/>
      <c r="AF107" s="541"/>
      <c r="AG107" s="541"/>
      <c r="AH107" s="541"/>
      <c r="AI107" s="541"/>
      <c r="AJ107" s="541"/>
      <c r="AK107" s="541"/>
      <c r="AL107" s="538"/>
      <c r="AM107" s="538"/>
      <c r="AN107" s="533"/>
    </row>
    <row r="108" spans="1:47" s="534" customFormat="1" ht="12.75" customHeight="1">
      <c r="A108" s="557"/>
      <c r="B108" s="558"/>
      <c r="C108" s="558"/>
      <c r="D108" s="558"/>
      <c r="E108" s="558"/>
      <c r="F108" s="558"/>
      <c r="G108" s="559"/>
      <c r="H108" s="560"/>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1"/>
      <c r="AJ108" s="561" t="s">
        <v>1322</v>
      </c>
      <c r="AK108" s="1313">
        <f ca="1">MAX(AP94,AP105)</f>
        <v>20</v>
      </c>
      <c r="AL108" s="1314"/>
      <c r="AM108" s="1315"/>
      <c r="AN108" s="533"/>
    </row>
    <row r="109" spans="1:47" s="534" customFormat="1" ht="12.75" customHeight="1" thickBot="1">
      <c r="A109" s="562"/>
      <c r="B109" s="563"/>
      <c r="C109" s="564"/>
      <c r="D109" s="564"/>
      <c r="E109" s="564"/>
      <c r="F109" s="564"/>
      <c r="G109" s="564"/>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4"/>
      <c r="AJ109" s="564"/>
      <c r="AK109" s="564"/>
      <c r="AL109" s="564"/>
      <c r="AM109" s="565"/>
      <c r="AN109" s="533"/>
    </row>
    <row r="110" spans="1:47" s="534" customFormat="1" ht="12.75" customHeight="1" thickTop="1">
      <c r="A110" s="566"/>
      <c r="B110" s="567"/>
      <c r="C110" s="568"/>
      <c r="D110" s="568"/>
      <c r="E110" s="568"/>
      <c r="F110" s="568"/>
      <c r="G110" s="568"/>
      <c r="H110" s="568"/>
      <c r="I110" s="569"/>
      <c r="J110" s="569"/>
      <c r="K110" s="569"/>
      <c r="L110" s="569"/>
      <c r="M110" s="569"/>
      <c r="N110" s="569"/>
      <c r="O110" s="569"/>
      <c r="P110" s="569"/>
      <c r="Q110" s="569"/>
      <c r="R110" s="566"/>
      <c r="S110" s="537"/>
      <c r="T110" s="537"/>
      <c r="U110" s="537"/>
      <c r="V110" s="537"/>
      <c r="W110" s="537"/>
      <c r="X110" s="537"/>
      <c r="Y110" s="537"/>
      <c r="Z110" s="537"/>
      <c r="AA110" s="537"/>
      <c r="AB110" s="537"/>
      <c r="AC110" s="537"/>
      <c r="AD110" s="537"/>
      <c r="AE110" s="537"/>
      <c r="AF110" s="566"/>
      <c r="AG110" s="537"/>
      <c r="AH110" s="537"/>
      <c r="AI110" s="537"/>
      <c r="AJ110" s="537"/>
      <c r="AK110" s="547"/>
      <c r="AL110" s="547"/>
      <c r="AM110" s="547"/>
      <c r="AN110" s="533"/>
    </row>
    <row r="111" spans="1:47" s="534" customFormat="1" ht="12.75" customHeight="1">
      <c r="A111" s="536" t="s">
        <v>1323</v>
      </c>
      <c r="B111" s="537" t="s">
        <v>1324</v>
      </c>
      <c r="C111" s="537"/>
      <c r="D111" s="537"/>
      <c r="E111" s="537"/>
      <c r="F111" s="537"/>
      <c r="G111" s="537"/>
      <c r="H111" s="537"/>
      <c r="I111" s="537"/>
      <c r="J111" s="537"/>
      <c r="K111" s="537"/>
      <c r="L111" s="537"/>
      <c r="M111" s="537"/>
      <c r="N111" s="537"/>
      <c r="O111" s="537"/>
      <c r="P111" s="537"/>
      <c r="Q111" s="537"/>
      <c r="R111" s="537"/>
      <c r="S111" s="537"/>
      <c r="T111" s="537"/>
      <c r="U111" s="537"/>
      <c r="V111" s="537"/>
      <c r="W111" s="537"/>
      <c r="X111" s="537"/>
      <c r="Y111" s="537"/>
      <c r="Z111" s="537"/>
      <c r="AA111" s="537"/>
      <c r="AB111" s="537"/>
      <c r="AC111" s="537"/>
      <c r="AD111" s="537"/>
      <c r="AE111" s="1302" t="s">
        <v>1305</v>
      </c>
      <c r="AF111" s="1302"/>
      <c r="AG111" s="1302"/>
      <c r="AH111" s="1302"/>
      <c r="AI111" s="1302"/>
      <c r="AJ111" s="1302"/>
      <c r="AK111" s="1302"/>
      <c r="AL111" s="538"/>
      <c r="AM111" s="538"/>
      <c r="AN111" s="533"/>
      <c r="AO111" s="534" t="str">
        <f>Application!B726</f>
        <v>1 Bedroom</v>
      </c>
      <c r="AQ111" s="534">
        <f>Application!O726</f>
        <v>691</v>
      </c>
    </row>
    <row r="112" spans="1:47" s="534" customFormat="1" ht="12.75" customHeight="1">
      <c r="A112" s="538"/>
      <c r="B112" s="537" t="s">
        <v>1315</v>
      </c>
      <c r="C112" s="537"/>
      <c r="D112" s="537"/>
      <c r="E112" s="537"/>
      <c r="F112" s="537"/>
      <c r="G112" s="537"/>
      <c r="H112" s="537"/>
      <c r="I112" s="537"/>
      <c r="J112" s="537"/>
      <c r="K112" s="537"/>
      <c r="L112" s="537"/>
      <c r="M112" s="537"/>
      <c r="N112" s="537"/>
      <c r="O112" s="537"/>
      <c r="P112" s="537"/>
      <c r="Q112" s="537"/>
      <c r="R112" s="537"/>
      <c r="S112" s="537"/>
      <c r="T112" s="537"/>
      <c r="U112" s="537"/>
      <c r="V112" s="537"/>
      <c r="W112" s="537"/>
      <c r="X112" s="537"/>
      <c r="Y112" s="537"/>
      <c r="Z112" s="537"/>
      <c r="AA112" s="537"/>
      <c r="AB112" s="537"/>
      <c r="AC112" s="537"/>
      <c r="AD112" s="537"/>
      <c r="AE112" s="541"/>
      <c r="AF112" s="541"/>
      <c r="AG112" s="541"/>
      <c r="AH112" s="541"/>
      <c r="AI112" s="541"/>
      <c r="AJ112" s="541"/>
      <c r="AK112" s="538"/>
      <c r="AL112" s="538"/>
      <c r="AM112" s="538"/>
      <c r="AN112" s="533"/>
      <c r="AO112" s="534" t="str">
        <f>Application!B727</f>
        <v>1 Bedroom</v>
      </c>
      <c r="AQ112" s="534">
        <f>Application!O727</f>
        <v>1174</v>
      </c>
    </row>
    <row r="113" spans="1:52" s="534" customFormat="1" ht="12.75" customHeight="1">
      <c r="A113" s="538"/>
      <c r="B113" s="537"/>
      <c r="C113" s="537"/>
      <c r="D113" s="537"/>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38"/>
      <c r="AL113" s="538"/>
      <c r="AM113" s="538"/>
      <c r="AN113" s="533"/>
      <c r="AO113" s="534" t="str">
        <f>Application!B728</f>
        <v>1 Bedroom</v>
      </c>
      <c r="AQ113" s="534">
        <f>Application!O728</f>
        <v>1415</v>
      </c>
    </row>
    <row r="114" spans="1:52" s="534" customFormat="1" ht="12.75" customHeight="1">
      <c r="A114" s="538"/>
      <c r="B114" s="1274" t="s">
        <v>544</v>
      </c>
      <c r="C114" s="1274"/>
      <c r="D114" s="544" t="s">
        <v>1306</v>
      </c>
      <c r="E114" s="1284" t="s">
        <v>2554</v>
      </c>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1285"/>
      <c r="AI114" s="1285"/>
      <c r="AJ114" s="1286"/>
      <c r="AK114" s="538"/>
      <c r="AL114" s="538"/>
      <c r="AM114" s="538"/>
      <c r="AN114" s="533"/>
      <c r="AO114" s="534" t="str">
        <f>Application!B729</f>
        <v>1 Bedroom</v>
      </c>
      <c r="AQ114" s="534">
        <f>Application!O729</f>
        <v>1656</v>
      </c>
      <c r="AU114" s="534" t="s">
        <v>1813</v>
      </c>
      <c r="AV114" s="591" t="s">
        <v>1814</v>
      </c>
      <c r="AW114" s="534" t="s">
        <v>1815</v>
      </c>
    </row>
    <row r="115" spans="1:52" s="534" customFormat="1" ht="12.75" customHeight="1">
      <c r="A115" s="538"/>
      <c r="B115" s="537"/>
      <c r="C115" s="537"/>
      <c r="D115" s="537"/>
      <c r="E115" s="1303"/>
      <c r="F115" s="1304"/>
      <c r="G115" s="1304"/>
      <c r="H115" s="1304"/>
      <c r="I115" s="1304"/>
      <c r="J115" s="1304"/>
      <c r="K115" s="1304"/>
      <c r="L115" s="1304"/>
      <c r="M115" s="1304"/>
      <c r="N115" s="1304"/>
      <c r="O115" s="1304"/>
      <c r="P115" s="1304"/>
      <c r="Q115" s="1304"/>
      <c r="R115" s="1304"/>
      <c r="S115" s="1304"/>
      <c r="T115" s="1304"/>
      <c r="U115" s="1304"/>
      <c r="V115" s="1304"/>
      <c r="W115" s="1304"/>
      <c r="X115" s="1304"/>
      <c r="Y115" s="1304"/>
      <c r="Z115" s="1304"/>
      <c r="AA115" s="1304"/>
      <c r="AB115" s="1304"/>
      <c r="AC115" s="1304"/>
      <c r="AD115" s="1304"/>
      <c r="AE115" s="1304"/>
      <c r="AF115" s="1304"/>
      <c r="AG115" s="1304"/>
      <c r="AH115" s="1304"/>
      <c r="AI115" s="1304"/>
      <c r="AJ115" s="1305"/>
      <c r="AK115" s="538"/>
      <c r="AL115" s="538"/>
      <c r="AM115" s="538"/>
      <c r="AN115" s="533"/>
      <c r="AO115" s="534" t="str">
        <f>Application!B730</f>
        <v>2 Bedrooms</v>
      </c>
      <c r="AQ115" s="534">
        <f>Application!O730</f>
        <v>834</v>
      </c>
      <c r="AU115" s="850" t="str">
        <f>E123</f>
        <v>Studio/SRO</v>
      </c>
      <c r="AV115" s="534">
        <f t="array" ref="AV115">SUM(IF(Application!B726:F760="SRO/Studio",Application!G726:J760))</f>
        <v>0</v>
      </c>
      <c r="AW115" s="1003">
        <f>AV115/AV121</f>
        <v>0</v>
      </c>
    </row>
    <row r="116" spans="1:52" s="534" customFormat="1" ht="12.75" customHeight="1">
      <c r="A116" s="538"/>
      <c r="B116" s="537"/>
      <c r="C116" s="537"/>
      <c r="D116" s="537"/>
      <c r="E116" s="1303"/>
      <c r="F116" s="1304"/>
      <c r="G116" s="1304"/>
      <c r="H116" s="1304"/>
      <c r="I116" s="1304"/>
      <c r="J116" s="1304"/>
      <c r="K116" s="1304"/>
      <c r="L116" s="1304"/>
      <c r="M116" s="1304"/>
      <c r="N116" s="1304"/>
      <c r="O116" s="1304"/>
      <c r="P116" s="1304"/>
      <c r="Q116" s="1304"/>
      <c r="R116" s="1304"/>
      <c r="S116" s="1304"/>
      <c r="T116" s="1304"/>
      <c r="U116" s="1304"/>
      <c r="V116" s="1304"/>
      <c r="W116" s="1304"/>
      <c r="X116" s="1304"/>
      <c r="Y116" s="1304"/>
      <c r="Z116" s="1304"/>
      <c r="AA116" s="1304"/>
      <c r="AB116" s="1304"/>
      <c r="AC116" s="1304"/>
      <c r="AD116" s="1304"/>
      <c r="AE116" s="1304"/>
      <c r="AF116" s="1304"/>
      <c r="AG116" s="1304"/>
      <c r="AH116" s="1304"/>
      <c r="AI116" s="1304"/>
      <c r="AJ116" s="1305"/>
      <c r="AK116" s="538"/>
      <c r="AL116" s="538"/>
      <c r="AM116" s="538"/>
      <c r="AN116" s="533"/>
      <c r="AO116" s="534" t="str">
        <f>Application!B731</f>
        <v>2 Bedrooms</v>
      </c>
      <c r="AQ116" s="534">
        <f>Application!O731</f>
        <v>1413</v>
      </c>
      <c r="AU116" s="850" t="str">
        <f>J123</f>
        <v>1-bedroom</v>
      </c>
      <c r="AV116" s="534">
        <f t="array" ref="AV116">SUM(IF(Application!B726:F760="1 Bedroom",Application!G726:J760))</f>
        <v>56</v>
      </c>
      <c r="AW116" s="1003">
        <f>AV116/AV121</f>
        <v>0.47457627118644069</v>
      </c>
    </row>
    <row r="117" spans="1:52" s="534" customFormat="1" ht="12.75" customHeight="1">
      <c r="A117" s="538"/>
      <c r="B117" s="537"/>
      <c r="C117" s="537"/>
      <c r="D117" s="537"/>
      <c r="E117" s="1303"/>
      <c r="F117" s="1304"/>
      <c r="G117" s="1304"/>
      <c r="H117" s="1304"/>
      <c r="I117" s="1304"/>
      <c r="J117" s="1304"/>
      <c r="K117" s="1304"/>
      <c r="L117" s="1304"/>
      <c r="M117" s="1304"/>
      <c r="N117" s="1304"/>
      <c r="O117" s="1304"/>
      <c r="P117" s="1304"/>
      <c r="Q117" s="1304"/>
      <c r="R117" s="1304"/>
      <c r="S117" s="1304"/>
      <c r="T117" s="1304"/>
      <c r="U117" s="1304"/>
      <c r="V117" s="1304"/>
      <c r="W117" s="1304"/>
      <c r="X117" s="1304"/>
      <c r="Y117" s="1304"/>
      <c r="Z117" s="1304"/>
      <c r="AA117" s="1304"/>
      <c r="AB117" s="1304"/>
      <c r="AC117" s="1304"/>
      <c r="AD117" s="1304"/>
      <c r="AE117" s="1304"/>
      <c r="AF117" s="1304"/>
      <c r="AG117" s="1304"/>
      <c r="AH117" s="1304"/>
      <c r="AI117" s="1304"/>
      <c r="AJ117" s="1305"/>
      <c r="AK117" s="538"/>
      <c r="AL117" s="538"/>
      <c r="AM117" s="538"/>
      <c r="AN117" s="533"/>
      <c r="AO117" s="534" t="str">
        <f>Application!B732</f>
        <v>2 Bedrooms</v>
      </c>
      <c r="AQ117" s="534">
        <f>Application!O732</f>
        <v>1703</v>
      </c>
      <c r="AU117" s="850" t="str">
        <f>O123</f>
        <v>2-bedroom</v>
      </c>
      <c r="AV117" s="534">
        <f t="array" ref="AV117">SUM(IF(Application!B726:F760="2 Bedrooms",Application!G726:J760))</f>
        <v>30</v>
      </c>
      <c r="AW117" s="1003">
        <f>AV117/AV121</f>
        <v>0.25423728813559321</v>
      </c>
    </row>
    <row r="118" spans="1:52" s="534" customFormat="1" ht="12.75" customHeight="1">
      <c r="A118" s="538"/>
      <c r="B118" s="537"/>
      <c r="C118" s="537"/>
      <c r="D118" s="537"/>
      <c r="E118" s="1303"/>
      <c r="F118" s="1304"/>
      <c r="G118" s="1304"/>
      <c r="H118" s="1304"/>
      <c r="I118" s="1304"/>
      <c r="J118" s="1304"/>
      <c r="K118" s="1304"/>
      <c r="L118" s="1304"/>
      <c r="M118" s="1304"/>
      <c r="N118" s="1304"/>
      <c r="O118" s="1304"/>
      <c r="P118" s="1304"/>
      <c r="Q118" s="1304"/>
      <c r="R118" s="1304"/>
      <c r="S118" s="1304"/>
      <c r="T118" s="1304"/>
      <c r="U118" s="1304"/>
      <c r="V118" s="1304"/>
      <c r="W118" s="1304"/>
      <c r="X118" s="1304"/>
      <c r="Y118" s="1304"/>
      <c r="Z118" s="1304"/>
      <c r="AA118" s="1304"/>
      <c r="AB118" s="1304"/>
      <c r="AC118" s="1304"/>
      <c r="AD118" s="1304"/>
      <c r="AE118" s="1304"/>
      <c r="AF118" s="1304"/>
      <c r="AG118" s="1304"/>
      <c r="AH118" s="1304"/>
      <c r="AI118" s="1304"/>
      <c r="AJ118" s="1305"/>
      <c r="AK118" s="538"/>
      <c r="AL118" s="538"/>
      <c r="AM118" s="538"/>
      <c r="AN118" s="533"/>
      <c r="AO118" s="534" t="str">
        <f>Application!B733</f>
        <v>2 Bedrooms</v>
      </c>
      <c r="AQ118" s="534">
        <f>Application!O733</f>
        <v>1992</v>
      </c>
      <c r="AU118" s="850" t="str">
        <f>T123</f>
        <v>3-bedroom</v>
      </c>
      <c r="AV118" s="534">
        <f t="array" ref="AV118">SUM(IF(Application!B726:F760="3 Bedrooms",Application!G726:J760))</f>
        <v>32</v>
      </c>
      <c r="AW118" s="1003">
        <f>AV118/AV121</f>
        <v>0.2711864406779661</v>
      </c>
    </row>
    <row r="119" spans="1:52" s="534" customFormat="1" ht="12.75" customHeight="1">
      <c r="A119" s="538"/>
      <c r="B119" s="537"/>
      <c r="C119" s="537"/>
      <c r="D119" s="537"/>
      <c r="E119" s="1303"/>
      <c r="F119" s="1304"/>
      <c r="G119" s="1304"/>
      <c r="H119" s="1304"/>
      <c r="I119" s="1304"/>
      <c r="J119" s="1304"/>
      <c r="K119" s="1304"/>
      <c r="L119" s="1304"/>
      <c r="M119" s="1304"/>
      <c r="N119" s="1304"/>
      <c r="O119" s="1304"/>
      <c r="P119" s="1304"/>
      <c r="Q119" s="1304"/>
      <c r="R119" s="1304"/>
      <c r="S119" s="1304"/>
      <c r="T119" s="1304"/>
      <c r="U119" s="1304"/>
      <c r="V119" s="1304"/>
      <c r="W119" s="1304"/>
      <c r="X119" s="1304"/>
      <c r="Y119" s="1304"/>
      <c r="Z119" s="1304"/>
      <c r="AA119" s="1304"/>
      <c r="AB119" s="1304"/>
      <c r="AC119" s="1304"/>
      <c r="AD119" s="1304"/>
      <c r="AE119" s="1304"/>
      <c r="AF119" s="1304"/>
      <c r="AG119" s="1304"/>
      <c r="AH119" s="1304"/>
      <c r="AI119" s="1304"/>
      <c r="AJ119" s="1305"/>
      <c r="AK119" s="538"/>
      <c r="AL119" s="538"/>
      <c r="AM119" s="538"/>
      <c r="AN119" s="533"/>
      <c r="AO119" s="534" t="str">
        <f>Application!B734</f>
        <v>3 Bedrooms</v>
      </c>
      <c r="AQ119" s="534">
        <f>Application!O734</f>
        <v>968</v>
      </c>
      <c r="AU119" s="850" t="str">
        <f>Y123</f>
        <v>4-bedroom</v>
      </c>
      <c r="AV119" s="534">
        <f t="array" ref="AV119">SUM(IF(Application!B726:F760="4 Bedrooms",Application!G726:J760))</f>
        <v>0</v>
      </c>
      <c r="AW119" s="1003">
        <f>AV119/AV121</f>
        <v>0</v>
      </c>
    </row>
    <row r="120" spans="1:52" s="534" customFormat="1" ht="12.75" customHeight="1">
      <c r="A120" s="538"/>
      <c r="B120" s="537"/>
      <c r="C120" s="537"/>
      <c r="D120" s="537"/>
      <c r="E120" s="1303"/>
      <c r="F120" s="1304"/>
      <c r="G120" s="1304"/>
      <c r="H120" s="1304"/>
      <c r="I120" s="1304"/>
      <c r="J120" s="1304"/>
      <c r="K120" s="1304"/>
      <c r="L120" s="1304"/>
      <c r="M120" s="1304"/>
      <c r="N120" s="1304"/>
      <c r="O120" s="1304"/>
      <c r="P120" s="1304"/>
      <c r="Q120" s="1304"/>
      <c r="R120" s="1304"/>
      <c r="S120" s="1304"/>
      <c r="T120" s="1304"/>
      <c r="U120" s="1304"/>
      <c r="V120" s="1304"/>
      <c r="W120" s="1304"/>
      <c r="X120" s="1304"/>
      <c r="Y120" s="1304"/>
      <c r="Z120" s="1304"/>
      <c r="AA120" s="1304"/>
      <c r="AB120" s="1304"/>
      <c r="AC120" s="1304"/>
      <c r="AD120" s="1304"/>
      <c r="AE120" s="1304"/>
      <c r="AF120" s="1304"/>
      <c r="AG120" s="1304"/>
      <c r="AH120" s="1304"/>
      <c r="AI120" s="1304"/>
      <c r="AJ120" s="1305"/>
      <c r="AK120" s="538"/>
      <c r="AL120" s="538"/>
      <c r="AM120" s="538"/>
      <c r="AN120" s="533"/>
      <c r="AO120" s="534" t="str">
        <f>Application!B735</f>
        <v>3 Bedrooms</v>
      </c>
      <c r="AQ120" s="534">
        <f>Application!O735</f>
        <v>1635.51</v>
      </c>
      <c r="AU120" s="850" t="str">
        <f>AD123</f>
        <v>5-bedroom</v>
      </c>
      <c r="AV120" s="534">
        <f t="array" ref="AV120">SUM(IF(Application!B726:F760="5 Bedrooms",Application!G726:J760))</f>
        <v>0</v>
      </c>
      <c r="AW120" s="1003">
        <f>AV120/AV121</f>
        <v>0</v>
      </c>
    </row>
    <row r="121" spans="1:52" s="534" customFormat="1" ht="12.75" customHeight="1">
      <c r="A121" s="538"/>
      <c r="B121" s="537"/>
      <c r="C121" s="537"/>
      <c r="D121" s="537"/>
      <c r="E121" s="1303"/>
      <c r="F121" s="1304"/>
      <c r="G121" s="1304"/>
      <c r="H121" s="1304"/>
      <c r="I121" s="1304"/>
      <c r="J121" s="1304"/>
      <c r="K121" s="1304"/>
      <c r="L121" s="1304"/>
      <c r="M121" s="1304"/>
      <c r="N121" s="1304"/>
      <c r="O121" s="1304"/>
      <c r="P121" s="1304"/>
      <c r="Q121" s="1304"/>
      <c r="R121" s="1304"/>
      <c r="S121" s="1304"/>
      <c r="T121" s="1304"/>
      <c r="U121" s="1304"/>
      <c r="V121" s="1304"/>
      <c r="W121" s="1304"/>
      <c r="X121" s="1304"/>
      <c r="Y121" s="1304"/>
      <c r="Z121" s="1304"/>
      <c r="AA121" s="1304"/>
      <c r="AB121" s="1304"/>
      <c r="AC121" s="1304"/>
      <c r="AD121" s="1304"/>
      <c r="AE121" s="1304"/>
      <c r="AF121" s="1304"/>
      <c r="AG121" s="1304"/>
      <c r="AH121" s="1304"/>
      <c r="AI121" s="1304"/>
      <c r="AJ121" s="1305"/>
      <c r="AK121" s="538"/>
      <c r="AL121" s="538"/>
      <c r="AM121" s="538"/>
      <c r="AN121" s="533"/>
      <c r="AO121" s="534" t="str">
        <f>Application!B736</f>
        <v>3 Bedrooms</v>
      </c>
      <c r="AQ121" s="534">
        <f>Application!O736</f>
        <v>1970.51</v>
      </c>
      <c r="AV121" s="534">
        <f>SUM(AV115:AV120)</f>
        <v>118</v>
      </c>
      <c r="AW121" s="1003">
        <f>SUM(AW115:AW120)</f>
        <v>1</v>
      </c>
    </row>
    <row r="122" spans="1:52" s="534" customFormat="1" ht="12.75" customHeight="1">
      <c r="A122" s="538"/>
      <c r="B122" s="537"/>
      <c r="C122" s="537"/>
      <c r="D122" s="537"/>
      <c r="E122" s="582"/>
      <c r="F122" s="549"/>
      <c r="G122" s="549"/>
      <c r="H122" s="549"/>
      <c r="I122" s="549"/>
      <c r="J122" s="549"/>
      <c r="K122" s="549"/>
      <c r="L122" s="549"/>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50"/>
      <c r="AK122" s="538"/>
      <c r="AL122" s="538"/>
      <c r="AM122" s="538"/>
      <c r="AN122" s="533"/>
      <c r="AO122" s="534" t="str">
        <f>Application!B737</f>
        <v>3 Bedrooms</v>
      </c>
      <c r="AQ122" s="534">
        <f>Application!O737</f>
        <v>2304.5100000000002</v>
      </c>
    </row>
    <row r="123" spans="1:52" s="534" customFormat="1" ht="12.75" customHeight="1">
      <c r="A123" s="538"/>
      <c r="B123" s="537"/>
      <c r="C123" s="538"/>
      <c r="D123" s="538"/>
      <c r="E123" s="1296" t="s">
        <v>1574</v>
      </c>
      <c r="F123" s="1297"/>
      <c r="G123" s="1297"/>
      <c r="H123" s="1297"/>
      <c r="I123" s="573"/>
      <c r="J123" s="1297" t="s">
        <v>1617</v>
      </c>
      <c r="K123" s="1297"/>
      <c r="L123" s="1297"/>
      <c r="M123" s="1297"/>
      <c r="N123" s="573"/>
      <c r="O123" s="1297" t="s">
        <v>1618</v>
      </c>
      <c r="P123" s="1297"/>
      <c r="Q123" s="1297"/>
      <c r="R123" s="1297"/>
      <c r="S123" s="573"/>
      <c r="T123" s="1297" t="s">
        <v>1325</v>
      </c>
      <c r="U123" s="1297"/>
      <c r="V123" s="1297"/>
      <c r="W123" s="1297"/>
      <c r="X123" s="573"/>
      <c r="Y123" s="1297" t="s">
        <v>1619</v>
      </c>
      <c r="Z123" s="1297"/>
      <c r="AA123" s="1297"/>
      <c r="AB123" s="1297"/>
      <c r="AC123" s="573"/>
      <c r="AD123" s="1297" t="s">
        <v>1620</v>
      </c>
      <c r="AE123" s="1297"/>
      <c r="AF123" s="1297"/>
      <c r="AG123" s="1297"/>
      <c r="AH123" s="573"/>
      <c r="AI123" s="573"/>
      <c r="AJ123" s="575"/>
      <c r="AK123" s="538"/>
      <c r="AL123" s="538"/>
      <c r="AM123" s="538"/>
      <c r="AN123" s="533"/>
      <c r="AO123" s="534">
        <f>Application!B738</f>
        <v>0</v>
      </c>
      <c r="AQ123" s="534">
        <f>Application!O738</f>
        <v>0</v>
      </c>
    </row>
    <row r="124" spans="1:52" s="534" customFormat="1" ht="12.75" customHeight="1">
      <c r="A124" s="538"/>
      <c r="B124" s="537"/>
      <c r="C124" s="538"/>
      <c r="D124" s="538"/>
      <c r="E124" s="859"/>
      <c r="F124" s="857"/>
      <c r="G124" s="857"/>
      <c r="H124" s="857"/>
      <c r="I124" s="573"/>
      <c r="J124" s="857"/>
      <c r="K124" s="857"/>
      <c r="L124" s="857"/>
      <c r="M124" s="857"/>
      <c r="N124" s="573"/>
      <c r="O124" s="857"/>
      <c r="P124" s="857"/>
      <c r="Q124" s="857"/>
      <c r="R124" s="857"/>
      <c r="S124" s="573"/>
      <c r="T124" s="857"/>
      <c r="U124" s="857"/>
      <c r="V124" s="857"/>
      <c r="W124" s="857"/>
      <c r="X124" s="573"/>
      <c r="Y124" s="857"/>
      <c r="Z124" s="857"/>
      <c r="AA124" s="857"/>
      <c r="AB124" s="857"/>
      <c r="AC124" s="573"/>
      <c r="AD124" s="857"/>
      <c r="AE124" s="857"/>
      <c r="AF124" s="857"/>
      <c r="AG124" s="857"/>
      <c r="AH124" s="573"/>
      <c r="AI124" s="573"/>
      <c r="AJ124" s="575"/>
      <c r="AK124" s="538"/>
      <c r="AL124" s="538"/>
      <c r="AM124" s="538"/>
      <c r="AN124" s="533"/>
      <c r="AO124" s="534">
        <f>Application!B739</f>
        <v>0</v>
      </c>
      <c r="AQ124" s="534">
        <f>Application!O739</f>
        <v>0</v>
      </c>
    </row>
    <row r="125" spans="1:52" s="534" customFormat="1" ht="12.75" customHeight="1">
      <c r="A125" s="538"/>
      <c r="B125" s="537"/>
      <c r="C125" s="538"/>
      <c r="D125" s="538"/>
      <c r="E125" s="860" t="s">
        <v>1621</v>
      </c>
      <c r="F125" s="857"/>
      <c r="G125" s="857"/>
      <c r="H125" s="857"/>
      <c r="I125" s="573"/>
      <c r="J125" s="857"/>
      <c r="K125" s="857"/>
      <c r="L125" s="857"/>
      <c r="M125" s="857"/>
      <c r="N125" s="573"/>
      <c r="O125" s="857"/>
      <c r="P125" s="857"/>
      <c r="Q125" s="857"/>
      <c r="R125" s="857"/>
      <c r="S125" s="573"/>
      <c r="T125" s="857"/>
      <c r="U125" s="857"/>
      <c r="V125" s="857"/>
      <c r="W125" s="857"/>
      <c r="X125" s="573"/>
      <c r="Y125" s="857"/>
      <c r="Z125" s="857"/>
      <c r="AA125" s="857"/>
      <c r="AB125" s="857"/>
      <c r="AC125" s="573"/>
      <c r="AD125" s="857"/>
      <c r="AE125" s="857"/>
      <c r="AF125" s="857"/>
      <c r="AG125" s="857"/>
      <c r="AH125" s="573"/>
      <c r="AI125" s="573"/>
      <c r="AJ125" s="575"/>
      <c r="AK125" s="538"/>
      <c r="AL125" s="538"/>
      <c r="AM125" s="538"/>
      <c r="AN125" s="533"/>
      <c r="AO125" s="534">
        <f>Application!B740</f>
        <v>0</v>
      </c>
      <c r="AQ125" s="534">
        <f>Application!O740</f>
        <v>0</v>
      </c>
    </row>
    <row r="126" spans="1:52" s="534" customFormat="1" ht="12.75" customHeight="1">
      <c r="A126" s="538"/>
      <c r="B126" s="537"/>
      <c r="C126" s="538"/>
      <c r="D126" s="538"/>
      <c r="E126" s="1333"/>
      <c r="F126" s="1334"/>
      <c r="G126" s="1334"/>
      <c r="H126" s="1334"/>
      <c r="I126" s="858"/>
      <c r="J126" s="1334">
        <v>1777</v>
      </c>
      <c r="K126" s="1334"/>
      <c r="L126" s="1334"/>
      <c r="M126" s="1334"/>
      <c r="N126" s="858"/>
      <c r="O126" s="1334">
        <v>2206</v>
      </c>
      <c r="P126" s="1334"/>
      <c r="Q126" s="1334"/>
      <c r="R126" s="1334"/>
      <c r="S126" s="858"/>
      <c r="T126" s="1334">
        <v>2992</v>
      </c>
      <c r="U126" s="1334"/>
      <c r="V126" s="1334"/>
      <c r="W126" s="1334"/>
      <c r="X126" s="858"/>
      <c r="Y126" s="1334"/>
      <c r="Z126" s="1334"/>
      <c r="AA126" s="1334"/>
      <c r="AB126" s="1334"/>
      <c r="AC126" s="858"/>
      <c r="AD126" s="1334"/>
      <c r="AE126" s="1334"/>
      <c r="AF126" s="1334"/>
      <c r="AG126" s="1334"/>
      <c r="AH126" s="573"/>
      <c r="AI126" s="573"/>
      <c r="AJ126" s="575"/>
      <c r="AK126" s="538"/>
      <c r="AL126" s="538"/>
      <c r="AM126" s="538"/>
      <c r="AN126" s="533"/>
      <c r="AO126" s="534">
        <f>Application!B741</f>
        <v>0</v>
      </c>
      <c r="AQ126" s="534">
        <f>Application!O741</f>
        <v>0</v>
      </c>
    </row>
    <row r="127" spans="1:52" s="534" customFormat="1" ht="12.75" customHeight="1">
      <c r="A127" s="538"/>
      <c r="B127" s="537"/>
      <c r="C127" s="538"/>
      <c r="D127" s="538"/>
      <c r="E127" s="859"/>
      <c r="F127" s="857"/>
      <c r="G127" s="857"/>
      <c r="H127" s="857"/>
      <c r="I127" s="573"/>
      <c r="J127" s="857"/>
      <c r="K127" s="857"/>
      <c r="L127" s="857"/>
      <c r="M127" s="857"/>
      <c r="N127" s="573"/>
      <c r="O127" s="857"/>
      <c r="P127" s="857"/>
      <c r="Q127" s="857"/>
      <c r="R127" s="857"/>
      <c r="S127" s="573"/>
      <c r="T127" s="857"/>
      <c r="U127" s="857"/>
      <c r="V127" s="857"/>
      <c r="W127" s="857"/>
      <c r="X127" s="573"/>
      <c r="Y127" s="857"/>
      <c r="Z127" s="857"/>
      <c r="AA127" s="857"/>
      <c r="AB127" s="857"/>
      <c r="AC127" s="573"/>
      <c r="AD127" s="857"/>
      <c r="AE127" s="857"/>
      <c r="AF127" s="857"/>
      <c r="AG127" s="857"/>
      <c r="AH127" s="573"/>
      <c r="AI127" s="573"/>
      <c r="AJ127" s="575"/>
      <c r="AK127" s="538"/>
      <c r="AL127" s="538"/>
      <c r="AM127" s="538"/>
      <c r="AN127" s="533"/>
      <c r="AO127" s="534">
        <f>Application!B742</f>
        <v>0</v>
      </c>
      <c r="AQ127" s="534">
        <f>Application!O742</f>
        <v>0</v>
      </c>
      <c r="AU127" s="1001"/>
      <c r="AV127" s="1001"/>
      <c r="AW127" s="1001"/>
      <c r="AX127" s="1001"/>
      <c r="AY127" s="1001"/>
      <c r="AZ127" s="1001"/>
    </row>
    <row r="128" spans="1:52" s="534" customFormat="1" ht="12.75" customHeight="1">
      <c r="A128" s="538"/>
      <c r="B128" s="537"/>
      <c r="C128" s="538"/>
      <c r="D128" s="538"/>
      <c r="E128" s="860" t="s">
        <v>1817</v>
      </c>
      <c r="F128" s="857"/>
      <c r="G128" s="857"/>
      <c r="H128" s="857"/>
      <c r="I128" s="573"/>
      <c r="J128" s="857"/>
      <c r="K128" s="857"/>
      <c r="L128" s="857"/>
      <c r="M128" s="857"/>
      <c r="N128" s="573"/>
      <c r="O128" s="857"/>
      <c r="P128" s="857"/>
      <c r="Q128" s="857"/>
      <c r="R128" s="857"/>
      <c r="S128" s="573"/>
      <c r="T128" s="857"/>
      <c r="U128" s="857"/>
      <c r="V128" s="857"/>
      <c r="W128" s="857"/>
      <c r="X128" s="573"/>
      <c r="Y128" s="857"/>
      <c r="Z128" s="857"/>
      <c r="AA128" s="857"/>
      <c r="AB128" s="857"/>
      <c r="AC128" s="573"/>
      <c r="AD128" s="857"/>
      <c r="AE128" s="857"/>
      <c r="AF128" s="857"/>
      <c r="AG128" s="857"/>
      <c r="AH128" s="573"/>
      <c r="AI128" s="573"/>
      <c r="AJ128" s="575"/>
      <c r="AK128" s="538"/>
      <c r="AL128" s="538"/>
      <c r="AM128" s="538"/>
      <c r="AN128" s="533"/>
      <c r="AO128" s="534">
        <f>Application!B743</f>
        <v>0</v>
      </c>
      <c r="AQ128" s="534">
        <f>Application!O743</f>
        <v>0</v>
      </c>
      <c r="AU128" s="1001"/>
      <c r="AV128" s="1001"/>
      <c r="AW128" s="1001"/>
      <c r="AX128" s="1001"/>
      <c r="AY128" s="1001"/>
      <c r="AZ128" s="1001"/>
    </row>
    <row r="129" spans="1:52" s="534" customFormat="1" ht="12.75" customHeight="1">
      <c r="A129" s="538"/>
      <c r="B129" s="537"/>
      <c r="C129" s="538"/>
      <c r="D129" s="538"/>
      <c r="E129" s="1307">
        <f>Application!DX678</f>
        <v>0</v>
      </c>
      <c r="F129" s="1308"/>
      <c r="G129" s="1308"/>
      <c r="H129" s="1308"/>
      <c r="I129" s="858"/>
      <c r="J129" s="1308">
        <f>Application!EC678</f>
        <v>1333.125</v>
      </c>
      <c r="K129" s="1308"/>
      <c r="L129" s="1308"/>
      <c r="M129" s="1308"/>
      <c r="N129" s="858"/>
      <c r="O129" s="1308">
        <f>Application!EH678</f>
        <v>1615.9</v>
      </c>
      <c r="P129" s="1308"/>
      <c r="Q129" s="1308"/>
      <c r="R129" s="1308"/>
      <c r="S129" s="862"/>
      <c r="T129" s="1308">
        <f>Application!EM678</f>
        <v>1865.8684374999998</v>
      </c>
      <c r="U129" s="1308"/>
      <c r="V129" s="1308"/>
      <c r="W129" s="1308"/>
      <c r="X129" s="862"/>
      <c r="Y129" s="1308">
        <f>Application!ER678</f>
        <v>0</v>
      </c>
      <c r="Z129" s="1308"/>
      <c r="AA129" s="1308"/>
      <c r="AB129" s="1308"/>
      <c r="AC129" s="862"/>
      <c r="AD129" s="1308">
        <f>Application!EW678</f>
        <v>0</v>
      </c>
      <c r="AE129" s="1308"/>
      <c r="AF129" s="1308"/>
      <c r="AG129" s="1308"/>
      <c r="AH129" s="573"/>
      <c r="AI129" s="573"/>
      <c r="AJ129" s="575"/>
      <c r="AK129" s="538"/>
      <c r="AL129" s="538"/>
      <c r="AM129" s="538"/>
      <c r="AN129" s="533"/>
      <c r="AO129" s="534">
        <f>Application!B744</f>
        <v>0</v>
      </c>
      <c r="AQ129" s="534">
        <f>Application!O744</f>
        <v>0</v>
      </c>
      <c r="AU129" s="1001"/>
      <c r="AV129" s="1001"/>
      <c r="AW129" s="1002"/>
      <c r="AX129" s="1002"/>
      <c r="AY129" s="1001"/>
      <c r="AZ129" s="1001"/>
    </row>
    <row r="130" spans="1:52" s="534" customFormat="1" ht="12.75" customHeight="1">
      <c r="A130" s="538"/>
      <c r="B130" s="537"/>
      <c r="C130" s="538"/>
      <c r="D130" s="538"/>
      <c r="E130" s="861"/>
      <c r="F130" s="857"/>
      <c r="G130" s="857"/>
      <c r="H130" s="857"/>
      <c r="I130" s="573"/>
      <c r="J130" s="576"/>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5"/>
      <c r="AK130" s="538"/>
      <c r="AL130" s="538"/>
      <c r="AM130" s="538"/>
      <c r="AN130" s="533"/>
      <c r="AO130" s="534">
        <f>Application!B745</f>
        <v>0</v>
      </c>
      <c r="AQ130" s="534">
        <f>Application!O745</f>
        <v>0</v>
      </c>
      <c r="AU130" s="1001"/>
      <c r="AV130" s="1001"/>
      <c r="AW130" s="1002"/>
      <c r="AX130" s="1002"/>
      <c r="AY130" s="1001"/>
      <c r="AZ130" s="1001"/>
    </row>
    <row r="131" spans="1:52" s="534" customFormat="1" ht="12.75" customHeight="1">
      <c r="A131" s="538"/>
      <c r="B131" s="537"/>
      <c r="C131" s="538"/>
      <c r="D131" s="538"/>
      <c r="E131" s="860" t="s">
        <v>1818</v>
      </c>
      <c r="F131" s="857"/>
      <c r="G131" s="857"/>
      <c r="H131" s="857"/>
      <c r="I131" s="573"/>
      <c r="J131" s="576"/>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5"/>
      <c r="AK131" s="538"/>
      <c r="AL131" s="538"/>
      <c r="AM131" s="538"/>
      <c r="AN131" s="533"/>
      <c r="AO131" s="534">
        <f>Application!B746</f>
        <v>0</v>
      </c>
      <c r="AQ131" s="534">
        <f>Application!O746</f>
        <v>0</v>
      </c>
      <c r="AU131" s="1001"/>
      <c r="AV131" s="1001"/>
      <c r="AW131" s="1002"/>
      <c r="AX131" s="1002"/>
      <c r="AY131" s="1001"/>
      <c r="AZ131" s="1001"/>
    </row>
    <row r="132" spans="1:52" s="534" customFormat="1" ht="12.75" customHeight="1">
      <c r="A132" s="538"/>
      <c r="B132" s="537"/>
      <c r="C132" s="538"/>
      <c r="D132" s="538"/>
      <c r="E132" s="1507" t="e">
        <f>(E126-E129)/E126</f>
        <v>#DIV/0!</v>
      </c>
      <c r="F132" s="1299"/>
      <c r="G132" s="1299"/>
      <c r="H132" s="1508"/>
      <c r="I132" s="573"/>
      <c r="J132" s="1507">
        <f>(J126-J129)/J126</f>
        <v>0.24978897017445131</v>
      </c>
      <c r="K132" s="1299"/>
      <c r="L132" s="1299"/>
      <c r="M132" s="1508"/>
      <c r="N132" s="573"/>
      <c r="O132" s="1507">
        <f>(O126-O129)/O126</f>
        <v>0.26749773345421574</v>
      </c>
      <c r="P132" s="1299"/>
      <c r="Q132" s="1299"/>
      <c r="R132" s="1508"/>
      <c r="S132" s="573"/>
      <c r="T132" s="1507">
        <f>(T126-T129)/T126</f>
        <v>0.37638086981951879</v>
      </c>
      <c r="U132" s="1299"/>
      <c r="V132" s="1299"/>
      <c r="W132" s="1508"/>
      <c r="X132" s="573"/>
      <c r="Y132" s="1507" t="e">
        <f>(Y126-Y129)/Y126</f>
        <v>#DIV/0!</v>
      </c>
      <c r="Z132" s="1299"/>
      <c r="AA132" s="1299"/>
      <c r="AB132" s="1508"/>
      <c r="AC132" s="573"/>
      <c r="AD132" s="1507" t="e">
        <f>(AD126-AD129)/AD126</f>
        <v>#DIV/0!</v>
      </c>
      <c r="AE132" s="1299"/>
      <c r="AF132" s="1299"/>
      <c r="AG132" s="1508"/>
      <c r="AH132" s="573"/>
      <c r="AI132" s="573"/>
      <c r="AJ132" s="575"/>
      <c r="AK132" s="538"/>
      <c r="AL132" s="538"/>
      <c r="AM132" s="538"/>
      <c r="AN132" s="533"/>
      <c r="AO132" s="534">
        <f>Application!B747</f>
        <v>0</v>
      </c>
      <c r="AQ132" s="534">
        <f>Application!O747</f>
        <v>0</v>
      </c>
      <c r="AU132" s="1001"/>
      <c r="AV132" s="1001"/>
      <c r="AW132" s="1002"/>
      <c r="AX132" s="1002"/>
      <c r="AY132" s="1001"/>
      <c r="AZ132" s="1001"/>
    </row>
    <row r="133" spans="1:52" s="534" customFormat="1" ht="12.75" customHeight="1">
      <c r="A133" s="538"/>
      <c r="B133" s="537"/>
      <c r="C133" s="538"/>
      <c r="D133" s="538"/>
      <c r="E133" s="996"/>
      <c r="F133" s="995"/>
      <c r="G133" s="995"/>
      <c r="H133" s="995"/>
      <c r="I133" s="573"/>
      <c r="J133" s="995"/>
      <c r="K133" s="995"/>
      <c r="L133" s="995"/>
      <c r="M133" s="995"/>
      <c r="N133" s="573"/>
      <c r="O133" s="995"/>
      <c r="P133" s="995"/>
      <c r="Q133" s="995"/>
      <c r="R133" s="995"/>
      <c r="S133" s="573"/>
      <c r="T133" s="995"/>
      <c r="U133" s="995"/>
      <c r="V133" s="995"/>
      <c r="W133" s="995"/>
      <c r="X133" s="573"/>
      <c r="Y133" s="995"/>
      <c r="Z133" s="995"/>
      <c r="AA133" s="995"/>
      <c r="AB133" s="995"/>
      <c r="AC133" s="573"/>
      <c r="AD133" s="995"/>
      <c r="AE133" s="995"/>
      <c r="AF133" s="995"/>
      <c r="AG133" s="995"/>
      <c r="AH133" s="573"/>
      <c r="AI133" s="573"/>
      <c r="AJ133" s="575"/>
      <c r="AK133" s="538"/>
      <c r="AL133" s="538"/>
      <c r="AM133" s="538"/>
      <c r="AN133" s="533"/>
      <c r="AO133" s="534">
        <f>Application!B748</f>
        <v>0</v>
      </c>
      <c r="AQ133" s="534">
        <f>Application!O748</f>
        <v>0</v>
      </c>
      <c r="AU133" s="1001"/>
      <c r="AV133" s="1001"/>
      <c r="AW133" s="1002"/>
      <c r="AX133" s="1002"/>
      <c r="AY133" s="1001"/>
      <c r="AZ133" s="1001"/>
    </row>
    <row r="134" spans="1:52" s="534" customFormat="1" ht="12.75" customHeight="1">
      <c r="A134" s="538"/>
      <c r="B134" s="537"/>
      <c r="C134" s="538"/>
      <c r="D134" s="538"/>
      <c r="E134" s="997" t="s">
        <v>1819</v>
      </c>
      <c r="F134" s="995"/>
      <c r="G134" s="995"/>
      <c r="H134" s="995"/>
      <c r="I134" s="573"/>
      <c r="J134" s="995"/>
      <c r="K134" s="995"/>
      <c r="L134" s="995"/>
      <c r="M134" s="995"/>
      <c r="N134" s="573"/>
      <c r="O134" s="995"/>
      <c r="P134" s="995"/>
      <c r="Q134" s="995"/>
      <c r="R134" s="995"/>
      <c r="S134" s="573"/>
      <c r="T134" s="995"/>
      <c r="U134" s="995"/>
      <c r="V134" s="995"/>
      <c r="W134" s="995"/>
      <c r="X134" s="573"/>
      <c r="Y134" s="995"/>
      <c r="Z134" s="995"/>
      <c r="AA134" s="995"/>
      <c r="AB134" s="995"/>
      <c r="AC134" s="573"/>
      <c r="AD134" s="995"/>
      <c r="AE134" s="995"/>
      <c r="AF134" s="995"/>
      <c r="AG134" s="995"/>
      <c r="AH134" s="573"/>
      <c r="AI134" s="573"/>
      <c r="AJ134" s="575"/>
      <c r="AK134" s="538"/>
      <c r="AL134" s="538"/>
      <c r="AM134" s="538"/>
      <c r="AN134" s="533"/>
      <c r="AO134" s="534">
        <f>Application!B749</f>
        <v>0</v>
      </c>
      <c r="AQ134" s="534">
        <f>Application!O749</f>
        <v>0</v>
      </c>
      <c r="AU134" s="1002"/>
      <c r="AV134" s="1001"/>
      <c r="AW134" s="1002"/>
      <c r="AX134" s="1002"/>
      <c r="AY134" s="1001"/>
      <c r="AZ134" s="1001"/>
    </row>
    <row r="135" spans="1:52" s="534" customFormat="1" ht="12.75" customHeight="1">
      <c r="A135" s="538"/>
      <c r="B135" s="537"/>
      <c r="C135" s="538"/>
      <c r="D135" s="538"/>
      <c r="E135" s="1322" t="e">
        <f>IF(((E132-0.1)*AW115)&gt;0,((E132-0.1)*AW115),0)</f>
        <v>#DIV/0!</v>
      </c>
      <c r="F135" s="1323"/>
      <c r="G135" s="1323"/>
      <c r="H135" s="1324"/>
      <c r="I135" s="573"/>
      <c r="J135" s="1322">
        <f>IF(((J132-0.1)*AW116)&gt;0,((J132-0.1)*AW116),0)</f>
        <v>7.1086290930248083E-2</v>
      </c>
      <c r="K135" s="1323"/>
      <c r="L135" s="1323"/>
      <c r="M135" s="1324"/>
      <c r="N135" s="573"/>
      <c r="O135" s="1322">
        <f>IF(((O132-0.1)*AW117)&gt;0,((O132-0.1)*AW117),0)</f>
        <v>4.2584169522258235E-2</v>
      </c>
      <c r="P135" s="1323"/>
      <c r="Q135" s="1323"/>
      <c r="R135" s="1324"/>
      <c r="S135" s="573"/>
      <c r="T135" s="1322">
        <f>IF(((T132-0.1)*AW118)&gt;0,((T132-0.1)*AW118),0)</f>
        <v>7.4950744357835608E-2</v>
      </c>
      <c r="U135" s="1323"/>
      <c r="V135" s="1323"/>
      <c r="W135" s="1324"/>
      <c r="X135" s="573"/>
      <c r="Y135" s="1322" t="e">
        <f>IF(((Y132-0.1)*AW119)&gt;0,((Y132-0.1)*AW119),0)</f>
        <v>#DIV/0!</v>
      </c>
      <c r="Z135" s="1323"/>
      <c r="AA135" s="1323"/>
      <c r="AB135" s="1324"/>
      <c r="AC135" s="573"/>
      <c r="AD135" s="1322" t="e">
        <f>IF(((AD132-0.1)*AW120)&gt;0,((AD132-0.1)*AW120),0)</f>
        <v>#DIV/0!</v>
      </c>
      <c r="AE135" s="1323"/>
      <c r="AF135" s="1323"/>
      <c r="AG135" s="1324"/>
      <c r="AH135" s="573"/>
      <c r="AI135" s="573"/>
      <c r="AJ135" s="575"/>
      <c r="AK135" s="538"/>
      <c r="AL135" s="538"/>
      <c r="AM135" s="538"/>
      <c r="AN135" s="533"/>
      <c r="AO135" s="534">
        <f>Application!B760</f>
        <v>0</v>
      </c>
      <c r="AQ135" s="534">
        <f>Application!O760</f>
        <v>0</v>
      </c>
      <c r="AU135" s="1001"/>
      <c r="AV135" s="1001"/>
      <c r="AW135" s="1001"/>
      <c r="AX135" s="1002"/>
      <c r="AY135" s="1001"/>
      <c r="AZ135" s="1001"/>
    </row>
    <row r="136" spans="1:52" s="534" customFormat="1" ht="12.75" customHeight="1">
      <c r="A136" s="538"/>
      <c r="B136" s="537"/>
      <c r="C136" s="538"/>
      <c r="D136" s="538"/>
      <c r="E136" s="861"/>
      <c r="F136" s="857"/>
      <c r="G136" s="857"/>
      <c r="H136" s="857"/>
      <c r="I136" s="573"/>
      <c r="J136" s="576"/>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5"/>
      <c r="AK136" s="538"/>
      <c r="AL136" s="538"/>
      <c r="AM136" s="538"/>
      <c r="AN136" s="533"/>
      <c r="AU136" s="1001"/>
      <c r="AV136" s="1001"/>
      <c r="AW136" s="1001"/>
      <c r="AX136" s="1001"/>
      <c r="AY136" s="1001"/>
      <c r="AZ136" s="1001"/>
    </row>
    <row r="137" spans="1:52" s="534" customFormat="1" ht="12.75" customHeight="1">
      <c r="A137" s="538"/>
      <c r="B137" s="537"/>
      <c r="C137" s="538"/>
      <c r="D137" s="538"/>
      <c r="E137" s="1507">
        <f>ROUNDDOWN(SUMIF(E135:AG135,"&gt;0"),2)</f>
        <v>0.18</v>
      </c>
      <c r="F137" s="1299"/>
      <c r="G137" s="1299"/>
      <c r="H137" s="1508"/>
      <c r="I137" s="573"/>
      <c r="J137" s="576" t="s">
        <v>1820</v>
      </c>
      <c r="K137" s="573"/>
      <c r="L137" s="573"/>
      <c r="M137" s="573"/>
      <c r="N137" s="573"/>
      <c r="O137" s="573"/>
      <c r="P137" s="573"/>
      <c r="Q137" s="573"/>
      <c r="R137" s="573"/>
      <c r="S137" s="573"/>
      <c r="T137" s="573"/>
      <c r="U137" s="573"/>
      <c r="V137" s="573"/>
      <c r="W137" s="573"/>
      <c r="X137" s="573"/>
      <c r="Y137" s="573"/>
      <c r="Z137" s="573"/>
      <c r="AA137" s="573"/>
      <c r="AB137" s="573"/>
      <c r="AC137" s="573"/>
      <c r="AD137" s="863"/>
      <c r="AE137" s="863"/>
      <c r="AF137" s="863"/>
      <c r="AG137" s="863"/>
      <c r="AH137" s="573"/>
      <c r="AI137" s="573"/>
      <c r="AJ137" s="575"/>
      <c r="AK137" s="538"/>
      <c r="AL137" s="538"/>
      <c r="AM137" s="538"/>
      <c r="AN137" s="533"/>
      <c r="AU137" s="1001"/>
      <c r="AV137" s="1001"/>
      <c r="AW137" s="1001"/>
      <c r="AX137" s="1002"/>
      <c r="AY137" s="1001"/>
      <c r="AZ137" s="1001"/>
    </row>
    <row r="138" spans="1:52" s="534" customFormat="1" ht="12.75" customHeight="1">
      <c r="A138" s="538"/>
      <c r="B138" s="537"/>
      <c r="C138" s="538"/>
      <c r="D138" s="538"/>
      <c r="E138" s="1313">
        <f>IF((E137*100)&gt;10,10,E137*100)</f>
        <v>10</v>
      </c>
      <c r="F138" s="1314"/>
      <c r="G138" s="1314"/>
      <c r="H138" s="1315"/>
      <c r="I138" s="573"/>
      <c r="J138" s="576" t="s">
        <v>1319</v>
      </c>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5"/>
      <c r="AK138" s="538"/>
      <c r="AL138" s="538"/>
      <c r="AM138" s="538"/>
      <c r="AN138" s="533"/>
      <c r="AU138" s="1001"/>
      <c r="AV138" s="1001"/>
      <c r="AW138" s="1001"/>
      <c r="AX138" s="1001"/>
      <c r="AY138" s="1001"/>
      <c r="AZ138" s="1001"/>
    </row>
    <row r="139" spans="1:52" s="534" customFormat="1" ht="12.75" customHeight="1">
      <c r="A139" s="538"/>
      <c r="B139" s="538"/>
      <c r="C139" s="538"/>
      <c r="D139" s="538"/>
      <c r="E139" s="584"/>
      <c r="F139" s="585"/>
      <c r="G139" s="585"/>
      <c r="H139" s="585"/>
      <c r="I139" s="585"/>
      <c r="J139" s="585"/>
      <c r="K139" s="585"/>
      <c r="L139" s="585"/>
      <c r="M139" s="585"/>
      <c r="N139" s="585"/>
      <c r="O139" s="585"/>
      <c r="P139" s="585"/>
      <c r="Q139" s="585"/>
      <c r="R139" s="585"/>
      <c r="S139" s="585"/>
      <c r="T139" s="585"/>
      <c r="U139" s="585"/>
      <c r="V139" s="585"/>
      <c r="W139" s="585"/>
      <c r="X139" s="585"/>
      <c r="Y139" s="585"/>
      <c r="Z139" s="585"/>
      <c r="AA139" s="585"/>
      <c r="AB139" s="585"/>
      <c r="AC139" s="585"/>
      <c r="AD139" s="585"/>
      <c r="AE139" s="585"/>
      <c r="AF139" s="585"/>
      <c r="AG139" s="585"/>
      <c r="AH139" s="585"/>
      <c r="AI139" s="585"/>
      <c r="AJ139" s="586"/>
      <c r="AK139" s="538"/>
      <c r="AL139" s="538"/>
      <c r="AM139" s="538"/>
      <c r="AN139" s="533"/>
      <c r="AT139" s="994"/>
      <c r="AU139" s="1001"/>
      <c r="AV139" s="1001"/>
      <c r="AW139" s="1002"/>
      <c r="AX139" s="1001"/>
      <c r="AY139" s="1001"/>
      <c r="AZ139" s="1001"/>
    </row>
    <row r="140" spans="1:52" s="534" customFormat="1" ht="12.75" customHeight="1">
      <c r="A140" s="538"/>
      <c r="B140" s="538"/>
      <c r="C140" s="538"/>
      <c r="D140" s="538"/>
      <c r="E140" s="538"/>
      <c r="F140" s="538"/>
      <c r="G140" s="538"/>
      <c r="H140" s="538"/>
      <c r="I140" s="538"/>
      <c r="J140" s="538"/>
      <c r="K140" s="538"/>
      <c r="L140" s="538"/>
      <c r="M140" s="538"/>
      <c r="N140" s="538"/>
      <c r="O140" s="538"/>
      <c r="P140" s="538"/>
      <c r="Q140" s="538"/>
      <c r="R140" s="538"/>
      <c r="S140" s="538"/>
      <c r="T140" s="538"/>
      <c r="U140" s="538"/>
      <c r="V140" s="538"/>
      <c r="W140" s="538"/>
      <c r="X140" s="538"/>
      <c r="Y140" s="538"/>
      <c r="Z140" s="538"/>
      <c r="AA140" s="538"/>
      <c r="AB140" s="538"/>
      <c r="AC140" s="538"/>
      <c r="AD140" s="538"/>
      <c r="AE140" s="538"/>
      <c r="AF140" s="538"/>
      <c r="AG140" s="538"/>
      <c r="AH140" s="538"/>
      <c r="AI140" s="538"/>
      <c r="AJ140" s="538"/>
      <c r="AK140" s="538"/>
      <c r="AL140" s="538"/>
      <c r="AM140" s="538"/>
      <c r="AN140" s="533"/>
      <c r="AU140" s="1001"/>
      <c r="AV140" s="1001"/>
      <c r="AW140" s="1001"/>
      <c r="AX140" s="1001"/>
      <c r="AY140" s="1001"/>
      <c r="AZ140" s="1001"/>
    </row>
    <row r="141" spans="1:52" s="534" customFormat="1" ht="12.75" customHeight="1">
      <c r="A141" s="538"/>
      <c r="B141" s="538"/>
      <c r="C141" s="538"/>
      <c r="D141" s="538"/>
      <c r="E141" s="538"/>
      <c r="F141" s="538"/>
      <c r="G141" s="538"/>
      <c r="H141" s="538"/>
      <c r="I141" s="538"/>
      <c r="J141" s="538"/>
      <c r="K141" s="538"/>
      <c r="L141" s="538"/>
      <c r="M141" s="538"/>
      <c r="N141" s="538"/>
      <c r="O141" s="538"/>
      <c r="P141" s="538"/>
      <c r="Q141" s="538"/>
      <c r="R141" s="538"/>
      <c r="S141" s="538"/>
      <c r="T141" s="538"/>
      <c r="U141" s="538"/>
      <c r="V141" s="538"/>
      <c r="W141" s="538"/>
      <c r="X141" s="538"/>
      <c r="Y141" s="538"/>
      <c r="Z141" s="538"/>
      <c r="AA141" s="538"/>
      <c r="AB141" s="538"/>
      <c r="AC141" s="538"/>
      <c r="AD141" s="538"/>
      <c r="AE141" s="538"/>
      <c r="AF141" s="538"/>
      <c r="AG141" s="538"/>
      <c r="AH141" s="538"/>
      <c r="AI141" s="538"/>
      <c r="AJ141" s="538"/>
      <c r="AK141" s="538"/>
      <c r="AL141" s="538"/>
      <c r="AM141" s="538"/>
      <c r="AN141" s="533"/>
    </row>
    <row r="142" spans="1:52" s="534" customFormat="1" ht="12.75" customHeight="1">
      <c r="A142" s="557"/>
      <c r="B142" s="558"/>
      <c r="C142" s="558"/>
      <c r="D142" s="558"/>
      <c r="E142" s="558"/>
      <c r="F142" s="558"/>
      <c r="G142" s="559"/>
      <c r="H142" s="560"/>
      <c r="I142" s="560"/>
      <c r="J142" s="560"/>
      <c r="K142" s="560"/>
      <c r="L142" s="560"/>
      <c r="M142" s="560"/>
      <c r="N142" s="560"/>
      <c r="O142" s="560"/>
      <c r="P142" s="560"/>
      <c r="Q142" s="560"/>
      <c r="R142" s="560"/>
      <c r="S142" s="560"/>
      <c r="T142" s="560"/>
      <c r="U142" s="560"/>
      <c r="V142" s="560"/>
      <c r="W142" s="560"/>
      <c r="X142" s="560"/>
      <c r="Y142" s="560"/>
      <c r="Z142" s="560"/>
      <c r="AA142" s="560"/>
      <c r="AB142" s="560"/>
      <c r="AC142" s="560"/>
      <c r="AD142" s="560"/>
      <c r="AE142" s="560"/>
      <c r="AF142" s="560"/>
      <c r="AG142" s="560"/>
      <c r="AH142" s="560"/>
      <c r="AI142" s="561"/>
      <c r="AJ142" s="561" t="s">
        <v>1326</v>
      </c>
      <c r="AK142" s="1313">
        <f>E138</f>
        <v>10</v>
      </c>
      <c r="AL142" s="1314"/>
      <c r="AM142" s="1315"/>
      <c r="AN142" s="533"/>
    </row>
    <row r="143" spans="1:52" s="534" customFormat="1" ht="12.75" customHeight="1" thickBot="1">
      <c r="A143" s="562"/>
      <c r="B143" s="563"/>
      <c r="C143" s="564"/>
      <c r="D143" s="564"/>
      <c r="E143" s="564"/>
      <c r="F143" s="564"/>
      <c r="G143" s="564"/>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4"/>
      <c r="AJ143" s="564"/>
      <c r="AK143" s="564"/>
      <c r="AL143" s="564"/>
      <c r="AM143" s="565"/>
      <c r="AN143" s="533"/>
    </row>
    <row r="144" spans="1:52" s="534" customFormat="1" ht="12.75" customHeight="1" thickTop="1">
      <c r="A144" s="566"/>
      <c r="B144" s="567"/>
      <c r="C144" s="568"/>
      <c r="D144" s="568"/>
      <c r="E144" s="568"/>
      <c r="F144" s="568"/>
      <c r="G144" s="568"/>
      <c r="H144" s="568"/>
      <c r="I144" s="569"/>
      <c r="J144" s="569"/>
      <c r="K144" s="569"/>
      <c r="L144" s="569"/>
      <c r="M144" s="569"/>
      <c r="N144" s="569"/>
      <c r="O144" s="569"/>
      <c r="P144" s="569"/>
      <c r="Q144" s="569"/>
      <c r="R144" s="566"/>
      <c r="S144" s="537"/>
      <c r="T144" s="537"/>
      <c r="U144" s="537"/>
      <c r="V144" s="537"/>
      <c r="W144" s="537"/>
      <c r="X144" s="537"/>
      <c r="Y144" s="537"/>
      <c r="Z144" s="537"/>
      <c r="AA144" s="537"/>
      <c r="AB144" s="537"/>
      <c r="AC144" s="537"/>
      <c r="AD144" s="537"/>
      <c r="AE144" s="537"/>
      <c r="AF144" s="566"/>
      <c r="AG144" s="537"/>
      <c r="AH144" s="537"/>
      <c r="AI144" s="537"/>
      <c r="AJ144" s="537"/>
      <c r="AK144" s="547"/>
      <c r="AL144" s="547"/>
      <c r="AM144" s="547"/>
      <c r="AN144" s="533"/>
    </row>
    <row r="145" spans="1:42" s="537" customFormat="1" ht="12.75" customHeight="1">
      <c r="A145" s="536" t="s">
        <v>1327</v>
      </c>
      <c r="AE145" s="1302" t="s">
        <v>1305</v>
      </c>
      <c r="AF145" s="1302"/>
      <c r="AG145" s="1302"/>
      <c r="AH145" s="1302"/>
      <c r="AI145" s="1302"/>
      <c r="AJ145" s="1302"/>
      <c r="AK145" s="1302"/>
      <c r="AL145" s="587"/>
      <c r="AN145" s="588"/>
      <c r="AO145" s="534"/>
    </row>
    <row r="146" spans="1:42" s="537" customFormat="1" ht="12.95" customHeight="1">
      <c r="A146" s="536"/>
      <c r="AE146" s="587"/>
      <c r="AF146" s="587"/>
      <c r="AG146" s="587"/>
      <c r="AH146" s="587"/>
      <c r="AI146" s="587"/>
      <c r="AJ146" s="587"/>
      <c r="AK146" s="587"/>
      <c r="AL146" s="587"/>
      <c r="AN146" s="588"/>
    </row>
    <row r="147" spans="1:42" s="534" customFormat="1" ht="12.75" customHeight="1">
      <c r="A147" s="536"/>
      <c r="B147" s="536" t="s">
        <v>1328</v>
      </c>
      <c r="C147" s="537"/>
      <c r="D147" s="537"/>
      <c r="E147" s="537"/>
      <c r="F147" s="537"/>
      <c r="G147" s="537"/>
      <c r="H147" s="537"/>
      <c r="I147" s="537"/>
      <c r="J147" s="537"/>
      <c r="K147" s="537"/>
      <c r="L147" s="537"/>
      <c r="M147" s="537"/>
      <c r="N147" s="537"/>
      <c r="O147" s="537"/>
      <c r="P147" s="537"/>
      <c r="Q147" s="537"/>
      <c r="R147" s="537"/>
      <c r="S147" s="537"/>
      <c r="T147" s="537"/>
      <c r="U147" s="537"/>
      <c r="V147" s="537"/>
      <c r="W147" s="537"/>
      <c r="X147" s="537"/>
      <c r="Y147" s="537"/>
      <c r="Z147" s="537"/>
      <c r="AA147" s="537"/>
      <c r="AB147" s="537"/>
      <c r="AC147" s="537"/>
      <c r="AD147" s="537"/>
      <c r="AF147" s="1335" t="s">
        <v>1329</v>
      </c>
      <c r="AG147" s="1335"/>
      <c r="AH147" s="1335"/>
      <c r="AI147" s="1335"/>
      <c r="AJ147" s="1335"/>
      <c r="AK147" s="1335"/>
      <c r="AL147" s="1335"/>
      <c r="AM147" s="537"/>
      <c r="AN147" s="533"/>
    </row>
    <row r="148" spans="1:42" s="534" customFormat="1" ht="12.75" customHeight="1">
      <c r="A148" s="536"/>
      <c r="B148" s="536" t="s">
        <v>531</v>
      </c>
      <c r="C148" s="601"/>
      <c r="D148" s="601"/>
      <c r="E148" s="601"/>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537"/>
      <c r="AL148" s="590"/>
      <c r="AM148" s="537"/>
      <c r="AN148" s="533"/>
    </row>
    <row r="149" spans="1:42" s="534" customFormat="1" ht="15" customHeight="1">
      <c r="A149" s="536"/>
      <c r="B149" s="1345" t="s">
        <v>2659</v>
      </c>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c r="X149" s="1345"/>
      <c r="Y149" s="1345"/>
      <c r="Z149" s="1345"/>
      <c r="AA149" s="1345"/>
      <c r="AB149" s="1345"/>
      <c r="AC149" s="1345"/>
      <c r="AD149" s="537"/>
      <c r="AE149" s="590"/>
      <c r="AF149" s="590"/>
      <c r="AG149" s="590"/>
      <c r="AH149" s="590"/>
      <c r="AI149" s="590"/>
      <c r="AJ149" s="590"/>
      <c r="AK149" s="590"/>
      <c r="AL149" s="590"/>
      <c r="AM149" s="537"/>
      <c r="AN149" s="533"/>
      <c r="AP149" s="591"/>
    </row>
    <row r="150" spans="1:42" s="534" customFormat="1" ht="12.75" customHeight="1">
      <c r="A150" s="536"/>
      <c r="B150" s="536"/>
      <c r="C150" s="537"/>
      <c r="D150" s="537"/>
      <c r="E150" s="537"/>
      <c r="F150" s="537"/>
      <c r="G150" s="537"/>
      <c r="H150" s="537"/>
      <c r="I150" s="537"/>
      <c r="J150" s="537"/>
      <c r="K150" s="537"/>
      <c r="L150" s="537"/>
      <c r="M150" s="537"/>
      <c r="N150" s="537"/>
      <c r="O150" s="537"/>
      <c r="P150" s="537"/>
      <c r="Q150" s="537"/>
      <c r="R150" s="537"/>
      <c r="S150" s="537"/>
      <c r="T150" s="537"/>
      <c r="U150" s="537"/>
      <c r="V150" s="537"/>
      <c r="W150" s="537"/>
      <c r="X150" s="537"/>
      <c r="Y150" s="537"/>
      <c r="Z150" s="537"/>
      <c r="AA150" s="537"/>
      <c r="AB150" s="537"/>
      <c r="AC150" s="537"/>
      <c r="AD150" s="537"/>
      <c r="AE150" s="590"/>
      <c r="AF150" s="590"/>
      <c r="AG150" s="590"/>
      <c r="AH150" s="590"/>
      <c r="AI150" s="590"/>
      <c r="AJ150" s="590"/>
      <c r="AK150" s="590"/>
      <c r="AL150" s="590"/>
      <c r="AM150" s="537"/>
      <c r="AN150" s="533"/>
      <c r="AO150" s="445" t="s">
        <v>306</v>
      </c>
      <c r="AP150" s="542"/>
    </row>
    <row r="151" spans="1:42" s="534" customFormat="1" ht="12.75" customHeight="1">
      <c r="A151" s="536"/>
      <c r="B151" s="537" t="s">
        <v>1330</v>
      </c>
      <c r="C151" s="537"/>
      <c r="D151" s="537"/>
      <c r="E151" s="537"/>
      <c r="F151" s="537"/>
      <c r="G151" s="537"/>
      <c r="H151" s="537"/>
      <c r="I151" s="537"/>
      <c r="J151" s="537"/>
      <c r="K151" s="537"/>
      <c r="L151" s="537"/>
      <c r="M151" s="537"/>
      <c r="N151" s="537"/>
      <c r="O151" s="537"/>
      <c r="P151" s="537"/>
      <c r="Q151" s="537"/>
      <c r="R151" s="537"/>
      <c r="S151" s="537"/>
      <c r="T151" s="537"/>
      <c r="U151" s="537"/>
      <c r="V151" s="537"/>
      <c r="W151" s="537"/>
      <c r="X151" s="537"/>
      <c r="Y151" s="537"/>
      <c r="Z151" s="537"/>
      <c r="AA151" s="537"/>
      <c r="AB151" s="537"/>
      <c r="AC151" s="537"/>
      <c r="AD151" s="537"/>
      <c r="AE151" s="537"/>
      <c r="AF151" s="537"/>
      <c r="AG151" s="537"/>
      <c r="AH151" s="537"/>
      <c r="AI151" s="537"/>
      <c r="AJ151" s="537"/>
      <c r="AK151" s="537"/>
      <c r="AL151" s="537"/>
      <c r="AM151" s="537"/>
      <c r="AN151" s="533"/>
      <c r="AO151" s="474" t="s">
        <v>1331</v>
      </c>
      <c r="AP151" s="487">
        <v>5</v>
      </c>
    </row>
    <row r="152" spans="1:42" s="534" customFormat="1" ht="12.75" customHeight="1">
      <c r="A152" s="536"/>
      <c r="B152" s="1346" t="s">
        <v>1332</v>
      </c>
      <c r="C152" s="1346"/>
      <c r="D152" s="1346"/>
      <c r="E152" s="1346"/>
      <c r="F152" s="1346"/>
      <c r="G152" s="1346"/>
      <c r="H152" s="1346"/>
      <c r="I152" s="1346"/>
      <c r="J152" s="1346"/>
      <c r="K152" s="1346"/>
      <c r="L152" s="1346"/>
      <c r="M152" s="1346"/>
      <c r="N152" s="1346"/>
      <c r="O152" s="1346"/>
      <c r="P152" s="1346"/>
      <c r="Q152" s="1346"/>
      <c r="R152" s="1346"/>
      <c r="S152" s="1346"/>
      <c r="T152" s="1346"/>
      <c r="U152" s="1346"/>
      <c r="V152" s="1346"/>
      <c r="W152" s="1346"/>
      <c r="X152" s="1346"/>
      <c r="Y152" s="1346"/>
      <c r="Z152" s="1346"/>
      <c r="AA152" s="1346"/>
      <c r="AB152" s="1346"/>
      <c r="AC152" s="1346"/>
      <c r="AD152" s="1346"/>
      <c r="AE152" s="1346"/>
      <c r="AF152" s="1346"/>
      <c r="AG152" s="1346"/>
      <c r="AH152" s="1346"/>
      <c r="AI152" s="1346"/>
      <c r="AM152" s="537"/>
      <c r="AN152" s="533"/>
      <c r="AO152" s="474" t="s">
        <v>1332</v>
      </c>
      <c r="AP152" s="487">
        <v>7</v>
      </c>
    </row>
    <row r="153" spans="1:42" s="534" customFormat="1" ht="12.95" customHeight="1">
      <c r="A153" s="536"/>
      <c r="B153" s="601"/>
      <c r="C153" s="601"/>
      <c r="D153" s="601"/>
      <c r="E153" s="601"/>
      <c r="F153" s="601"/>
      <c r="G153" s="601"/>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587"/>
      <c r="AM153" s="537"/>
      <c r="AN153" s="533"/>
      <c r="AO153" s="474" t="s">
        <v>2613</v>
      </c>
      <c r="AP153" s="487">
        <v>7</v>
      </c>
    </row>
    <row r="154" spans="1:42" s="534" customFormat="1" ht="12.75" customHeight="1">
      <c r="A154" s="536"/>
      <c r="B154" s="537" t="s">
        <v>1333</v>
      </c>
      <c r="AB154" s="1347" t="s">
        <v>590</v>
      </c>
      <c r="AC154" s="1347"/>
      <c r="AD154" s="587"/>
      <c r="AM154" s="537"/>
      <c r="AN154" s="533"/>
      <c r="AO154" s="474"/>
      <c r="AP154" s="474"/>
    </row>
    <row r="155" spans="1:42" s="534" customFormat="1" ht="9" customHeight="1">
      <c r="A155" s="536"/>
      <c r="B155" s="601"/>
      <c r="C155" s="601"/>
      <c r="D155" s="601"/>
      <c r="E155" s="601"/>
      <c r="F155" s="601"/>
      <c r="G155" s="601"/>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587"/>
      <c r="AM155" s="537"/>
      <c r="AN155" s="533"/>
      <c r="AO155" s="445" t="s">
        <v>1334</v>
      </c>
      <c r="AP155" s="487"/>
    </row>
    <row r="156" spans="1:42" s="534" customFormat="1" ht="12.75" customHeight="1">
      <c r="A156" s="536"/>
      <c r="B156" s="536" t="s">
        <v>1335</v>
      </c>
      <c r="C156" s="601"/>
      <c r="D156" s="601"/>
      <c r="E156" s="601"/>
      <c r="F156" s="601"/>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587"/>
      <c r="AM156" s="537"/>
      <c r="AN156" s="533"/>
      <c r="AO156" s="474" t="s">
        <v>1336</v>
      </c>
      <c r="AP156" s="487">
        <v>5</v>
      </c>
    </row>
    <row r="157" spans="1:42" s="534" customFormat="1" ht="12.75" customHeight="1">
      <c r="A157" s="536"/>
      <c r="B157" s="1346" t="s">
        <v>1334</v>
      </c>
      <c r="C157" s="1346"/>
      <c r="D157" s="1346"/>
      <c r="E157" s="1346"/>
      <c r="F157" s="1346"/>
      <c r="G157" s="1346"/>
      <c r="H157" s="1346"/>
      <c r="I157" s="1346"/>
      <c r="J157" s="1346"/>
      <c r="K157" s="1346"/>
      <c r="L157" s="1346"/>
      <c r="M157" s="1346"/>
      <c r="N157" s="1346"/>
      <c r="O157" s="1346"/>
      <c r="P157" s="1346"/>
      <c r="Q157" s="1346"/>
      <c r="R157" s="1346"/>
      <c r="S157" s="1346"/>
      <c r="T157" s="1346"/>
      <c r="U157" s="1346"/>
      <c r="V157" s="1346"/>
      <c r="W157" s="1346"/>
      <c r="X157" s="1346"/>
      <c r="Y157" s="1346"/>
      <c r="Z157" s="1346"/>
      <c r="AA157" s="1346"/>
      <c r="AB157" s="1346"/>
      <c r="AC157" s="1346"/>
      <c r="AD157" s="1346"/>
      <c r="AE157" s="1346"/>
      <c r="AF157" s="1346"/>
      <c r="AG157" s="1346"/>
      <c r="AH157" s="1346"/>
      <c r="AI157" s="1346"/>
      <c r="AJ157" s="1346"/>
      <c r="AN157" s="533"/>
      <c r="AO157" s="474" t="s">
        <v>1337</v>
      </c>
      <c r="AP157" s="487">
        <v>7</v>
      </c>
    </row>
    <row r="158" spans="1:42" s="534" customFormat="1" ht="12.75" customHeight="1">
      <c r="B158" s="537" t="s">
        <v>1338</v>
      </c>
      <c r="C158" s="601"/>
      <c r="D158" s="601"/>
      <c r="E158" s="601"/>
      <c r="F158" s="601"/>
      <c r="G158" s="601"/>
      <c r="H158" s="601"/>
      <c r="I158" s="601"/>
      <c r="J158" s="601"/>
      <c r="K158" s="601"/>
      <c r="L158" s="601"/>
      <c r="M158" s="601"/>
      <c r="N158" s="601"/>
      <c r="O158" s="601"/>
      <c r="P158" s="601"/>
      <c r="Q158" s="601"/>
      <c r="R158" s="601"/>
      <c r="S158" s="601"/>
      <c r="T158" s="601"/>
      <c r="U158" s="601"/>
      <c r="AM158" s="537"/>
      <c r="AN158" s="533"/>
      <c r="AO158" s="474"/>
      <c r="AP158" s="487"/>
    </row>
    <row r="159" spans="1:42" s="534" customFormat="1" ht="12.75" customHeight="1">
      <c r="B159" s="537"/>
      <c r="C159" s="601"/>
      <c r="D159" s="601"/>
      <c r="E159" s="601"/>
      <c r="F159" s="601"/>
      <c r="G159" s="601"/>
      <c r="H159" s="601"/>
      <c r="I159" s="601"/>
      <c r="J159" s="601"/>
      <c r="K159" s="601"/>
      <c r="L159" s="601"/>
      <c r="M159" s="601"/>
      <c r="N159" s="601"/>
      <c r="O159" s="601"/>
      <c r="P159" s="601"/>
      <c r="Q159" s="601"/>
      <c r="R159" s="601"/>
      <c r="S159" s="601"/>
      <c r="T159" s="601"/>
      <c r="U159" s="601"/>
      <c r="AM159" s="537"/>
      <c r="AN159" s="533"/>
      <c r="AO159" s="474"/>
      <c r="AP159" s="487"/>
    </row>
    <row r="160" spans="1:42" s="534" customFormat="1" ht="12.75" customHeight="1">
      <c r="B160" s="1512" t="s">
        <v>2397</v>
      </c>
      <c r="C160" s="1512"/>
      <c r="D160" s="1512"/>
      <c r="E160" s="1512"/>
      <c r="F160" s="1512"/>
      <c r="G160" s="1512"/>
      <c r="H160" s="1512"/>
      <c r="I160" s="1512"/>
      <c r="J160" s="1512"/>
      <c r="K160" s="1512"/>
      <c r="L160" s="1512"/>
      <c r="M160" s="1512"/>
      <c r="N160" s="1512"/>
      <c r="O160" s="1512"/>
      <c r="P160" s="1512"/>
      <c r="Q160" s="1512"/>
      <c r="R160" s="1512"/>
      <c r="S160" s="1512"/>
      <c r="T160" s="1512"/>
      <c r="U160" s="1512"/>
      <c r="V160" s="1512"/>
      <c r="W160" s="1512"/>
      <c r="X160" s="1512"/>
      <c r="Y160" s="1512"/>
      <c r="Z160" s="1512"/>
      <c r="AA160" s="1512"/>
      <c r="AB160" s="1512"/>
      <c r="AC160" s="1512"/>
      <c r="AD160" s="1512"/>
      <c r="AE160" s="1512"/>
      <c r="AF160" s="1512"/>
      <c r="AG160" s="1512"/>
      <c r="AH160" s="1512"/>
      <c r="AI160" s="1512"/>
      <c r="AJ160" s="1512"/>
      <c r="AK160" s="1168"/>
      <c r="AM160" s="537"/>
      <c r="AN160" s="533"/>
      <c r="AO160" s="474"/>
      <c r="AP160" s="487"/>
    </row>
    <row r="161" spans="1:42" s="534" customFormat="1" ht="12.75" customHeight="1">
      <c r="B161" s="1512"/>
      <c r="C161" s="1512"/>
      <c r="D161" s="1512"/>
      <c r="E161" s="1512"/>
      <c r="F161" s="1512"/>
      <c r="G161" s="1512"/>
      <c r="H161" s="1512"/>
      <c r="I161" s="1512"/>
      <c r="J161" s="1512"/>
      <c r="K161" s="1512"/>
      <c r="L161" s="1512"/>
      <c r="M161" s="1512"/>
      <c r="N161" s="1512"/>
      <c r="O161" s="1512"/>
      <c r="P161" s="1512"/>
      <c r="Q161" s="1512"/>
      <c r="R161" s="1512"/>
      <c r="S161" s="1512"/>
      <c r="T161" s="1512"/>
      <c r="U161" s="1512"/>
      <c r="V161" s="1512"/>
      <c r="W161" s="1512"/>
      <c r="X161" s="1512"/>
      <c r="Y161" s="1512"/>
      <c r="Z161" s="1512"/>
      <c r="AA161" s="1512"/>
      <c r="AB161" s="1512"/>
      <c r="AC161" s="1512"/>
      <c r="AD161" s="1512"/>
      <c r="AE161" s="1512"/>
      <c r="AF161" s="1512"/>
      <c r="AG161" s="1512"/>
      <c r="AH161" s="1512"/>
      <c r="AI161" s="1512"/>
      <c r="AJ161" s="1512"/>
      <c r="AK161" s="1168"/>
      <c r="AM161" s="537"/>
      <c r="AN161" s="533"/>
      <c r="AO161" s="474"/>
      <c r="AP161" s="487"/>
    </row>
    <row r="162" spans="1:42" s="534" customFormat="1" ht="12.75" customHeight="1">
      <c r="C162" s="1423" t="s">
        <v>2398</v>
      </c>
      <c r="D162" s="1423"/>
      <c r="E162" s="1423"/>
      <c r="F162" s="1423"/>
      <c r="G162" s="1423"/>
      <c r="H162" s="1423"/>
      <c r="I162" s="1423"/>
      <c r="J162" s="1423"/>
      <c r="K162" s="1423"/>
      <c r="L162" s="1423"/>
      <c r="M162" s="1423"/>
      <c r="N162" s="1423"/>
      <c r="O162" s="1423"/>
      <c r="P162" s="1423"/>
      <c r="Q162" s="1423"/>
      <c r="R162" s="1423"/>
      <c r="S162" s="1423"/>
      <c r="T162" s="1423"/>
      <c r="U162" s="1423"/>
      <c r="V162" s="1423"/>
      <c r="W162" s="1423"/>
      <c r="X162" s="1423"/>
      <c r="Y162" s="1423"/>
      <c r="Z162" s="1423"/>
      <c r="AA162" s="1423"/>
      <c r="AB162" s="1423"/>
      <c r="AC162" s="1423"/>
      <c r="AD162" s="1423"/>
      <c r="AE162" s="1423"/>
      <c r="AF162" s="1423"/>
      <c r="AG162" s="1423"/>
      <c r="AH162" s="1423"/>
      <c r="AI162" s="1423"/>
      <c r="AJ162" s="1423"/>
      <c r="AK162" s="1168"/>
      <c r="AM162" s="537"/>
      <c r="AN162" s="533"/>
      <c r="AO162" s="474"/>
      <c r="AP162" s="487"/>
    </row>
    <row r="163" spans="1:42" s="534" customFormat="1" ht="12.75" customHeight="1">
      <c r="B163" s="1168"/>
      <c r="C163" s="1344" t="s">
        <v>2396</v>
      </c>
      <c r="D163" s="1344"/>
      <c r="E163" s="1344"/>
      <c r="F163" s="1344"/>
      <c r="G163" s="1344"/>
      <c r="H163" s="1344"/>
      <c r="I163" s="1344"/>
      <c r="J163" s="1344"/>
      <c r="K163" s="1344"/>
      <c r="L163" s="1344"/>
      <c r="M163" s="1344"/>
      <c r="N163" s="1344"/>
      <c r="O163" s="1344"/>
      <c r="P163" s="1344"/>
      <c r="Q163" s="1344"/>
      <c r="R163" s="1344"/>
      <c r="S163" s="1344"/>
      <c r="T163" s="1344"/>
      <c r="U163" s="1344"/>
      <c r="V163" s="1344"/>
      <c r="W163" s="1344"/>
      <c r="X163" s="1344"/>
      <c r="Y163" s="1344"/>
      <c r="Z163" s="1344"/>
      <c r="AA163" s="1158"/>
      <c r="AB163" s="1158"/>
      <c r="AC163" s="1158"/>
      <c r="AD163" s="1158"/>
      <c r="AE163" s="1158"/>
      <c r="AF163" s="1158"/>
      <c r="AG163" s="1158"/>
      <c r="AH163" s="1158"/>
      <c r="AJ163" s="1347" t="s">
        <v>590</v>
      </c>
      <c r="AK163" s="1347"/>
      <c r="AM163" s="537"/>
      <c r="AN163" s="533"/>
      <c r="AO163" s="474"/>
      <c r="AP163" s="487"/>
    </row>
    <row r="164" spans="1:42" s="534" customFormat="1" ht="12.75" customHeight="1">
      <c r="AM164" s="537"/>
      <c r="AN164" s="533"/>
    </row>
    <row r="165" spans="1:42" s="547" customFormat="1" ht="12.75" customHeight="1">
      <c r="A165" s="596"/>
      <c r="B165" s="597"/>
      <c r="C165" s="597"/>
      <c r="D165" s="597"/>
      <c r="E165" s="597"/>
      <c r="F165" s="597"/>
      <c r="G165" s="597"/>
      <c r="H165" s="597"/>
      <c r="I165" s="597"/>
      <c r="J165" s="597"/>
      <c r="K165" s="597"/>
      <c r="L165" s="597"/>
      <c r="M165" s="597"/>
      <c r="N165" s="597"/>
      <c r="O165" s="597"/>
      <c r="P165" s="597"/>
      <c r="Q165" s="597"/>
      <c r="R165" s="597"/>
      <c r="S165" s="597"/>
      <c r="T165" s="597"/>
      <c r="U165" s="597"/>
      <c r="V165" s="597"/>
      <c r="W165" s="597"/>
      <c r="X165" s="597"/>
      <c r="Y165" s="597"/>
      <c r="Z165" s="597"/>
      <c r="AA165" s="597"/>
      <c r="AB165" s="597"/>
      <c r="AC165" s="597"/>
      <c r="AD165" s="597"/>
      <c r="AE165" s="597"/>
      <c r="AF165" s="597"/>
      <c r="AG165" s="597"/>
      <c r="AH165" s="597"/>
      <c r="AI165" s="561" t="s">
        <v>1340</v>
      </c>
      <c r="AJ165" s="1350">
        <f>IF($AB$154="N/A",VLOOKUP($B$152,$AO$150:$AP$153,2,FALSE),VLOOKUP($B$157,$AO$155:$AP$157,2,FALSE))</f>
        <v>7</v>
      </c>
      <c r="AK165" s="1350"/>
      <c r="AL165" s="591"/>
      <c r="AM165" s="534"/>
      <c r="AN165" s="594"/>
    </row>
    <row r="166" spans="1:42" s="547" customFormat="1" ht="12.75" customHeight="1">
      <c r="A166" s="591"/>
      <c r="B166" s="591"/>
      <c r="C166" s="534"/>
      <c r="D166" s="534"/>
      <c r="E166" s="534"/>
      <c r="F166" s="534"/>
      <c r="G166" s="534"/>
      <c r="H166" s="534"/>
      <c r="I166" s="534"/>
      <c r="J166" s="534"/>
      <c r="K166" s="534"/>
      <c r="L166" s="534"/>
      <c r="M166" s="534"/>
      <c r="N166" s="534"/>
      <c r="O166" s="534"/>
      <c r="P166" s="534"/>
      <c r="Q166" s="534"/>
      <c r="R166" s="534"/>
      <c r="S166" s="534"/>
      <c r="T166" s="534"/>
      <c r="U166" s="534"/>
      <c r="V166" s="534"/>
      <c r="W166" s="534"/>
      <c r="X166" s="534"/>
      <c r="Y166" s="534"/>
      <c r="Z166" s="534"/>
      <c r="AA166" s="534"/>
      <c r="AB166" s="534"/>
      <c r="AC166" s="534"/>
      <c r="AD166" s="534"/>
      <c r="AE166" s="534"/>
      <c r="AF166" s="534"/>
      <c r="AG166" s="534"/>
      <c r="AH166" s="534"/>
      <c r="AI166" s="534"/>
      <c r="AJ166" s="534"/>
      <c r="AK166" s="534"/>
      <c r="AL166" s="534"/>
      <c r="AM166" s="534"/>
      <c r="AN166" s="594"/>
    </row>
    <row r="167" spans="1:42" s="547" customFormat="1" ht="12.75" customHeight="1">
      <c r="A167" s="534"/>
      <c r="B167" s="536" t="s">
        <v>1342</v>
      </c>
      <c r="C167" s="537"/>
      <c r="D167" s="534"/>
      <c r="E167" s="638"/>
      <c r="F167" s="638"/>
      <c r="G167" s="638"/>
      <c r="H167" s="638"/>
      <c r="I167" s="638"/>
      <c r="J167" s="638"/>
      <c r="K167" s="638"/>
      <c r="L167" s="638"/>
      <c r="M167" s="638"/>
      <c r="N167" s="638"/>
      <c r="O167" s="638"/>
      <c r="P167" s="638"/>
      <c r="Q167" s="638"/>
      <c r="R167" s="638"/>
      <c r="S167" s="638"/>
      <c r="T167" s="638"/>
      <c r="U167" s="638"/>
      <c r="V167" s="638"/>
      <c r="W167" s="638"/>
      <c r="X167" s="638"/>
      <c r="Y167" s="638"/>
      <c r="Z167" s="638"/>
      <c r="AA167" s="638"/>
      <c r="AB167" s="638"/>
      <c r="AC167" s="638"/>
      <c r="AD167" s="638"/>
      <c r="AE167" s="534"/>
      <c r="AF167" s="1335" t="s">
        <v>1343</v>
      </c>
      <c r="AG167" s="1335"/>
      <c r="AH167" s="1335"/>
      <c r="AI167" s="1335"/>
      <c r="AJ167" s="1335"/>
      <c r="AK167" s="1335"/>
      <c r="AL167" s="1335"/>
      <c r="AM167" s="599"/>
      <c r="AN167" s="594"/>
    </row>
    <row r="168" spans="1:42" s="547" customFormat="1" ht="12.75" customHeight="1">
      <c r="A168" s="534"/>
      <c r="B168" s="537" t="s">
        <v>1344</v>
      </c>
      <c r="C168" s="534"/>
      <c r="D168" s="534"/>
      <c r="E168" s="534"/>
      <c r="F168" s="534"/>
      <c r="G168" s="534"/>
      <c r="H168" s="534"/>
      <c r="I168" s="534"/>
      <c r="J168" s="534"/>
      <c r="K168" s="534"/>
      <c r="L168" s="534"/>
      <c r="M168" s="534"/>
      <c r="N168" s="534"/>
      <c r="O168" s="534"/>
      <c r="P168" s="534"/>
      <c r="Q168" s="534"/>
      <c r="R168" s="534"/>
      <c r="S168" s="534"/>
      <c r="T168" s="534"/>
      <c r="U168" s="534"/>
      <c r="V168" s="534"/>
      <c r="W168" s="534"/>
      <c r="X168" s="534"/>
      <c r="Y168" s="534"/>
      <c r="Z168" s="534"/>
      <c r="AA168" s="537"/>
      <c r="AB168" s="537"/>
      <c r="AC168" s="537"/>
      <c r="AD168" s="537"/>
      <c r="AE168" s="534"/>
      <c r="AF168" s="534"/>
      <c r="AG168" s="534"/>
      <c r="AH168" s="534"/>
      <c r="AI168" s="534"/>
      <c r="AJ168" s="534"/>
      <c r="AK168" s="534"/>
      <c r="AL168" s="534"/>
      <c r="AM168" s="599"/>
      <c r="AN168" s="594"/>
    </row>
    <row r="169" spans="1:42" s="547" customFormat="1" ht="12.75" customHeight="1">
      <c r="A169" s="534"/>
      <c r="B169" s="534"/>
      <c r="C169" s="1346" t="s">
        <v>1341</v>
      </c>
      <c r="D169" s="1346"/>
      <c r="E169" s="1346"/>
      <c r="F169" s="1346"/>
      <c r="G169" s="1346"/>
      <c r="H169" s="1346"/>
      <c r="I169" s="1346"/>
      <c r="J169" s="1346"/>
      <c r="K169" s="1346"/>
      <c r="L169" s="1346"/>
      <c r="M169" s="1346"/>
      <c r="N169" s="1346"/>
      <c r="O169" s="1346"/>
      <c r="P169" s="1346"/>
      <c r="Q169" s="1346"/>
      <c r="R169" s="1346"/>
      <c r="S169" s="1346"/>
      <c r="T169" s="1346"/>
      <c r="U169" s="1346"/>
      <c r="V169" s="1346"/>
      <c r="W169" s="1346"/>
      <c r="X169" s="1346"/>
      <c r="Y169" s="1346"/>
      <c r="Z169" s="1346"/>
      <c r="AA169" s="1346"/>
      <c r="AB169" s="1346"/>
      <c r="AC169" s="1346"/>
      <c r="AD169" s="1346"/>
      <c r="AE169" s="1346"/>
      <c r="AF169" s="1346"/>
      <c r="AG169" s="1346"/>
      <c r="AH169" s="1346"/>
      <c r="AI169" s="1346"/>
      <c r="AJ169" s="534"/>
      <c r="AK169" s="534"/>
      <c r="AL169" s="534"/>
      <c r="AM169" s="599"/>
      <c r="AN169" s="593"/>
      <c r="AO169" s="474" t="s">
        <v>306</v>
      </c>
      <c r="AP169" s="474"/>
    </row>
    <row r="170" spans="1:42" s="547" customFormat="1" ht="12.95" customHeight="1">
      <c r="A170" s="534"/>
      <c r="B170" s="534"/>
      <c r="C170" s="601"/>
      <c r="D170" s="601"/>
      <c r="E170" s="601"/>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534"/>
      <c r="AF170" s="534"/>
      <c r="AG170" s="534"/>
      <c r="AH170" s="534"/>
      <c r="AI170" s="534"/>
      <c r="AJ170" s="534"/>
      <c r="AK170" s="534"/>
      <c r="AL170" s="534"/>
      <c r="AM170" s="599"/>
      <c r="AN170" s="593"/>
      <c r="AO170" s="474" t="s">
        <v>1339</v>
      </c>
      <c r="AP170" s="595">
        <v>2</v>
      </c>
    </row>
    <row r="171" spans="1:42" s="547" customFormat="1" ht="12.75" customHeight="1">
      <c r="A171" s="534"/>
      <c r="B171" s="534"/>
      <c r="C171" s="537" t="s">
        <v>1346</v>
      </c>
      <c r="D171" s="534"/>
      <c r="E171" s="534"/>
      <c r="F171" s="534"/>
      <c r="G171" s="534"/>
      <c r="H171" s="534"/>
      <c r="I171" s="534"/>
      <c r="J171" s="534"/>
      <c r="K171" s="534"/>
      <c r="L171" s="534"/>
      <c r="M171" s="534"/>
      <c r="N171" s="534"/>
      <c r="O171" s="534"/>
      <c r="P171" s="534"/>
      <c r="Q171" s="534"/>
      <c r="R171" s="534"/>
      <c r="S171" s="534"/>
      <c r="T171" s="534"/>
      <c r="U171" s="534"/>
      <c r="V171" s="534"/>
      <c r="W171" s="534"/>
      <c r="X171" s="534"/>
      <c r="Y171" s="534"/>
      <c r="Z171" s="534"/>
      <c r="AA171" s="534"/>
      <c r="AB171" s="534"/>
      <c r="AE171" s="534"/>
      <c r="AF171" s="1347" t="s">
        <v>590</v>
      </c>
      <c r="AG171" s="1347"/>
      <c r="AH171" s="534"/>
      <c r="AI171" s="534"/>
      <c r="AJ171" s="534"/>
      <c r="AK171" s="534"/>
      <c r="AL171" s="534"/>
      <c r="AM171" s="599"/>
      <c r="AN171" s="593"/>
      <c r="AO171" s="474" t="s">
        <v>1341</v>
      </c>
      <c r="AP171" s="595">
        <v>3</v>
      </c>
    </row>
    <row r="172" spans="1:42" s="547" customFormat="1" ht="9" customHeight="1">
      <c r="A172" s="534"/>
      <c r="B172" s="534"/>
      <c r="C172" s="601"/>
      <c r="D172" s="601"/>
      <c r="E172" s="601"/>
      <c r="F172" s="601"/>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534"/>
      <c r="AF172" s="534"/>
      <c r="AG172" s="534"/>
      <c r="AJ172" s="534"/>
      <c r="AK172" s="534"/>
      <c r="AL172" s="534"/>
      <c r="AM172" s="599"/>
      <c r="AN172" s="593"/>
      <c r="AO172" s="598" t="s">
        <v>2119</v>
      </c>
      <c r="AP172" s="595">
        <v>3</v>
      </c>
    </row>
    <row r="173" spans="1:42" s="547" customFormat="1" ht="12.75" customHeight="1">
      <c r="A173" s="534"/>
      <c r="B173" s="534"/>
      <c r="C173" s="1346" t="s">
        <v>1334</v>
      </c>
      <c r="D173" s="1346"/>
      <c r="E173" s="1346"/>
      <c r="F173" s="1346"/>
      <c r="G173" s="1346"/>
      <c r="H173" s="1346"/>
      <c r="I173" s="1346"/>
      <c r="J173" s="1346"/>
      <c r="K173" s="1346"/>
      <c r="L173" s="1346"/>
      <c r="M173" s="1346"/>
      <c r="N173" s="1346"/>
      <c r="O173" s="1346"/>
      <c r="P173" s="1346"/>
      <c r="Q173" s="1346"/>
      <c r="R173" s="1346"/>
      <c r="S173" s="1346"/>
      <c r="T173" s="1346"/>
      <c r="U173" s="1346"/>
      <c r="V173" s="1346"/>
      <c r="W173" s="1346"/>
      <c r="X173" s="1346"/>
      <c r="Y173" s="1346"/>
      <c r="Z173" s="1346"/>
      <c r="AA173" s="1346"/>
      <c r="AB173" s="1346"/>
      <c r="AC173" s="1346"/>
      <c r="AD173" s="1346"/>
      <c r="AE173" s="534"/>
      <c r="AF173" s="534"/>
      <c r="AG173" s="534"/>
      <c r="AH173" s="534"/>
      <c r="AI173" s="534"/>
      <c r="AJ173" s="534"/>
      <c r="AK173" s="534"/>
      <c r="AL173" s="534"/>
      <c r="AM173" s="599"/>
      <c r="AN173" s="593"/>
      <c r="AO173" s="598"/>
      <c r="AP173" s="595"/>
    </row>
    <row r="174" spans="1:42" s="547" customFormat="1" ht="12.75" customHeight="1">
      <c r="A174" s="534"/>
      <c r="B174" s="534"/>
      <c r="C174" s="537" t="s">
        <v>1338</v>
      </c>
      <c r="D174" s="537"/>
      <c r="E174" s="537"/>
      <c r="F174" s="537"/>
      <c r="G174" s="537"/>
      <c r="H174" s="537"/>
      <c r="I174" s="537"/>
      <c r="J174" s="537"/>
      <c r="K174" s="537"/>
      <c r="L174" s="537"/>
      <c r="M174" s="537"/>
      <c r="N174" s="537"/>
      <c r="O174" s="537"/>
      <c r="P174" s="537"/>
      <c r="Q174" s="537"/>
      <c r="R174" s="537"/>
      <c r="S174" s="537"/>
      <c r="T174" s="537"/>
      <c r="U174" s="537"/>
      <c r="V174" s="537"/>
      <c r="W174" s="537"/>
      <c r="X174" s="537"/>
      <c r="Y174" s="537"/>
      <c r="Z174" s="537"/>
      <c r="AA174" s="537"/>
      <c r="AB174" s="537"/>
      <c r="AC174" s="537"/>
      <c r="AD174" s="537"/>
      <c r="AE174" s="537"/>
      <c r="AF174" s="537"/>
      <c r="AG174" s="537"/>
      <c r="AH174" s="537"/>
      <c r="AI174" s="537"/>
      <c r="AJ174" s="537"/>
      <c r="AK174" s="537"/>
      <c r="AL174" s="534"/>
      <c r="AM174" s="599"/>
      <c r="AN174" s="593"/>
      <c r="AO174" s="600"/>
      <c r="AP174" s="600"/>
    </row>
    <row r="175" spans="1:42" s="547" customFormat="1" ht="12.75" customHeight="1">
      <c r="A175" s="534"/>
      <c r="B175" s="534"/>
      <c r="C175" s="534"/>
      <c r="D175" s="534"/>
      <c r="E175" s="534"/>
      <c r="F175" s="534"/>
      <c r="G175" s="534"/>
      <c r="H175" s="534"/>
      <c r="I175" s="534"/>
      <c r="J175" s="534"/>
      <c r="K175" s="534"/>
      <c r="L175" s="534"/>
      <c r="M175" s="534"/>
      <c r="N175" s="534"/>
      <c r="O175" s="534"/>
      <c r="P175" s="534"/>
      <c r="Q175" s="534"/>
      <c r="R175" s="534"/>
      <c r="S175" s="534"/>
      <c r="T175" s="534"/>
      <c r="U175" s="534"/>
      <c r="V175" s="534"/>
      <c r="W175" s="534"/>
      <c r="X175" s="534"/>
      <c r="Y175" s="534"/>
      <c r="Z175" s="534"/>
      <c r="AA175" s="534"/>
      <c r="AB175" s="534"/>
      <c r="AC175" s="534"/>
      <c r="AD175" s="534"/>
      <c r="AE175" s="534"/>
      <c r="AF175" s="534"/>
      <c r="AG175" s="534"/>
      <c r="AH175" s="534"/>
      <c r="AI175" s="534"/>
      <c r="AJ175" s="534"/>
      <c r="AK175" s="534"/>
      <c r="AL175" s="534"/>
      <c r="AM175" s="599"/>
      <c r="AN175" s="593"/>
    </row>
    <row r="176" spans="1:42" s="547" customFormat="1" ht="12.75" customHeight="1">
      <c r="A176" s="534"/>
      <c r="B176" s="534"/>
      <c r="C176" s="536" t="s">
        <v>1348</v>
      </c>
      <c r="D176" s="601"/>
      <c r="E176" s="601"/>
      <c r="F176" s="601"/>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534"/>
      <c r="AF176" s="534"/>
      <c r="AG176" s="534"/>
      <c r="AH176" s="534"/>
      <c r="AI176" s="534"/>
      <c r="AJ176" s="534"/>
      <c r="AK176" s="534"/>
      <c r="AL176" s="534"/>
      <c r="AM176" s="599"/>
      <c r="AN176" s="593"/>
      <c r="AO176" s="474" t="s">
        <v>1334</v>
      </c>
      <c r="AP176" s="474"/>
    </row>
    <row r="177" spans="1:73" s="547" customFormat="1" ht="12.75" customHeight="1">
      <c r="A177" s="534"/>
      <c r="B177" s="534"/>
      <c r="C177" s="1348" t="str">
        <f>Application!AA344</f>
        <v>Greystar</v>
      </c>
      <c r="D177" s="1348"/>
      <c r="E177" s="1348"/>
      <c r="F177" s="1348"/>
      <c r="G177" s="1348"/>
      <c r="H177" s="1348"/>
      <c r="I177" s="1348"/>
      <c r="J177" s="1348"/>
      <c r="K177" s="1348"/>
      <c r="L177" s="1348"/>
      <c r="M177" s="1348"/>
      <c r="N177" s="1348"/>
      <c r="O177" s="1348"/>
      <c r="P177" s="1348"/>
      <c r="Q177" s="1348"/>
      <c r="R177" s="1348"/>
      <c r="S177" s="1348"/>
      <c r="T177" s="1348"/>
      <c r="U177" s="1348"/>
      <c r="V177" s="1348"/>
      <c r="W177" s="1348"/>
      <c r="X177" s="1348"/>
      <c r="Y177" s="1348"/>
      <c r="Z177" s="1348"/>
      <c r="AA177" s="1348"/>
      <c r="AB177" s="1348"/>
      <c r="AC177" s="1348"/>
      <c r="AD177" s="1348"/>
      <c r="AE177" s="534"/>
      <c r="AF177" s="534"/>
      <c r="AG177" s="534"/>
      <c r="AH177" s="534"/>
      <c r="AI177" s="534"/>
      <c r="AJ177" s="534"/>
      <c r="AK177" s="534"/>
      <c r="AL177" s="534"/>
      <c r="AM177" s="599"/>
      <c r="AN177" s="593"/>
      <c r="AO177" s="474" t="s">
        <v>1345</v>
      </c>
      <c r="AP177" s="595">
        <v>2</v>
      </c>
    </row>
    <row r="178" spans="1:73" s="547" customFormat="1" ht="12.75" customHeight="1">
      <c r="A178" s="534"/>
      <c r="B178" s="534"/>
      <c r="C178" s="601"/>
      <c r="D178" s="601"/>
      <c r="E178" s="601"/>
      <c r="F178" s="601"/>
      <c r="G178" s="601"/>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534"/>
      <c r="AF178" s="534"/>
      <c r="AG178" s="534"/>
      <c r="AH178" s="534"/>
      <c r="AI178" s="534"/>
      <c r="AJ178" s="534"/>
      <c r="AK178" s="534"/>
      <c r="AL178" s="534"/>
      <c r="AM178" s="599"/>
      <c r="AN178" s="593"/>
      <c r="AO178" s="474" t="s">
        <v>1347</v>
      </c>
      <c r="AP178" s="595">
        <v>3</v>
      </c>
    </row>
    <row r="179" spans="1:73" s="547" customFormat="1" ht="12.75" customHeight="1">
      <c r="A179" s="602"/>
      <c r="B179" s="560"/>
      <c r="C179" s="560"/>
      <c r="D179" s="559"/>
      <c r="E179" s="560"/>
      <c r="F179" s="560"/>
      <c r="G179" s="560"/>
      <c r="H179" s="560"/>
      <c r="I179" s="560"/>
      <c r="J179" s="560"/>
      <c r="K179" s="560"/>
      <c r="L179" s="560"/>
      <c r="M179" s="560"/>
      <c r="N179" s="560"/>
      <c r="O179" s="560"/>
      <c r="P179" s="560"/>
      <c r="Q179" s="597"/>
      <c r="R179" s="603"/>
      <c r="S179" s="560"/>
      <c r="T179" s="560"/>
      <c r="U179" s="560"/>
      <c r="V179" s="560"/>
      <c r="W179" s="560"/>
      <c r="X179" s="560"/>
      <c r="Y179" s="560"/>
      <c r="Z179" s="560"/>
      <c r="AA179" s="560"/>
      <c r="AB179" s="560"/>
      <c r="AC179" s="560"/>
      <c r="AD179" s="560"/>
      <c r="AE179" s="560"/>
      <c r="AF179" s="560"/>
      <c r="AG179" s="560"/>
      <c r="AH179" s="560"/>
      <c r="AI179" s="561" t="s">
        <v>1349</v>
      </c>
      <c r="AJ179" s="1349">
        <f>IF($AF$171="N/A",VLOOKUP($C$169,$AO$169:$AP$172,2,FALSE),VLOOKUP($C$173,$AO$176:$AP$178,2,FALSE))</f>
        <v>3</v>
      </c>
      <c r="AK179" s="1349"/>
      <c r="AL179" s="604"/>
      <c r="AM179" s="605"/>
      <c r="AN179" s="593"/>
      <c r="AO179" s="598"/>
      <c r="AP179" s="595"/>
    </row>
    <row r="180" spans="1:73" s="547" customFormat="1" ht="12.75" customHeight="1">
      <c r="A180" s="534"/>
      <c r="B180" s="606"/>
      <c r="R180" s="534"/>
      <c r="S180" s="606"/>
      <c r="AN180" s="593"/>
    </row>
    <row r="181" spans="1:73" s="547" customFormat="1" ht="12.75" customHeight="1">
      <c r="A181" s="607"/>
      <c r="B181" s="599"/>
      <c r="C181" s="599"/>
      <c r="D181" s="599"/>
      <c r="E181" s="599"/>
      <c r="F181" s="599"/>
      <c r="G181" s="599"/>
      <c r="H181" s="599"/>
      <c r="I181" s="599"/>
      <c r="J181" s="599"/>
      <c r="K181" s="599"/>
      <c r="L181" s="599"/>
      <c r="M181" s="599"/>
      <c r="N181" s="599"/>
      <c r="O181" s="599"/>
      <c r="P181" s="599"/>
      <c r="Q181" s="599"/>
      <c r="R181" s="599"/>
      <c r="S181" s="599"/>
      <c r="T181" s="599"/>
      <c r="U181" s="599"/>
      <c r="V181" s="599"/>
      <c r="W181" s="599"/>
      <c r="X181" s="599"/>
      <c r="Y181" s="599"/>
      <c r="Z181" s="599"/>
      <c r="AA181" s="599"/>
      <c r="AB181" s="599"/>
      <c r="AC181" s="599"/>
      <c r="AD181" s="599"/>
      <c r="AE181" s="599"/>
      <c r="AF181" s="599"/>
      <c r="AG181" s="599"/>
      <c r="AH181" s="599"/>
      <c r="AI181" s="599"/>
      <c r="AJ181" s="599"/>
      <c r="AK181" s="599"/>
      <c r="AL181" s="599"/>
      <c r="AM181" s="599"/>
      <c r="AN181" s="593"/>
    </row>
    <row r="182" spans="1:73" s="547" customFormat="1" ht="12.75" customHeight="1">
      <c r="A182" s="557"/>
      <c r="B182" s="558"/>
      <c r="C182" s="558"/>
      <c r="D182" s="558"/>
      <c r="E182" s="558"/>
      <c r="F182" s="558"/>
      <c r="G182" s="559"/>
      <c r="H182" s="560"/>
      <c r="I182" s="560"/>
      <c r="J182" s="560"/>
      <c r="K182" s="560"/>
      <c r="L182" s="560"/>
      <c r="M182" s="560"/>
      <c r="N182" s="560"/>
      <c r="O182" s="560"/>
      <c r="P182" s="560"/>
      <c r="Q182" s="560"/>
      <c r="R182" s="560"/>
      <c r="S182" s="560"/>
      <c r="T182" s="560"/>
      <c r="U182" s="560"/>
      <c r="V182" s="560"/>
      <c r="W182" s="560"/>
      <c r="X182" s="560"/>
      <c r="Y182" s="560"/>
      <c r="Z182" s="560"/>
      <c r="AA182" s="560"/>
      <c r="AB182" s="560"/>
      <c r="AC182" s="560"/>
      <c r="AD182" s="560"/>
      <c r="AE182" s="560"/>
      <c r="AF182" s="560"/>
      <c r="AG182" s="560"/>
      <c r="AH182" s="560"/>
      <c r="AI182" s="561"/>
      <c r="AJ182" s="561" t="s">
        <v>1350</v>
      </c>
      <c r="AK182" s="1313">
        <f>$AJ$165+$AJ$179</f>
        <v>10</v>
      </c>
      <c r="AL182" s="1314"/>
      <c r="AM182" s="1315"/>
      <c r="AN182" s="593"/>
    </row>
    <row r="183" spans="1:73" s="547" customFormat="1" ht="12.75" customHeight="1" thickBot="1">
      <c r="A183" s="562"/>
      <c r="B183" s="563"/>
      <c r="C183" s="564"/>
      <c r="D183" s="564"/>
      <c r="E183" s="564"/>
      <c r="F183" s="564"/>
      <c r="G183" s="564"/>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4"/>
      <c r="AJ183" s="564"/>
      <c r="AK183" s="564"/>
      <c r="AL183" s="564"/>
      <c r="AM183" s="565"/>
      <c r="AN183" s="593"/>
      <c r="AO183" s="564"/>
      <c r="AR183" s="564"/>
      <c r="AS183" s="564"/>
      <c r="AT183" s="564"/>
      <c r="AU183" s="564"/>
      <c r="AV183" s="564"/>
      <c r="AW183" s="564"/>
      <c r="AX183" s="564"/>
      <c r="AY183" s="564"/>
      <c r="AZ183" s="564"/>
      <c r="BA183" s="564"/>
      <c r="BB183" s="564"/>
      <c r="BC183" s="564"/>
      <c r="BD183" s="564"/>
      <c r="BE183" s="564"/>
      <c r="BF183" s="564"/>
      <c r="BG183" s="564"/>
      <c r="BH183" s="564"/>
      <c r="BI183" s="564"/>
      <c r="BJ183" s="564"/>
      <c r="BK183" s="564"/>
      <c r="BL183" s="564"/>
      <c r="BM183" s="564"/>
      <c r="BN183" s="564"/>
      <c r="BO183" s="564"/>
      <c r="BP183" s="564"/>
      <c r="BQ183" s="564"/>
      <c r="BR183" s="564"/>
      <c r="BS183" s="564"/>
      <c r="BT183" s="564"/>
      <c r="BU183" s="564"/>
    </row>
    <row r="184" spans="1:73" s="547" customFormat="1" ht="12.75" customHeight="1" thickTop="1">
      <c r="A184" s="566"/>
      <c r="B184" s="567"/>
      <c r="C184" s="568"/>
      <c r="D184" s="568"/>
      <c r="E184" s="568"/>
      <c r="F184" s="568"/>
      <c r="G184" s="568"/>
      <c r="H184" s="568"/>
      <c r="I184" s="569"/>
      <c r="J184" s="569"/>
      <c r="K184" s="569"/>
      <c r="L184" s="569"/>
      <c r="M184" s="569"/>
      <c r="N184" s="569"/>
      <c r="O184" s="569"/>
      <c r="P184" s="569"/>
      <c r="Q184" s="569"/>
      <c r="R184" s="566"/>
      <c r="S184" s="537"/>
      <c r="T184" s="537"/>
      <c r="U184" s="537"/>
      <c r="V184" s="537"/>
      <c r="W184" s="537"/>
      <c r="X184" s="537"/>
      <c r="Y184" s="537"/>
      <c r="Z184" s="537"/>
      <c r="AA184" s="537"/>
      <c r="AB184" s="537"/>
      <c r="AC184" s="537"/>
      <c r="AD184" s="537"/>
      <c r="AE184" s="537"/>
      <c r="AF184" s="566"/>
      <c r="AG184" s="537"/>
      <c r="AH184" s="537"/>
      <c r="AI184" s="537"/>
      <c r="AJ184" s="537"/>
      <c r="AN184" s="593"/>
      <c r="AP184" s="608" t="s">
        <v>1351</v>
      </c>
      <c r="AQ184" s="608">
        <v>0</v>
      </c>
    </row>
    <row r="185" spans="1:73" s="547" customFormat="1" ht="12.75" customHeight="1">
      <c r="A185" s="536" t="s">
        <v>1352</v>
      </c>
      <c r="B185" s="536" t="s">
        <v>1713</v>
      </c>
      <c r="C185" s="609"/>
      <c r="D185" s="610"/>
      <c r="E185" s="610"/>
      <c r="F185" s="610"/>
      <c r="G185" s="610"/>
      <c r="H185" s="610"/>
      <c r="I185" s="610"/>
      <c r="J185" s="610"/>
      <c r="K185" s="534"/>
      <c r="L185" s="534"/>
      <c r="M185" s="534"/>
      <c r="N185" s="534"/>
      <c r="O185" s="534"/>
      <c r="P185" s="534"/>
      <c r="Q185" s="534"/>
      <c r="R185" s="534"/>
      <c r="S185" s="534"/>
      <c r="T185" s="534"/>
      <c r="U185" s="534"/>
      <c r="V185" s="534"/>
      <c r="W185" s="534"/>
      <c r="X185" s="534"/>
      <c r="Y185" s="611"/>
      <c r="Z185" s="611"/>
      <c r="AA185" s="611"/>
      <c r="AB185" s="611"/>
      <c r="AC185" s="534"/>
      <c r="AD185" s="534"/>
      <c r="AE185" s="1302" t="s">
        <v>1305</v>
      </c>
      <c r="AF185" s="1302"/>
      <c r="AG185" s="1302"/>
      <c r="AH185" s="1302"/>
      <c r="AI185" s="1302"/>
      <c r="AJ185" s="1302"/>
      <c r="AK185" s="1302"/>
      <c r="AL185" s="587"/>
      <c r="AN185" s="593"/>
      <c r="AP185" s="547" t="s">
        <v>1038</v>
      </c>
      <c r="AQ185" s="547">
        <v>10</v>
      </c>
    </row>
    <row r="186" spans="1:73" s="547" customFormat="1" ht="12.75" customHeight="1">
      <c r="A186" s="536"/>
      <c r="B186" s="612"/>
      <c r="C186" s="613"/>
      <c r="D186" s="610"/>
      <c r="E186" s="610"/>
      <c r="F186" s="610"/>
      <c r="G186" s="610"/>
      <c r="H186" s="534"/>
      <c r="I186" s="534"/>
      <c r="J186" s="534"/>
      <c r="K186" s="534"/>
      <c r="L186" s="534"/>
      <c r="M186" s="534"/>
      <c r="N186" s="534"/>
      <c r="O186" s="534"/>
      <c r="P186" s="534"/>
      <c r="Q186" s="534"/>
      <c r="R186" s="611"/>
      <c r="S186" s="611"/>
      <c r="T186" s="611"/>
      <c r="U186" s="611"/>
      <c r="V186" s="611"/>
      <c r="W186" s="611"/>
      <c r="X186" s="611"/>
      <c r="Y186" s="611"/>
      <c r="Z186" s="611"/>
      <c r="AA186" s="611"/>
      <c r="AB186" s="611"/>
      <c r="AC186" s="587"/>
      <c r="AD186" s="587"/>
      <c r="AE186" s="534"/>
      <c r="AF186" s="534"/>
      <c r="AG186" s="534"/>
      <c r="AH186" s="534"/>
      <c r="AI186" s="534"/>
      <c r="AJ186" s="534"/>
      <c r="AK186" s="534"/>
      <c r="AL186" s="534"/>
      <c r="AN186" s="593"/>
      <c r="AP186" s="547" t="s">
        <v>1353</v>
      </c>
      <c r="AQ186" s="547">
        <v>10</v>
      </c>
    </row>
    <row r="187" spans="1:73" s="547" customFormat="1" ht="12.75" customHeight="1">
      <c r="A187" s="534"/>
      <c r="B187" s="1343" t="s">
        <v>1038</v>
      </c>
      <c r="C187" s="1343"/>
      <c r="D187" s="1343"/>
      <c r="E187" s="1343"/>
      <c r="F187" s="1343"/>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A187" s="1343"/>
      <c r="AB187" s="1343"/>
      <c r="AC187" s="1343"/>
      <c r="AD187" s="534"/>
      <c r="AE187" s="534"/>
      <c r="AF187" s="1335" t="s">
        <v>1354</v>
      </c>
      <c r="AG187" s="1335"/>
      <c r="AH187" s="1335"/>
      <c r="AI187" s="1335"/>
      <c r="AJ187" s="1335"/>
      <c r="AK187" s="1335"/>
      <c r="AL187" s="1335"/>
      <c r="AN187" s="593"/>
      <c r="AP187" s="547" t="s">
        <v>1040</v>
      </c>
      <c r="AQ187" s="547">
        <v>10</v>
      </c>
    </row>
    <row r="188" spans="1:73" s="547" customFormat="1" ht="12.75" customHeight="1">
      <c r="A188" s="534"/>
      <c r="B188" s="1344" t="s">
        <v>1712</v>
      </c>
      <c r="C188" s="1344"/>
      <c r="D188" s="1344"/>
      <c r="E188" s="1344"/>
      <c r="F188" s="1344"/>
      <c r="G188" s="1344"/>
      <c r="H188" s="1344"/>
      <c r="I188" s="1344"/>
      <c r="J188" s="1344"/>
      <c r="K188" s="1344"/>
      <c r="L188" s="1344"/>
      <c r="M188" s="1344"/>
      <c r="N188" s="1344"/>
      <c r="O188" s="1344"/>
      <c r="P188" s="1344"/>
      <c r="Q188" s="1344"/>
      <c r="R188" s="1344"/>
      <c r="S188" s="1344"/>
      <c r="T188" s="1345" t="s">
        <v>590</v>
      </c>
      <c r="U188" s="1345"/>
      <c r="V188" s="1345"/>
      <c r="W188" s="1345"/>
      <c r="X188" s="1345"/>
      <c r="Y188" s="1345"/>
      <c r="Z188" s="1345"/>
      <c r="AA188" s="1345"/>
      <c r="AB188" s="1345"/>
      <c r="AC188" s="1345"/>
      <c r="AD188" s="534"/>
      <c r="AE188" s="534"/>
      <c r="AF188" s="534"/>
      <c r="AG188" s="534"/>
      <c r="AH188" s="534"/>
      <c r="AI188" s="534"/>
      <c r="AJ188" s="541"/>
      <c r="AK188" s="591"/>
      <c r="AL188" s="591"/>
      <c r="AM188" s="591"/>
      <c r="AN188" s="593"/>
      <c r="AP188" s="547" t="s">
        <v>1355</v>
      </c>
      <c r="AQ188" s="547">
        <v>10</v>
      </c>
      <c r="AS188" s="547" t="s">
        <v>590</v>
      </c>
    </row>
    <row r="189" spans="1:73" s="547" customFormat="1" ht="12.75" customHeight="1">
      <c r="A189" s="534"/>
      <c r="B189" s="601"/>
      <c r="C189" s="601"/>
      <c r="D189" s="601"/>
      <c r="E189" s="601"/>
      <c r="F189" s="601"/>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534"/>
      <c r="AF189" s="534"/>
      <c r="AG189" s="534"/>
      <c r="AH189" s="534"/>
      <c r="AI189" s="534"/>
      <c r="AJ189" s="541"/>
      <c r="AK189" s="591"/>
      <c r="AL189" s="591"/>
      <c r="AM189" s="614"/>
      <c r="AP189" s="547" t="s">
        <v>2614</v>
      </c>
      <c r="AQ189" s="547">
        <v>10</v>
      </c>
      <c r="AS189" s="547" t="s">
        <v>1356</v>
      </c>
    </row>
    <row r="190" spans="1:73" s="547" customFormat="1" ht="12.75" customHeight="1">
      <c r="A190" s="602"/>
      <c r="B190" s="560"/>
      <c r="C190" s="560"/>
      <c r="D190" s="560"/>
      <c r="E190" s="560"/>
      <c r="F190" s="560"/>
      <c r="G190" s="560"/>
      <c r="H190" s="560"/>
      <c r="I190" s="560"/>
      <c r="J190" s="560"/>
      <c r="K190" s="560"/>
      <c r="L190" s="560"/>
      <c r="M190" s="560"/>
      <c r="N190" s="560"/>
      <c r="O190" s="560"/>
      <c r="P190" s="560"/>
      <c r="Q190" s="560"/>
      <c r="R190" s="560"/>
      <c r="S190" s="560"/>
      <c r="T190" s="560"/>
      <c r="U190" s="560"/>
      <c r="V190" s="560"/>
      <c r="W190" s="560"/>
      <c r="X190" s="560"/>
      <c r="Y190" s="560"/>
      <c r="Z190" s="560"/>
      <c r="AA190" s="560"/>
      <c r="AB190" s="560"/>
      <c r="AC190" s="560"/>
      <c r="AD190" s="560"/>
      <c r="AE190" s="560"/>
      <c r="AF190" s="560"/>
      <c r="AG190" s="560"/>
      <c r="AH190" s="560"/>
      <c r="AI190" s="561"/>
      <c r="AJ190" s="561" t="s">
        <v>1357</v>
      </c>
      <c r="AK190" s="1360">
        <f>IF(AK83&gt;0,VLOOKUP($B$187,AP184:AQ190,2,FALSE),0)</f>
        <v>10</v>
      </c>
      <c r="AL190" s="1361"/>
      <c r="AM190" s="1362"/>
      <c r="AN190" s="533"/>
      <c r="AP190" s="547" t="s">
        <v>1359</v>
      </c>
      <c r="AQ190" s="547">
        <v>10</v>
      </c>
      <c r="AS190" s="547" t="s">
        <v>1358</v>
      </c>
    </row>
    <row r="191" spans="1:73" s="547" customFormat="1" ht="12.75" customHeight="1" thickBot="1">
      <c r="A191" s="615"/>
      <c r="B191" s="615"/>
      <c r="C191" s="616"/>
      <c r="D191" s="617"/>
      <c r="E191" s="617"/>
      <c r="F191" s="617"/>
      <c r="G191" s="617"/>
      <c r="H191" s="617"/>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7"/>
      <c r="AE191" s="617"/>
      <c r="AF191" s="617"/>
      <c r="AG191" s="617"/>
      <c r="AH191" s="617"/>
      <c r="AI191" s="617"/>
      <c r="AJ191" s="617"/>
      <c r="AK191" s="617"/>
      <c r="AL191" s="617"/>
      <c r="AM191" s="617"/>
      <c r="AN191" s="593"/>
    </row>
    <row r="192" spans="1:73" s="547" customFormat="1" ht="12.75" hidden="1" customHeight="1" thickTop="1">
      <c r="A192" s="566"/>
      <c r="B192" s="567"/>
      <c r="C192" s="568"/>
      <c r="D192" s="568"/>
      <c r="E192" s="568"/>
      <c r="F192" s="568"/>
      <c r="G192" s="568"/>
      <c r="H192" s="568"/>
      <c r="I192" s="569"/>
      <c r="J192" s="569"/>
      <c r="K192" s="569"/>
      <c r="L192" s="569"/>
      <c r="M192" s="569"/>
      <c r="N192" s="569"/>
      <c r="O192" s="569"/>
      <c r="P192" s="569"/>
      <c r="Q192" s="569"/>
      <c r="R192" s="566"/>
      <c r="S192" s="537"/>
      <c r="T192" s="537"/>
      <c r="U192" s="537"/>
      <c r="V192" s="537"/>
      <c r="W192" s="537"/>
      <c r="X192" s="537"/>
      <c r="Y192" s="537"/>
      <c r="Z192" s="537"/>
      <c r="AA192" s="537"/>
      <c r="AB192" s="537"/>
      <c r="AC192" s="537"/>
      <c r="AD192" s="537"/>
      <c r="AE192" s="537"/>
      <c r="AF192" s="566"/>
      <c r="AG192" s="537"/>
      <c r="AH192" s="537"/>
      <c r="AI192" s="537"/>
      <c r="AJ192" s="537"/>
      <c r="AN192" s="593"/>
    </row>
    <row r="193" spans="1:37" hidden="1">
      <c r="A193" s="536" t="s">
        <v>1360</v>
      </c>
      <c r="B193" s="536" t="s">
        <v>1361</v>
      </c>
      <c r="C193" s="609"/>
      <c r="D193" s="610"/>
      <c r="E193" s="610"/>
      <c r="F193" s="610"/>
      <c r="G193" s="610"/>
      <c r="H193" s="610"/>
      <c r="I193" s="610"/>
      <c r="J193" s="610"/>
      <c r="K193" s="547"/>
      <c r="L193" s="547"/>
      <c r="M193" s="547"/>
      <c r="N193" s="547"/>
      <c r="O193" s="547"/>
      <c r="P193" s="547"/>
      <c r="Q193" s="547"/>
      <c r="R193" s="547"/>
      <c r="S193" s="547"/>
      <c r="T193" s="547"/>
      <c r="U193" s="547"/>
      <c r="V193" s="547"/>
      <c r="W193" s="547"/>
      <c r="X193" s="547"/>
      <c r="Y193" s="611"/>
      <c r="Z193" s="611"/>
      <c r="AA193" s="611"/>
      <c r="AB193" s="611"/>
      <c r="AC193" s="547"/>
      <c r="AD193" s="547"/>
      <c r="AE193" s="1302" t="s">
        <v>1362</v>
      </c>
      <c r="AF193" s="1302"/>
      <c r="AG193" s="1302"/>
      <c r="AH193" s="1302"/>
      <c r="AI193" s="1302"/>
      <c r="AJ193" s="1302"/>
      <c r="AK193" s="1302"/>
    </row>
    <row r="194" spans="1:37" hidden="1">
      <c r="A194" s="536"/>
      <c r="B194" s="536"/>
      <c r="C194" s="609"/>
      <c r="D194" s="610"/>
      <c r="E194" s="610"/>
      <c r="F194" s="610"/>
      <c r="G194" s="610"/>
      <c r="H194" s="610"/>
      <c r="I194" s="610"/>
      <c r="J194" s="610"/>
      <c r="K194" s="534"/>
      <c r="L194" s="534"/>
      <c r="M194" s="534"/>
      <c r="N194" s="534"/>
      <c r="O194" s="534"/>
      <c r="P194" s="534"/>
      <c r="Q194" s="534"/>
      <c r="R194" s="534"/>
      <c r="S194" s="534"/>
      <c r="T194" s="534"/>
      <c r="U194" s="534"/>
      <c r="V194" s="534"/>
      <c r="W194" s="534"/>
      <c r="X194" s="534"/>
      <c r="Y194" s="611"/>
      <c r="Z194" s="611"/>
      <c r="AA194" s="611"/>
      <c r="AB194" s="611"/>
      <c r="AC194" s="534"/>
      <c r="AD194" s="534"/>
      <c r="AE194" s="541"/>
      <c r="AF194" s="541"/>
      <c r="AG194" s="541"/>
      <c r="AH194" s="541"/>
      <c r="AI194" s="541"/>
      <c r="AJ194" s="541"/>
      <c r="AK194" s="541"/>
    </row>
    <row r="195" spans="1:37" hidden="1">
      <c r="A195" s="536"/>
      <c r="B195" s="838" t="s">
        <v>1575</v>
      </c>
      <c r="C195" s="609"/>
      <c r="D195" s="610"/>
      <c r="E195" s="610"/>
      <c r="F195" s="610"/>
      <c r="G195" s="610"/>
      <c r="H195" s="610"/>
      <c r="I195" s="610"/>
      <c r="J195" s="610"/>
      <c r="K195" s="534"/>
      <c r="L195" s="534"/>
      <c r="M195" s="534"/>
      <c r="N195" s="534"/>
      <c r="O195" s="534"/>
      <c r="P195" s="534"/>
      <c r="Q195" s="534"/>
      <c r="R195" s="534"/>
      <c r="S195" s="534"/>
      <c r="T195" s="534"/>
      <c r="U195" s="534"/>
      <c r="V195" s="534"/>
      <c r="W195" s="534"/>
      <c r="X195" s="534"/>
      <c r="Y195" s="611"/>
      <c r="Z195" s="611"/>
      <c r="AA195" s="611"/>
      <c r="AB195" s="611"/>
      <c r="AC195" s="534"/>
      <c r="AD195" s="534"/>
      <c r="AE195" s="541"/>
      <c r="AF195" s="541"/>
      <c r="AG195" s="541"/>
      <c r="AH195" s="541"/>
      <c r="AI195" s="541"/>
      <c r="AJ195" s="541"/>
      <c r="AK195" s="541"/>
    </row>
    <row r="196" spans="1:37" hidden="1">
      <c r="A196" s="601"/>
      <c r="C196" s="657"/>
      <c r="D196" s="821"/>
      <c r="E196" s="821"/>
      <c r="F196" s="821"/>
      <c r="G196" s="821"/>
      <c r="H196" s="821"/>
      <c r="I196" s="821"/>
      <c r="J196" s="821"/>
      <c r="K196" s="534"/>
      <c r="L196" s="534"/>
      <c r="M196" s="534"/>
      <c r="N196" s="534"/>
      <c r="O196" s="534"/>
      <c r="P196" s="534"/>
      <c r="Q196" s="534"/>
      <c r="R196" s="534"/>
      <c r="S196" s="534"/>
      <c r="T196" s="534"/>
      <c r="U196" s="534"/>
      <c r="V196" s="534"/>
      <c r="W196" s="534"/>
      <c r="X196" s="534"/>
      <c r="Y196" s="639"/>
      <c r="Z196" s="639"/>
      <c r="AA196" s="639"/>
      <c r="AB196" s="639"/>
      <c r="AC196" s="534"/>
      <c r="AD196" s="534"/>
      <c r="AE196" s="606"/>
      <c r="AF196" s="606"/>
      <c r="AG196" s="606"/>
      <c r="AH196" s="606"/>
      <c r="AI196" s="606"/>
      <c r="AJ196" s="606"/>
      <c r="AK196" s="606"/>
    </row>
    <row r="197" spans="1:37" hidden="1">
      <c r="A197" s="601"/>
      <c r="B197" s="839" t="s">
        <v>1611</v>
      </c>
      <c r="C197" s="657"/>
      <c r="D197" s="821"/>
      <c r="E197" s="821"/>
      <c r="F197" s="821"/>
      <c r="G197" s="821"/>
      <c r="H197" s="821"/>
      <c r="I197" s="821"/>
      <c r="J197" s="821"/>
      <c r="K197" s="534"/>
      <c r="L197" s="534"/>
      <c r="M197" s="534"/>
      <c r="N197" s="534"/>
      <c r="O197" s="534"/>
      <c r="P197" s="534"/>
      <c r="Q197" s="534"/>
      <c r="R197" s="534"/>
      <c r="S197" s="534"/>
      <c r="T197" s="534"/>
      <c r="U197" s="534"/>
      <c r="V197" s="534"/>
      <c r="W197" s="534"/>
      <c r="X197" s="534"/>
      <c r="Y197" s="639"/>
      <c r="Z197" s="639"/>
      <c r="AA197" s="639"/>
      <c r="AB197" s="639"/>
      <c r="AC197" s="534"/>
      <c r="AD197" s="534"/>
      <c r="AE197" s="606"/>
      <c r="AF197" s="606"/>
      <c r="AG197" s="606"/>
      <c r="AH197" s="606"/>
      <c r="AI197" s="606"/>
      <c r="AJ197" s="606"/>
      <c r="AK197" s="606"/>
    </row>
    <row r="198" spans="1:37" hidden="1">
      <c r="A198" s="601"/>
      <c r="B198" s="1337"/>
      <c r="C198" s="1337"/>
      <c r="D198" s="1337"/>
      <c r="E198" s="1337"/>
      <c r="F198" s="1337"/>
      <c r="G198" s="1337"/>
      <c r="H198" s="1337"/>
      <c r="I198" s="1337"/>
      <c r="J198" s="1337"/>
      <c r="K198" s="1337"/>
      <c r="L198" s="1337"/>
      <c r="M198" s="1337"/>
      <c r="N198" s="1337"/>
      <c r="O198" s="1337"/>
      <c r="P198" s="1337"/>
      <c r="Q198" s="1337"/>
      <c r="R198" s="1337"/>
      <c r="S198" s="1337"/>
      <c r="T198" s="1337"/>
      <c r="U198" s="1337"/>
      <c r="V198" s="1337"/>
      <c r="W198" s="1337"/>
      <c r="X198" s="1337"/>
      <c r="Y198" s="1337"/>
      <c r="Z198" s="1337"/>
      <c r="AA198" s="1337"/>
      <c r="AB198" s="1337"/>
      <c r="AC198" s="840"/>
      <c r="AD198" s="1338"/>
      <c r="AE198" s="1338"/>
      <c r="AF198" s="1338"/>
      <c r="AG198" s="1338"/>
      <c r="AH198" s="1338"/>
      <c r="AI198" s="1338"/>
      <c r="AJ198" s="1338"/>
      <c r="AK198" s="606"/>
    </row>
    <row r="199" spans="1:37" hidden="1">
      <c r="A199" s="601"/>
      <c r="B199" s="1337"/>
      <c r="C199" s="1337"/>
      <c r="D199" s="1337"/>
      <c r="E199" s="1337"/>
      <c r="F199" s="1337"/>
      <c r="G199" s="1337"/>
      <c r="H199" s="1337"/>
      <c r="I199" s="1337"/>
      <c r="J199" s="1337"/>
      <c r="K199" s="1337"/>
      <c r="L199" s="1337"/>
      <c r="M199" s="1337"/>
      <c r="N199" s="1337"/>
      <c r="O199" s="1337"/>
      <c r="P199" s="1337"/>
      <c r="Q199" s="1337"/>
      <c r="R199" s="1337"/>
      <c r="S199" s="1337"/>
      <c r="T199" s="1337"/>
      <c r="U199" s="1337"/>
      <c r="V199" s="1337"/>
      <c r="W199" s="1337"/>
      <c r="X199" s="1337"/>
      <c r="Y199" s="1337"/>
      <c r="Z199" s="1337"/>
      <c r="AA199" s="1337"/>
      <c r="AB199" s="1337"/>
      <c r="AC199" s="840"/>
      <c r="AD199" s="1338"/>
      <c r="AE199" s="1338"/>
      <c r="AF199" s="1338"/>
      <c r="AG199" s="1338"/>
      <c r="AH199" s="1338"/>
      <c r="AI199" s="1338"/>
      <c r="AJ199" s="1338"/>
      <c r="AK199" s="606"/>
    </row>
    <row r="200" spans="1:37" hidden="1">
      <c r="A200" s="601"/>
      <c r="B200" s="1337"/>
      <c r="C200" s="1337"/>
      <c r="D200" s="1337"/>
      <c r="E200" s="1337"/>
      <c r="F200" s="1337"/>
      <c r="G200" s="1337"/>
      <c r="H200" s="1337"/>
      <c r="I200" s="1337"/>
      <c r="J200" s="1337"/>
      <c r="K200" s="1337"/>
      <c r="L200" s="1337"/>
      <c r="M200" s="1337"/>
      <c r="N200" s="1337"/>
      <c r="O200" s="1337"/>
      <c r="P200" s="1337"/>
      <c r="Q200" s="1337"/>
      <c r="R200" s="1337"/>
      <c r="S200" s="1337"/>
      <c r="T200" s="1337"/>
      <c r="U200" s="1337"/>
      <c r="V200" s="1337"/>
      <c r="W200" s="1337"/>
      <c r="X200" s="1337"/>
      <c r="Y200" s="1337"/>
      <c r="Z200" s="1337"/>
      <c r="AA200" s="1337"/>
      <c r="AB200" s="1337"/>
      <c r="AC200" s="840"/>
      <c r="AD200" s="1338"/>
      <c r="AE200" s="1338"/>
      <c r="AF200" s="1338"/>
      <c r="AG200" s="1338"/>
      <c r="AH200" s="1338"/>
      <c r="AI200" s="1338"/>
      <c r="AJ200" s="1338"/>
      <c r="AK200" s="606"/>
    </row>
    <row r="201" spans="1:37" hidden="1">
      <c r="A201" s="601"/>
      <c r="B201" s="1337"/>
      <c r="C201" s="1337"/>
      <c r="D201" s="1337"/>
      <c r="E201" s="1337"/>
      <c r="F201" s="1337"/>
      <c r="G201" s="1337"/>
      <c r="H201" s="1337"/>
      <c r="I201" s="1337"/>
      <c r="J201" s="1337"/>
      <c r="K201" s="1337"/>
      <c r="L201" s="1337"/>
      <c r="M201" s="1337"/>
      <c r="N201" s="1337"/>
      <c r="O201" s="1337"/>
      <c r="P201" s="1337"/>
      <c r="Q201" s="1337"/>
      <c r="R201" s="1337"/>
      <c r="S201" s="1337"/>
      <c r="T201" s="1337"/>
      <c r="U201" s="1337"/>
      <c r="V201" s="1337"/>
      <c r="W201" s="1337"/>
      <c r="X201" s="1337"/>
      <c r="Y201" s="1337"/>
      <c r="Z201" s="1337"/>
      <c r="AA201" s="1337"/>
      <c r="AB201" s="1337"/>
      <c r="AC201" s="840"/>
      <c r="AD201" s="1338"/>
      <c r="AE201" s="1338"/>
      <c r="AF201" s="1338"/>
      <c r="AG201" s="1338"/>
      <c r="AH201" s="1338"/>
      <c r="AI201" s="1338"/>
      <c r="AJ201" s="1338"/>
      <c r="AK201" s="606"/>
    </row>
    <row r="202" spans="1:37" hidden="1">
      <c r="A202" s="601"/>
      <c r="B202" s="1337"/>
      <c r="C202" s="1337"/>
      <c r="D202" s="1337"/>
      <c r="E202" s="1337"/>
      <c r="F202" s="1337"/>
      <c r="G202" s="1337"/>
      <c r="H202" s="1337"/>
      <c r="I202" s="1337"/>
      <c r="J202" s="1337"/>
      <c r="K202" s="1337"/>
      <c r="L202" s="1337"/>
      <c r="M202" s="1337"/>
      <c r="N202" s="1337"/>
      <c r="O202" s="1337"/>
      <c r="P202" s="1337"/>
      <c r="Q202" s="1337"/>
      <c r="R202" s="1337"/>
      <c r="S202" s="1337"/>
      <c r="T202" s="1337"/>
      <c r="U202" s="1337"/>
      <c r="V202" s="1337"/>
      <c r="W202" s="1337"/>
      <c r="X202" s="1337"/>
      <c r="Y202" s="1337"/>
      <c r="Z202" s="1337"/>
      <c r="AA202" s="1337"/>
      <c r="AB202" s="1337"/>
      <c r="AC202" s="840"/>
      <c r="AD202" s="1338"/>
      <c r="AE202" s="1338"/>
      <c r="AF202" s="1338"/>
      <c r="AG202" s="1338"/>
      <c r="AH202" s="1338"/>
      <c r="AI202" s="1338"/>
      <c r="AJ202" s="1338"/>
      <c r="AK202" s="606"/>
    </row>
    <row r="203" spans="1:37" hidden="1">
      <c r="A203" s="601"/>
      <c r="B203" s="1337"/>
      <c r="C203" s="1337"/>
      <c r="D203" s="1337"/>
      <c r="E203" s="1337"/>
      <c r="F203" s="1337"/>
      <c r="G203" s="1337"/>
      <c r="H203" s="1337"/>
      <c r="I203" s="1337"/>
      <c r="J203" s="1337"/>
      <c r="K203" s="1337"/>
      <c r="L203" s="1337"/>
      <c r="M203" s="1337"/>
      <c r="N203" s="1337"/>
      <c r="O203" s="1337"/>
      <c r="P203" s="1337"/>
      <c r="Q203" s="1337"/>
      <c r="R203" s="1337"/>
      <c r="S203" s="1337"/>
      <c r="T203" s="1337"/>
      <c r="U203" s="1337"/>
      <c r="V203" s="1337"/>
      <c r="W203" s="1337"/>
      <c r="X203" s="1337"/>
      <c r="Y203" s="1337"/>
      <c r="Z203" s="1337"/>
      <c r="AA203" s="1337"/>
      <c r="AB203" s="1337"/>
      <c r="AC203" s="840"/>
      <c r="AD203" s="1338"/>
      <c r="AE203" s="1338"/>
      <c r="AF203" s="1338"/>
      <c r="AG203" s="1338"/>
      <c r="AH203" s="1338"/>
      <c r="AI203" s="1338"/>
      <c r="AJ203" s="1338"/>
      <c r="AK203" s="606"/>
    </row>
    <row r="204" spans="1:37" hidden="1">
      <c r="A204" s="601"/>
      <c r="B204" s="1337"/>
      <c r="C204" s="1337"/>
      <c r="D204" s="1337"/>
      <c r="E204" s="1337"/>
      <c r="F204" s="1337"/>
      <c r="G204" s="1337"/>
      <c r="H204" s="1337"/>
      <c r="I204" s="1337"/>
      <c r="J204" s="1337"/>
      <c r="K204" s="1337"/>
      <c r="L204" s="1337"/>
      <c r="M204" s="1337"/>
      <c r="N204" s="1337"/>
      <c r="O204" s="1337"/>
      <c r="P204" s="1337"/>
      <c r="Q204" s="1337"/>
      <c r="R204" s="1337"/>
      <c r="S204" s="1337"/>
      <c r="T204" s="1337"/>
      <c r="U204" s="1337"/>
      <c r="V204" s="1337"/>
      <c r="W204" s="1337"/>
      <c r="X204" s="1337"/>
      <c r="Y204" s="1337"/>
      <c r="Z204" s="1337"/>
      <c r="AA204" s="1337"/>
      <c r="AB204" s="1337"/>
      <c r="AC204" s="840"/>
      <c r="AD204" s="1338"/>
      <c r="AE204" s="1338"/>
      <c r="AF204" s="1338"/>
      <c r="AG204" s="1338"/>
      <c r="AH204" s="1338"/>
      <c r="AI204" s="1338"/>
      <c r="AJ204" s="1338"/>
      <c r="AK204" s="606"/>
    </row>
    <row r="205" spans="1:37" hidden="1">
      <c r="A205" s="601"/>
      <c r="B205" s="1337"/>
      <c r="C205" s="1337"/>
      <c r="D205" s="1337"/>
      <c r="E205" s="1337"/>
      <c r="F205" s="1337"/>
      <c r="G205" s="1337"/>
      <c r="H205" s="1337"/>
      <c r="I205" s="1337"/>
      <c r="J205" s="1337"/>
      <c r="K205" s="1337"/>
      <c r="L205" s="1337"/>
      <c r="M205" s="1337"/>
      <c r="N205" s="1337"/>
      <c r="O205" s="1337"/>
      <c r="P205" s="1337"/>
      <c r="Q205" s="1337"/>
      <c r="R205" s="1337"/>
      <c r="S205" s="1337"/>
      <c r="T205" s="1337"/>
      <c r="U205" s="1337"/>
      <c r="V205" s="1337"/>
      <c r="W205" s="1337"/>
      <c r="X205" s="1337"/>
      <c r="Y205" s="1337"/>
      <c r="Z205" s="1337"/>
      <c r="AA205" s="1337"/>
      <c r="AB205" s="1337"/>
      <c r="AC205" s="840"/>
      <c r="AD205" s="1338"/>
      <c r="AE205" s="1338"/>
      <c r="AF205" s="1338"/>
      <c r="AG205" s="1338"/>
      <c r="AH205" s="1338"/>
      <c r="AI205" s="1338"/>
      <c r="AJ205" s="1338"/>
      <c r="AK205" s="606"/>
    </row>
    <row r="206" spans="1:37" hidden="1">
      <c r="A206" s="601"/>
      <c r="B206" s="1337"/>
      <c r="C206" s="1337"/>
      <c r="D206" s="1337"/>
      <c r="E206" s="1337"/>
      <c r="F206" s="1337"/>
      <c r="G206" s="1337"/>
      <c r="H206" s="1337"/>
      <c r="I206" s="1337"/>
      <c r="J206" s="1337"/>
      <c r="K206" s="1337"/>
      <c r="L206" s="1337"/>
      <c r="M206" s="1337"/>
      <c r="N206" s="1337"/>
      <c r="O206" s="1337"/>
      <c r="P206" s="1337"/>
      <c r="Q206" s="1337"/>
      <c r="R206" s="1337"/>
      <c r="S206" s="1337"/>
      <c r="T206" s="1337"/>
      <c r="U206" s="1337"/>
      <c r="V206" s="1337"/>
      <c r="W206" s="1337"/>
      <c r="X206" s="1337"/>
      <c r="Y206" s="1337"/>
      <c r="Z206" s="1337"/>
      <c r="AA206" s="1337"/>
      <c r="AB206" s="1337"/>
      <c r="AC206" s="840"/>
      <c r="AD206" s="1338"/>
      <c r="AE206" s="1338"/>
      <c r="AF206" s="1338"/>
      <c r="AG206" s="1338"/>
      <c r="AH206" s="1338"/>
      <c r="AI206" s="1338"/>
      <c r="AJ206" s="1338"/>
      <c r="AK206" s="606"/>
    </row>
    <row r="207" spans="1:37" hidden="1">
      <c r="A207" s="601"/>
      <c r="B207" s="1337"/>
      <c r="C207" s="1337"/>
      <c r="D207" s="1337"/>
      <c r="E207" s="1337"/>
      <c r="F207" s="1337"/>
      <c r="G207" s="1337"/>
      <c r="H207" s="1337"/>
      <c r="I207" s="1337"/>
      <c r="J207" s="1337"/>
      <c r="K207" s="1337"/>
      <c r="L207" s="1337"/>
      <c r="M207" s="1337"/>
      <c r="N207" s="1337"/>
      <c r="O207" s="1337"/>
      <c r="P207" s="1337"/>
      <c r="Q207" s="1337"/>
      <c r="R207" s="1337"/>
      <c r="S207" s="1337"/>
      <c r="T207" s="1337"/>
      <c r="U207" s="1337"/>
      <c r="V207" s="1337"/>
      <c r="W207" s="1337"/>
      <c r="X207" s="1337"/>
      <c r="Y207" s="1337"/>
      <c r="Z207" s="1337"/>
      <c r="AA207" s="1337"/>
      <c r="AB207" s="1337"/>
      <c r="AC207" s="840"/>
      <c r="AD207" s="1338"/>
      <c r="AE207" s="1338"/>
      <c r="AF207" s="1338"/>
      <c r="AG207" s="1338"/>
      <c r="AH207" s="1338"/>
      <c r="AI207" s="1338"/>
      <c r="AJ207" s="1338"/>
      <c r="AK207" s="606"/>
    </row>
    <row r="208" spans="1:37" hidden="1">
      <c r="A208" s="601"/>
      <c r="B208" s="1385" t="s">
        <v>1613</v>
      </c>
      <c r="C208" s="1385"/>
      <c r="D208" s="1385"/>
      <c r="E208" s="1385"/>
      <c r="F208" s="1385"/>
      <c r="G208" s="1385"/>
      <c r="H208" s="1385"/>
      <c r="I208" s="1385"/>
      <c r="J208" s="1385"/>
      <c r="K208" s="1385"/>
      <c r="L208" s="1385"/>
      <c r="M208" s="1385"/>
      <c r="N208" s="1385"/>
      <c r="O208" s="1385"/>
      <c r="P208" s="1385"/>
      <c r="Q208" s="1385"/>
      <c r="R208" s="1385"/>
      <c r="S208" s="1385"/>
      <c r="T208" s="1385"/>
      <c r="U208" s="1385"/>
      <c r="V208" s="1385"/>
      <c r="W208" s="1385"/>
      <c r="X208" s="1385"/>
      <c r="Y208" s="1385"/>
      <c r="Z208" s="1385"/>
      <c r="AA208" s="1385"/>
      <c r="AB208" s="1385"/>
      <c r="AC208" s="534"/>
      <c r="AD208" s="1367">
        <f>AB259</f>
        <v>0</v>
      </c>
      <c r="AE208" s="1367"/>
      <c r="AF208" s="1367"/>
      <c r="AG208" s="1367"/>
      <c r="AH208" s="1367"/>
      <c r="AI208" s="1367"/>
      <c r="AJ208" s="1367"/>
      <c r="AK208" s="606"/>
    </row>
    <row r="209" spans="1:37" hidden="1">
      <c r="A209" s="601"/>
      <c r="B209" s="1523" t="s">
        <v>1576</v>
      </c>
      <c r="C209" s="1523"/>
      <c r="D209" s="1523"/>
      <c r="E209" s="1523"/>
      <c r="F209" s="1523"/>
      <c r="G209" s="1523"/>
      <c r="H209" s="1523"/>
      <c r="I209" s="1523"/>
      <c r="J209" s="1523"/>
      <c r="K209" s="1523"/>
      <c r="L209" s="1523"/>
      <c r="M209" s="1523"/>
      <c r="N209" s="1523"/>
      <c r="O209" s="1523"/>
      <c r="P209" s="1523"/>
      <c r="Q209" s="1523"/>
      <c r="R209" s="1523"/>
      <c r="S209" s="1523"/>
      <c r="T209" s="1523"/>
      <c r="U209" s="1523"/>
      <c r="V209" s="1523"/>
      <c r="W209" s="1523"/>
      <c r="X209" s="1523"/>
      <c r="Y209" s="1523"/>
      <c r="Z209" s="1523"/>
      <c r="AA209" s="1523"/>
      <c r="AB209" s="1523"/>
      <c r="AC209" s="840"/>
      <c r="AD209" s="1368">
        <f>'Sources and Uses Budget'!B15</f>
        <v>0</v>
      </c>
      <c r="AE209" s="1368"/>
      <c r="AF209" s="1368"/>
      <c r="AG209" s="1368"/>
      <c r="AH209" s="1368"/>
      <c r="AI209" s="1368"/>
      <c r="AJ209" s="1368"/>
      <c r="AK209" s="606"/>
    </row>
    <row r="210" spans="1:37" hidden="1">
      <c r="A210" s="601"/>
      <c r="B210" s="445"/>
      <c r="C210" s="445"/>
      <c r="D210" s="445"/>
      <c r="E210" s="445"/>
      <c r="F210" s="445"/>
      <c r="G210" s="445"/>
      <c r="H210" s="445"/>
      <c r="I210" s="445"/>
      <c r="J210" s="445"/>
      <c r="K210" s="445"/>
      <c r="L210" s="445"/>
      <c r="M210" s="445"/>
      <c r="N210" s="445"/>
      <c r="O210" s="445"/>
      <c r="P210" s="445"/>
      <c r="Q210" s="445"/>
      <c r="R210" s="445"/>
      <c r="S210" s="445"/>
      <c r="T210" s="445"/>
      <c r="U210" s="445"/>
      <c r="V210" s="445"/>
      <c r="W210" s="445"/>
      <c r="X210" s="445"/>
      <c r="Y210" s="445"/>
      <c r="Z210" s="445"/>
      <c r="AA210" s="445"/>
      <c r="AB210" s="619" t="s">
        <v>896</v>
      </c>
      <c r="AC210" s="534"/>
      <c r="AD210" s="1372">
        <f>SUM(AD198:AJ208)-AD209</f>
        <v>0</v>
      </c>
      <c r="AE210" s="1372"/>
      <c r="AF210" s="1372"/>
      <c r="AG210" s="1372"/>
      <c r="AH210" s="1372"/>
      <c r="AI210" s="1372"/>
      <c r="AJ210" s="1372"/>
      <c r="AK210" s="606"/>
    </row>
    <row r="211" spans="1:37" hidden="1">
      <c r="A211" s="601"/>
      <c r="B211" s="601"/>
      <c r="C211" s="657"/>
      <c r="D211" s="821"/>
      <c r="E211" s="821"/>
      <c r="F211" s="821"/>
      <c r="G211" s="821"/>
      <c r="H211" s="821"/>
      <c r="I211" s="821"/>
      <c r="J211" s="821"/>
      <c r="K211" s="534"/>
      <c r="L211" s="534"/>
      <c r="M211" s="534"/>
      <c r="N211" s="534"/>
      <c r="O211" s="534"/>
      <c r="P211" s="534"/>
      <c r="Q211" s="534"/>
      <c r="R211" s="534"/>
      <c r="S211" s="534"/>
      <c r="T211" s="534"/>
      <c r="U211" s="534"/>
      <c r="V211" s="534"/>
      <c r="W211" s="534"/>
      <c r="X211" s="534"/>
      <c r="Y211" s="639"/>
      <c r="Z211" s="639"/>
      <c r="AA211" s="639"/>
      <c r="AB211" s="639"/>
      <c r="AC211" s="534"/>
      <c r="AD211" s="534"/>
      <c r="AE211" s="606"/>
      <c r="AF211" s="606"/>
      <c r="AG211" s="606"/>
      <c r="AH211" s="606"/>
      <c r="AI211" s="606"/>
      <c r="AJ211" s="606"/>
      <c r="AK211" s="606"/>
    </row>
    <row r="212" spans="1:37" hidden="1">
      <c r="A212" s="601"/>
      <c r="B212" s="496" t="s">
        <v>1581</v>
      </c>
      <c r="C212" s="657"/>
      <c r="D212" s="821"/>
      <c r="E212" s="821"/>
      <c r="F212" s="821"/>
      <c r="G212" s="821"/>
      <c r="H212" s="821"/>
      <c r="I212" s="821"/>
      <c r="J212" s="821"/>
      <c r="K212" s="534"/>
      <c r="L212" s="534"/>
      <c r="M212" s="534"/>
      <c r="N212" s="534"/>
      <c r="O212" s="534"/>
      <c r="P212" s="534"/>
      <c r="Q212" s="534"/>
      <c r="R212" s="534"/>
      <c r="S212" s="534"/>
      <c r="T212" s="534"/>
      <c r="U212" s="534"/>
      <c r="V212" s="534"/>
      <c r="W212" s="534"/>
      <c r="X212" s="534"/>
      <c r="Y212" s="639"/>
      <c r="Z212" s="639"/>
      <c r="AA212" s="639"/>
      <c r="AB212" s="639"/>
      <c r="AC212" s="534"/>
      <c r="AD212" s="534"/>
      <c r="AE212" s="606"/>
      <c r="AF212" s="606"/>
      <c r="AG212" s="606"/>
      <c r="AH212" s="606"/>
      <c r="AI212" s="606"/>
      <c r="AJ212" s="606"/>
      <c r="AK212" s="606"/>
    </row>
    <row r="213" spans="1:37" hidden="1">
      <c r="A213" s="601"/>
      <c r="B213" s="474" t="s">
        <v>1612</v>
      </c>
      <c r="C213" s="657"/>
      <c r="D213" s="821"/>
      <c r="E213" s="821"/>
      <c r="F213" s="821"/>
      <c r="G213" s="821"/>
      <c r="H213" s="821"/>
      <c r="I213" s="821"/>
      <c r="J213" s="821"/>
      <c r="K213" s="534"/>
      <c r="L213" s="534"/>
      <c r="M213" s="534"/>
      <c r="N213" s="534"/>
      <c r="O213" s="534"/>
      <c r="P213" s="534"/>
      <c r="Q213" s="534"/>
      <c r="R213" s="534"/>
      <c r="S213" s="534"/>
      <c r="T213" s="534"/>
      <c r="U213" s="534"/>
      <c r="V213" s="534"/>
      <c r="W213" s="534"/>
      <c r="X213" s="534"/>
      <c r="Y213" s="639"/>
      <c r="Z213" s="639"/>
      <c r="AA213" s="639"/>
      <c r="AB213" s="639"/>
      <c r="AC213" s="534"/>
      <c r="AD213" s="534"/>
      <c r="AE213" s="606"/>
      <c r="AF213" s="606"/>
      <c r="AG213" s="606"/>
      <c r="AH213" s="606"/>
      <c r="AI213" s="606"/>
      <c r="AJ213" s="606"/>
      <c r="AK213" s="606"/>
    </row>
    <row r="214" spans="1:37" hidden="1">
      <c r="A214" s="848"/>
      <c r="B214" s="871" t="s">
        <v>1583</v>
      </c>
      <c r="C214" s="872"/>
      <c r="D214" s="873"/>
      <c r="E214" s="873"/>
      <c r="F214" s="873"/>
      <c r="G214" s="873"/>
      <c r="H214" s="873"/>
      <c r="I214" s="873"/>
      <c r="J214" s="873"/>
      <c r="K214" s="874"/>
      <c r="L214" s="874"/>
      <c r="M214" s="874"/>
      <c r="N214" s="874"/>
      <c r="O214" s="874"/>
      <c r="P214" s="874"/>
      <c r="Q214" s="874"/>
      <c r="R214" s="874"/>
      <c r="S214" s="738"/>
      <c r="T214" s="738"/>
      <c r="U214" s="738"/>
      <c r="V214" s="738"/>
      <c r="W214" s="738"/>
      <c r="X214" s="738"/>
      <c r="Y214" s="822"/>
      <c r="Z214" s="822"/>
      <c r="AA214" s="822"/>
      <c r="AB214" s="822"/>
      <c r="AC214" s="738"/>
      <c r="AD214" s="738"/>
      <c r="AE214" s="823"/>
      <c r="AF214" s="823"/>
      <c r="AG214" s="823"/>
      <c r="AH214" s="823"/>
      <c r="AI214" s="823"/>
      <c r="AJ214" s="824"/>
      <c r="AK214" s="606"/>
    </row>
    <row r="215" spans="1:37" hidden="1">
      <c r="A215" s="848"/>
      <c r="B215" s="875" t="s">
        <v>1584</v>
      </c>
      <c r="C215" s="876"/>
      <c r="D215" s="877"/>
      <c r="E215" s="877"/>
      <c r="F215" s="877"/>
      <c r="G215" s="877"/>
      <c r="H215" s="877"/>
      <c r="I215" s="877"/>
      <c r="J215" s="877"/>
      <c r="K215" s="878"/>
      <c r="L215" s="878"/>
      <c r="M215" s="878"/>
      <c r="N215" s="878"/>
      <c r="O215" s="878"/>
      <c r="P215" s="878"/>
      <c r="Q215" s="878"/>
      <c r="R215" s="878"/>
      <c r="S215" s="534"/>
      <c r="T215" s="534"/>
      <c r="U215" s="534"/>
      <c r="V215" s="534"/>
      <c r="W215" s="534"/>
      <c r="X215" s="534"/>
      <c r="Y215" s="639"/>
      <c r="Z215" s="639"/>
      <c r="AA215" s="639"/>
      <c r="AB215" s="639"/>
      <c r="AC215" s="534"/>
      <c r="AD215" s="534"/>
      <c r="AE215" s="606"/>
      <c r="AF215" s="606"/>
      <c r="AG215" s="606"/>
      <c r="AH215" s="606"/>
      <c r="AI215" s="606"/>
      <c r="AJ215" s="825"/>
      <c r="AK215" s="606"/>
    </row>
    <row r="216" spans="1:37" hidden="1">
      <c r="A216" s="848"/>
      <c r="B216" s="875" t="s">
        <v>1982</v>
      </c>
      <c r="C216" s="876"/>
      <c r="D216" s="877"/>
      <c r="E216" s="877"/>
      <c r="F216" s="877"/>
      <c r="G216" s="877"/>
      <c r="H216" s="877"/>
      <c r="I216" s="877"/>
      <c r="J216" s="877"/>
      <c r="K216" s="878"/>
      <c r="L216" s="878"/>
      <c r="M216" s="878"/>
      <c r="N216" s="878"/>
      <c r="O216" s="878"/>
      <c r="P216" s="878"/>
      <c r="Q216" s="878"/>
      <c r="R216" s="878"/>
      <c r="S216" s="534"/>
      <c r="T216" s="534"/>
      <c r="U216" s="534"/>
      <c r="V216" s="534"/>
      <c r="W216" s="534"/>
      <c r="X216" s="534"/>
      <c r="Y216" s="639"/>
      <c r="Z216" s="639"/>
      <c r="AA216" s="639"/>
      <c r="AB216" s="639"/>
      <c r="AC216" s="534"/>
      <c r="AD216" s="534"/>
      <c r="AE216" s="606"/>
      <c r="AF216" s="606"/>
      <c r="AG216" s="606"/>
      <c r="AH216" s="606"/>
      <c r="AI216" s="606"/>
      <c r="AJ216" s="825"/>
      <c r="AK216" s="606"/>
    </row>
    <row r="217" spans="1:37" hidden="1">
      <c r="A217" s="848"/>
      <c r="B217" s="875" t="s">
        <v>1585</v>
      </c>
      <c r="C217" s="876"/>
      <c r="D217" s="877"/>
      <c r="E217" s="877"/>
      <c r="F217" s="877"/>
      <c r="G217" s="877"/>
      <c r="H217" s="877"/>
      <c r="I217" s="877"/>
      <c r="J217" s="877"/>
      <c r="K217" s="878"/>
      <c r="L217" s="878"/>
      <c r="M217" s="878"/>
      <c r="N217" s="878"/>
      <c r="O217" s="878"/>
      <c r="P217" s="878"/>
      <c r="Q217" s="878"/>
      <c r="R217" s="878"/>
      <c r="S217" s="534"/>
      <c r="T217" s="534"/>
      <c r="U217" s="534"/>
      <c r="V217" s="534"/>
      <c r="W217" s="534"/>
      <c r="X217" s="534"/>
      <c r="Y217" s="639"/>
      <c r="Z217" s="639"/>
      <c r="AA217" s="639"/>
      <c r="AB217" s="639"/>
      <c r="AC217" s="534"/>
      <c r="AD217" s="534"/>
      <c r="AE217" s="606"/>
      <c r="AF217" s="606"/>
      <c r="AG217" s="606"/>
      <c r="AH217" s="606"/>
      <c r="AI217" s="606"/>
      <c r="AJ217" s="825"/>
      <c r="AK217" s="606"/>
    </row>
    <row r="218" spans="1:37" hidden="1">
      <c r="A218" s="848"/>
      <c r="B218" s="879" t="s">
        <v>1586</v>
      </c>
      <c r="C218" s="876"/>
      <c r="D218" s="877"/>
      <c r="E218" s="877"/>
      <c r="F218" s="877"/>
      <c r="G218" s="877"/>
      <c r="H218" s="877"/>
      <c r="I218" s="877"/>
      <c r="J218" s="877"/>
      <c r="K218" s="878"/>
      <c r="L218" s="878"/>
      <c r="M218" s="878"/>
      <c r="N218" s="878"/>
      <c r="O218" s="878"/>
      <c r="P218" s="878"/>
      <c r="Q218" s="878"/>
      <c r="R218" s="878"/>
      <c r="S218" s="534"/>
      <c r="T218" s="534"/>
      <c r="U218" s="534"/>
      <c r="V218" s="534"/>
      <c r="W218" s="534"/>
      <c r="X218" s="534"/>
      <c r="Y218" s="639"/>
      <c r="Z218" s="639"/>
      <c r="AA218" s="639"/>
      <c r="AB218" s="639"/>
      <c r="AC218" s="534"/>
      <c r="AD218" s="534"/>
      <c r="AE218" s="606"/>
      <c r="AF218" s="606"/>
      <c r="AG218" s="606"/>
      <c r="AH218" s="606"/>
      <c r="AI218" s="606"/>
      <c r="AJ218" s="825"/>
      <c r="AK218" s="606"/>
    </row>
    <row r="219" spans="1:37" hidden="1">
      <c r="A219" s="848"/>
      <c r="B219" s="880" t="s">
        <v>1622</v>
      </c>
      <c r="C219" s="881"/>
      <c r="D219" s="882"/>
      <c r="E219" s="882"/>
      <c r="F219" s="882"/>
      <c r="G219" s="882"/>
      <c r="H219" s="882"/>
      <c r="I219" s="882"/>
      <c r="J219" s="882"/>
      <c r="K219" s="883"/>
      <c r="L219" s="883"/>
      <c r="M219" s="883"/>
      <c r="N219" s="883"/>
      <c r="O219" s="883"/>
      <c r="P219" s="883"/>
      <c r="Q219" s="883"/>
      <c r="R219" s="883"/>
      <c r="S219" s="731"/>
      <c r="T219" s="731"/>
      <c r="U219" s="731"/>
      <c r="V219" s="731"/>
      <c r="W219" s="731"/>
      <c r="X219" s="731"/>
      <c r="Y219" s="826"/>
      <c r="Z219" s="826"/>
      <c r="AA219" s="826"/>
      <c r="AB219" s="826"/>
      <c r="AC219" s="731"/>
      <c r="AD219" s="731"/>
      <c r="AE219" s="827"/>
      <c r="AF219" s="827"/>
      <c r="AG219" s="827"/>
      <c r="AH219" s="827"/>
      <c r="AI219" s="827"/>
      <c r="AJ219" s="828"/>
      <c r="AK219" s="606"/>
    </row>
    <row r="220" spans="1:37" hidden="1">
      <c r="A220" s="601"/>
      <c r="B220" s="601"/>
      <c r="C220" s="657"/>
      <c r="D220" s="821"/>
      <c r="E220" s="821"/>
      <c r="F220" s="821"/>
      <c r="G220" s="821"/>
      <c r="H220" s="821"/>
      <c r="I220" s="821"/>
      <c r="J220" s="821"/>
      <c r="K220" s="534"/>
      <c r="L220" s="534"/>
      <c r="M220" s="534"/>
      <c r="N220" s="534"/>
      <c r="O220" s="534"/>
      <c r="P220" s="534"/>
      <c r="Q220" s="534"/>
      <c r="R220" s="534"/>
      <c r="S220" s="534"/>
      <c r="T220" s="534"/>
      <c r="U220" s="534"/>
      <c r="V220" s="534"/>
      <c r="W220" s="534"/>
      <c r="X220" s="534"/>
      <c r="Y220" s="639"/>
      <c r="Z220" s="639"/>
      <c r="AA220" s="639"/>
      <c r="AB220" s="639"/>
      <c r="AC220" s="534"/>
      <c r="AD220" s="534"/>
      <c r="AE220" s="606"/>
      <c r="AF220" s="606"/>
      <c r="AG220" s="606"/>
      <c r="AH220" s="606"/>
      <c r="AI220" s="606"/>
      <c r="AJ220" s="606"/>
      <c r="AK220" s="606"/>
    </row>
    <row r="221" spans="1:37" hidden="1">
      <c r="A221" s="601"/>
      <c r="B221" s="842"/>
      <c r="C221" s="474"/>
      <c r="D221" s="474"/>
      <c r="I221" s="1341" t="s">
        <v>1593</v>
      </c>
      <c r="J221" s="1341"/>
      <c r="K221" s="1341"/>
      <c r="L221" s="534"/>
      <c r="M221" s="534"/>
      <c r="N221" s="534"/>
      <c r="O221" s="534"/>
      <c r="P221" s="534"/>
      <c r="Q221" s="534"/>
      <c r="R221" s="534"/>
      <c r="S221" s="534"/>
      <c r="T221" s="1510" t="s">
        <v>1587</v>
      </c>
      <c r="U221" s="1510"/>
      <c r="V221" s="1510"/>
      <c r="W221" s="1510"/>
      <c r="X221" s="1510"/>
      <c r="Y221" s="1510"/>
      <c r="Z221" s="843"/>
      <c r="AA221" s="487"/>
      <c r="AB221" s="1336" t="s">
        <v>1588</v>
      </c>
      <c r="AC221" s="1336"/>
      <c r="AD221" s="1336"/>
      <c r="AE221" s="1336"/>
      <c r="AF221" s="1336"/>
      <c r="AG221" s="1336"/>
      <c r="AH221" s="821"/>
      <c r="AI221" s="821"/>
      <c r="AJ221" s="821"/>
      <c r="AK221" s="606"/>
    </row>
    <row r="222" spans="1:37" hidden="1">
      <c r="A222" s="601"/>
      <c r="B222" s="1339" t="s">
        <v>1573</v>
      </c>
      <c r="C222" s="1339"/>
      <c r="D222" s="1339"/>
      <c r="E222" s="1339"/>
      <c r="F222" s="1339"/>
      <c r="G222" s="1339"/>
      <c r="I222" s="1340" t="s">
        <v>1594</v>
      </c>
      <c r="J222" s="1340"/>
      <c r="K222" s="1340"/>
      <c r="L222" s="1000"/>
      <c r="N222" s="1330" t="s">
        <v>1589</v>
      </c>
      <c r="O222" s="1330"/>
      <c r="P222" s="1330"/>
      <c r="Q222" s="1330"/>
      <c r="R222" s="1330"/>
      <c r="T222" s="1330" t="s">
        <v>1590</v>
      </c>
      <c r="U222" s="1330"/>
      <c r="V222" s="1330"/>
      <c r="W222" s="1330"/>
      <c r="X222" s="1330"/>
      <c r="Y222" s="1330"/>
      <c r="Z222" s="844"/>
      <c r="AA222" s="487"/>
      <c r="AB222" s="1489" t="s">
        <v>1591</v>
      </c>
      <c r="AC222" s="1489"/>
      <c r="AD222" s="1489"/>
      <c r="AE222" s="1489"/>
      <c r="AF222" s="1489"/>
      <c r="AG222" s="1489"/>
      <c r="AH222" s="821"/>
      <c r="AI222" s="821"/>
      <c r="AJ222" s="821"/>
      <c r="AK222" s="606"/>
    </row>
    <row r="223" spans="1:37" hidden="1">
      <c r="A223" s="601"/>
      <c r="B223" s="1342" t="s">
        <v>1181</v>
      </c>
      <c r="C223" s="1342"/>
      <c r="D223" s="1342"/>
      <c r="E223" s="1342"/>
      <c r="F223" s="1342"/>
      <c r="G223" s="1342"/>
      <c r="H223" s="846"/>
      <c r="I223" s="1328"/>
      <c r="J223" s="1328"/>
      <c r="K223" s="1328"/>
      <c r="L223" s="1000"/>
      <c r="N223" s="1384"/>
      <c r="O223" s="1384"/>
      <c r="P223" s="1384"/>
      <c r="Q223" s="1384"/>
      <c r="R223" s="1384"/>
      <c r="T223" s="1488"/>
      <c r="U223" s="1488"/>
      <c r="V223" s="1488"/>
      <c r="W223" s="1488"/>
      <c r="X223" s="1488"/>
      <c r="Y223" s="1488"/>
      <c r="Z223" s="845"/>
      <c r="AA223" s="845"/>
      <c r="AB223" s="1327">
        <f t="shared" ref="AB223:AB232" si="0">MAX(($T223-$N223)*$I223*12,0)</f>
        <v>0</v>
      </c>
      <c r="AC223" s="1327"/>
      <c r="AD223" s="1327"/>
      <c r="AE223" s="1327"/>
      <c r="AF223" s="1327"/>
      <c r="AG223" s="1327"/>
      <c r="AH223" s="821"/>
      <c r="AI223" s="821"/>
      <c r="AJ223" s="821"/>
      <c r="AK223" s="606"/>
    </row>
    <row r="224" spans="1:37" hidden="1">
      <c r="A224" s="601"/>
      <c r="B224" s="1342" t="s">
        <v>1181</v>
      </c>
      <c r="C224" s="1342"/>
      <c r="D224" s="1342"/>
      <c r="E224" s="1342"/>
      <c r="F224" s="1342"/>
      <c r="G224" s="1342"/>
      <c r="I224" s="1328"/>
      <c r="J224" s="1328"/>
      <c r="K224" s="1328"/>
      <c r="L224" s="1000"/>
      <c r="N224" s="1384"/>
      <c r="O224" s="1384"/>
      <c r="P224" s="1384"/>
      <c r="Q224" s="1384"/>
      <c r="R224" s="1384"/>
      <c r="T224" s="1488"/>
      <c r="U224" s="1488"/>
      <c r="V224" s="1488"/>
      <c r="W224" s="1488"/>
      <c r="X224" s="1488"/>
      <c r="Y224" s="1488"/>
      <c r="Z224" s="845"/>
      <c r="AA224" s="845"/>
      <c r="AB224" s="1327">
        <f t="shared" si="0"/>
        <v>0</v>
      </c>
      <c r="AC224" s="1327"/>
      <c r="AD224" s="1327"/>
      <c r="AE224" s="1327"/>
      <c r="AF224" s="1327"/>
      <c r="AG224" s="1327"/>
      <c r="AH224" s="821"/>
      <c r="AI224" s="821"/>
      <c r="AJ224" s="821"/>
      <c r="AK224" s="606"/>
    </row>
    <row r="225" spans="1:37" hidden="1">
      <c r="A225" s="601"/>
      <c r="B225" s="1342" t="s">
        <v>1181</v>
      </c>
      <c r="C225" s="1342"/>
      <c r="D225" s="1342"/>
      <c r="E225" s="1342"/>
      <c r="F225" s="1342"/>
      <c r="G225" s="1342"/>
      <c r="I225" s="1328"/>
      <c r="J225" s="1328"/>
      <c r="K225" s="1328"/>
      <c r="L225" s="1000"/>
      <c r="N225" s="1384"/>
      <c r="O225" s="1384"/>
      <c r="P225" s="1384"/>
      <c r="Q225" s="1384"/>
      <c r="R225" s="1384"/>
      <c r="T225" s="1488"/>
      <c r="U225" s="1488"/>
      <c r="V225" s="1488"/>
      <c r="W225" s="1488"/>
      <c r="X225" s="1488"/>
      <c r="Y225" s="1488"/>
      <c r="Z225" s="845"/>
      <c r="AA225" s="845"/>
      <c r="AB225" s="1327">
        <f t="shared" si="0"/>
        <v>0</v>
      </c>
      <c r="AC225" s="1327"/>
      <c r="AD225" s="1327"/>
      <c r="AE225" s="1327"/>
      <c r="AF225" s="1327"/>
      <c r="AG225" s="1327"/>
      <c r="AH225" s="821"/>
      <c r="AI225" s="821"/>
      <c r="AJ225" s="821"/>
      <c r="AK225" s="606"/>
    </row>
    <row r="226" spans="1:37" hidden="1">
      <c r="A226" s="601"/>
      <c r="B226" s="1342" t="s">
        <v>1181</v>
      </c>
      <c r="C226" s="1342"/>
      <c r="D226" s="1342"/>
      <c r="E226" s="1342"/>
      <c r="F226" s="1342"/>
      <c r="G226" s="1342"/>
      <c r="I226" s="1328"/>
      <c r="J226" s="1328"/>
      <c r="K226" s="1328"/>
      <c r="L226" s="1000"/>
      <c r="N226" s="1384"/>
      <c r="O226" s="1384"/>
      <c r="P226" s="1384"/>
      <c r="Q226" s="1384"/>
      <c r="R226" s="1384"/>
      <c r="T226" s="1488"/>
      <c r="U226" s="1488"/>
      <c r="V226" s="1488"/>
      <c r="W226" s="1488"/>
      <c r="X226" s="1488"/>
      <c r="Y226" s="1488"/>
      <c r="Z226" s="845"/>
      <c r="AA226" s="845"/>
      <c r="AB226" s="1327">
        <f t="shared" si="0"/>
        <v>0</v>
      </c>
      <c r="AC226" s="1327"/>
      <c r="AD226" s="1327"/>
      <c r="AE226" s="1327"/>
      <c r="AF226" s="1327"/>
      <c r="AG226" s="1327"/>
      <c r="AH226" s="821"/>
      <c r="AI226" s="821"/>
      <c r="AJ226" s="821"/>
      <c r="AK226" s="606"/>
    </row>
    <row r="227" spans="1:37" hidden="1">
      <c r="A227" s="601"/>
      <c r="B227" s="1342" t="s">
        <v>1181</v>
      </c>
      <c r="C227" s="1342"/>
      <c r="D227" s="1342"/>
      <c r="E227" s="1342"/>
      <c r="F227" s="1342"/>
      <c r="G227" s="1342"/>
      <c r="I227" s="1328"/>
      <c r="J227" s="1328"/>
      <c r="K227" s="1328"/>
      <c r="L227" s="1007"/>
      <c r="N227" s="1384"/>
      <c r="O227" s="1384"/>
      <c r="P227" s="1384"/>
      <c r="Q227" s="1384"/>
      <c r="R227" s="1384"/>
      <c r="T227" s="1488"/>
      <c r="U227" s="1488"/>
      <c r="V227" s="1488"/>
      <c r="W227" s="1488"/>
      <c r="X227" s="1488"/>
      <c r="Y227" s="1488"/>
      <c r="Z227" s="845"/>
      <c r="AA227" s="845"/>
      <c r="AB227" s="1327">
        <f t="shared" si="0"/>
        <v>0</v>
      </c>
      <c r="AC227" s="1327"/>
      <c r="AD227" s="1327"/>
      <c r="AE227" s="1327"/>
      <c r="AF227" s="1327"/>
      <c r="AG227" s="1327"/>
      <c r="AH227" s="821"/>
      <c r="AI227" s="821"/>
      <c r="AJ227" s="821"/>
      <c r="AK227" s="606"/>
    </row>
    <row r="228" spans="1:37" hidden="1">
      <c r="A228" s="601"/>
      <c r="B228" s="1342" t="s">
        <v>1181</v>
      </c>
      <c r="C228" s="1342"/>
      <c r="D228" s="1342"/>
      <c r="E228" s="1342"/>
      <c r="F228" s="1342"/>
      <c r="G228" s="1342"/>
      <c r="I228" s="1328"/>
      <c r="J228" s="1328"/>
      <c r="K228" s="1328"/>
      <c r="L228" s="1007"/>
      <c r="N228" s="1384"/>
      <c r="O228" s="1384"/>
      <c r="P228" s="1384"/>
      <c r="Q228" s="1384"/>
      <c r="R228" s="1384"/>
      <c r="T228" s="1488"/>
      <c r="U228" s="1488"/>
      <c r="V228" s="1488"/>
      <c r="W228" s="1488"/>
      <c r="X228" s="1488"/>
      <c r="Y228" s="1488"/>
      <c r="Z228" s="845"/>
      <c r="AA228" s="845"/>
      <c r="AB228" s="1327">
        <f t="shared" si="0"/>
        <v>0</v>
      </c>
      <c r="AC228" s="1327"/>
      <c r="AD228" s="1327"/>
      <c r="AE228" s="1327"/>
      <c r="AF228" s="1327"/>
      <c r="AG228" s="1327"/>
      <c r="AH228" s="821"/>
      <c r="AI228" s="821"/>
      <c r="AJ228" s="821"/>
      <c r="AK228" s="606"/>
    </row>
    <row r="229" spans="1:37" hidden="1">
      <c r="A229" s="601"/>
      <c r="B229" s="1342" t="s">
        <v>1181</v>
      </c>
      <c r="C229" s="1342"/>
      <c r="D229" s="1342"/>
      <c r="E229" s="1342"/>
      <c r="F229" s="1342"/>
      <c r="G229" s="1342"/>
      <c r="I229" s="1328"/>
      <c r="J229" s="1328"/>
      <c r="K229" s="1328"/>
      <c r="L229" s="1007"/>
      <c r="N229" s="1384"/>
      <c r="O229" s="1384"/>
      <c r="P229" s="1384"/>
      <c r="Q229" s="1384"/>
      <c r="R229" s="1384"/>
      <c r="T229" s="1488"/>
      <c r="U229" s="1488"/>
      <c r="V229" s="1488"/>
      <c r="W229" s="1488"/>
      <c r="X229" s="1488"/>
      <c r="Y229" s="1488"/>
      <c r="Z229" s="845"/>
      <c r="AA229" s="845"/>
      <c r="AB229" s="1327">
        <f t="shared" si="0"/>
        <v>0</v>
      </c>
      <c r="AC229" s="1327"/>
      <c r="AD229" s="1327"/>
      <c r="AE229" s="1327"/>
      <c r="AF229" s="1327"/>
      <c r="AG229" s="1327"/>
      <c r="AH229" s="821"/>
      <c r="AI229" s="821"/>
      <c r="AJ229" s="821"/>
      <c r="AK229" s="606"/>
    </row>
    <row r="230" spans="1:37" hidden="1">
      <c r="A230" s="601"/>
      <c r="B230" s="1342" t="s">
        <v>1181</v>
      </c>
      <c r="C230" s="1342"/>
      <c r="D230" s="1342"/>
      <c r="E230" s="1342"/>
      <c r="F230" s="1342"/>
      <c r="G230" s="1342"/>
      <c r="I230" s="1328"/>
      <c r="J230" s="1328"/>
      <c r="K230" s="1328"/>
      <c r="L230" s="1007"/>
      <c r="N230" s="1384"/>
      <c r="O230" s="1384"/>
      <c r="P230" s="1384"/>
      <c r="Q230" s="1384"/>
      <c r="R230" s="1384"/>
      <c r="T230" s="1488"/>
      <c r="U230" s="1488"/>
      <c r="V230" s="1488"/>
      <c r="W230" s="1488"/>
      <c r="X230" s="1488"/>
      <c r="Y230" s="1488"/>
      <c r="Z230" s="845"/>
      <c r="AA230" s="845"/>
      <c r="AB230" s="1327">
        <f t="shared" si="0"/>
        <v>0</v>
      </c>
      <c r="AC230" s="1327"/>
      <c r="AD230" s="1327"/>
      <c r="AE230" s="1327"/>
      <c r="AF230" s="1327"/>
      <c r="AG230" s="1327"/>
      <c r="AH230" s="821"/>
      <c r="AI230" s="821"/>
      <c r="AJ230" s="821"/>
      <c r="AK230" s="606"/>
    </row>
    <row r="231" spans="1:37" hidden="1">
      <c r="A231" s="601"/>
      <c r="B231" s="1342" t="s">
        <v>1181</v>
      </c>
      <c r="C231" s="1342"/>
      <c r="D231" s="1342"/>
      <c r="E231" s="1342"/>
      <c r="F231" s="1342"/>
      <c r="G231" s="1342"/>
      <c r="I231" s="1328"/>
      <c r="J231" s="1328"/>
      <c r="K231" s="1328"/>
      <c r="L231" s="1007"/>
      <c r="N231" s="1384"/>
      <c r="O231" s="1384"/>
      <c r="P231" s="1384"/>
      <c r="Q231" s="1384"/>
      <c r="R231" s="1384"/>
      <c r="T231" s="1488"/>
      <c r="U231" s="1488"/>
      <c r="V231" s="1488"/>
      <c r="W231" s="1488"/>
      <c r="X231" s="1488"/>
      <c r="Y231" s="1488"/>
      <c r="Z231" s="845"/>
      <c r="AA231" s="845"/>
      <c r="AB231" s="1327">
        <f t="shared" si="0"/>
        <v>0</v>
      </c>
      <c r="AC231" s="1327"/>
      <c r="AD231" s="1327"/>
      <c r="AE231" s="1327"/>
      <c r="AF231" s="1327"/>
      <c r="AG231" s="1327"/>
      <c r="AH231" s="821"/>
      <c r="AI231" s="821"/>
      <c r="AJ231" s="821"/>
      <c r="AK231" s="606"/>
    </row>
    <row r="232" spans="1:37" hidden="1">
      <c r="A232" s="601"/>
      <c r="B232" s="1342" t="s">
        <v>1181</v>
      </c>
      <c r="C232" s="1342"/>
      <c r="D232" s="1342"/>
      <c r="E232" s="1342"/>
      <c r="F232" s="1342"/>
      <c r="G232" s="1342"/>
      <c r="I232" s="1329"/>
      <c r="J232" s="1329"/>
      <c r="K232" s="1329"/>
      <c r="L232" s="1007"/>
      <c r="N232" s="1384"/>
      <c r="O232" s="1384"/>
      <c r="P232" s="1384"/>
      <c r="Q232" s="1384"/>
      <c r="R232" s="1384"/>
      <c r="T232" s="1488"/>
      <c r="U232" s="1488"/>
      <c r="V232" s="1488"/>
      <c r="W232" s="1488"/>
      <c r="X232" s="1488"/>
      <c r="Y232" s="1488"/>
      <c r="Z232" s="845"/>
      <c r="AA232" s="845"/>
      <c r="AB232" s="1497">
        <f t="shared" si="0"/>
        <v>0</v>
      </c>
      <c r="AC232" s="1497"/>
      <c r="AD232" s="1497"/>
      <c r="AE232" s="1497"/>
      <c r="AF232" s="1497"/>
      <c r="AG232" s="1497"/>
      <c r="AH232" s="821"/>
      <c r="AI232" s="821"/>
      <c r="AJ232" s="821"/>
      <c r="AK232" s="606"/>
    </row>
    <row r="233" spans="1:37" hidden="1">
      <c r="A233" s="601"/>
      <c r="B233" s="474"/>
      <c r="C233" s="846"/>
      <c r="D233" s="474"/>
      <c r="K233" s="534"/>
      <c r="L233" s="534"/>
      <c r="M233" s="534"/>
      <c r="N233" s="534"/>
      <c r="O233" s="534"/>
      <c r="P233" s="534"/>
      <c r="Q233" s="534"/>
      <c r="R233" s="534"/>
      <c r="S233" s="534"/>
      <c r="T233" s="534"/>
      <c r="U233" s="534"/>
      <c r="V233" s="534"/>
      <c r="W233" s="534"/>
      <c r="X233" s="534"/>
      <c r="Y233" s="847" t="s">
        <v>1592</v>
      </c>
      <c r="AA233" s="847"/>
      <c r="AB233" s="1327">
        <f>SUM(AB223:AB232)</f>
        <v>0</v>
      </c>
      <c r="AC233" s="1327"/>
      <c r="AD233" s="1327"/>
      <c r="AE233" s="1327"/>
      <c r="AF233" s="1327"/>
      <c r="AG233" s="1327"/>
      <c r="AH233" s="821"/>
      <c r="AI233" s="821"/>
      <c r="AJ233" s="821"/>
      <c r="AK233" s="606"/>
    </row>
    <row r="234" spans="1:37" hidden="1">
      <c r="A234" s="601"/>
      <c r="B234" s="601"/>
      <c r="C234" s="657"/>
      <c r="D234" s="821"/>
      <c r="E234" s="821"/>
      <c r="F234" s="821"/>
      <c r="G234" s="821"/>
      <c r="H234" s="821"/>
      <c r="I234" s="821"/>
      <c r="J234" s="821"/>
      <c r="K234" s="547"/>
      <c r="L234" s="547"/>
      <c r="M234" s="547"/>
      <c r="N234" s="547"/>
      <c r="O234" s="547"/>
      <c r="P234" s="547"/>
      <c r="Q234" s="547"/>
      <c r="R234" s="547"/>
      <c r="S234" s="547"/>
      <c r="T234" s="547"/>
      <c r="U234" s="547"/>
      <c r="V234" s="547"/>
      <c r="W234" s="547"/>
      <c r="X234" s="547"/>
      <c r="Y234" s="639"/>
      <c r="Z234" s="639"/>
      <c r="AA234" s="639"/>
      <c r="AB234" s="639"/>
      <c r="AC234" s="547"/>
      <c r="AD234" s="547"/>
      <c r="AE234" s="606"/>
      <c r="AF234" s="606"/>
      <c r="AG234" s="606"/>
      <c r="AH234" s="606"/>
      <c r="AI234" s="606"/>
      <c r="AJ234" s="606"/>
      <c r="AK234" s="606"/>
    </row>
    <row r="235" spans="1:37" hidden="1">
      <c r="A235" s="1127" t="s">
        <v>1582</v>
      </c>
      <c r="C235" s="657"/>
      <c r="D235" s="821"/>
      <c r="E235" s="821"/>
      <c r="F235" s="821"/>
      <c r="G235" s="821"/>
      <c r="H235" s="821"/>
      <c r="I235" s="821"/>
      <c r="J235" s="821"/>
      <c r="K235" s="534"/>
      <c r="L235" s="534"/>
      <c r="M235" s="534"/>
      <c r="N235" s="534"/>
      <c r="O235" s="534"/>
      <c r="P235" s="534"/>
      <c r="Q235" s="534"/>
      <c r="R235" s="534"/>
      <c r="S235" s="534"/>
      <c r="T235" s="534"/>
      <c r="U235" s="534"/>
      <c r="V235" s="534"/>
      <c r="W235" s="534"/>
      <c r="X235" s="534"/>
      <c r="Y235" s="639"/>
      <c r="Z235" s="639"/>
      <c r="AA235" s="639"/>
      <c r="AB235" s="639"/>
      <c r="AC235" s="534"/>
      <c r="AD235" s="534"/>
      <c r="AE235" s="606"/>
      <c r="AF235" s="606"/>
      <c r="AG235" s="606"/>
      <c r="AH235" s="606"/>
      <c r="AI235" s="606"/>
      <c r="AJ235" s="606"/>
      <c r="AK235" s="606"/>
    </row>
    <row r="236" spans="1:37" hidden="1">
      <c r="A236" s="601"/>
      <c r="B236" s="474" t="s">
        <v>1610</v>
      </c>
      <c r="C236" s="657"/>
      <c r="D236" s="821"/>
      <c r="E236" s="821"/>
      <c r="F236" s="821"/>
      <c r="G236" s="821"/>
      <c r="H236" s="821"/>
      <c r="I236" s="821"/>
      <c r="J236" s="821"/>
      <c r="K236" s="534"/>
      <c r="L236" s="534"/>
      <c r="M236" s="534"/>
      <c r="N236" s="534"/>
      <c r="O236" s="534"/>
      <c r="P236" s="534"/>
      <c r="Q236" s="534"/>
      <c r="R236" s="534"/>
      <c r="S236" s="534"/>
      <c r="T236" s="534"/>
      <c r="U236" s="534"/>
      <c r="V236" s="534"/>
      <c r="W236" s="534"/>
      <c r="X236" s="534"/>
      <c r="Y236" s="639"/>
      <c r="Z236" s="639"/>
      <c r="AA236" s="639"/>
      <c r="AB236" s="639"/>
      <c r="AC236" s="534"/>
      <c r="AD236" s="534"/>
      <c r="AE236" s="606"/>
      <c r="AF236" s="606"/>
      <c r="AG236" s="606"/>
      <c r="AH236" s="606"/>
      <c r="AI236" s="606"/>
      <c r="AJ236" s="606"/>
      <c r="AK236" s="606"/>
    </row>
    <row r="237" spans="1:37" hidden="1">
      <c r="A237" s="601"/>
      <c r="B237" s="474"/>
      <c r="C237" s="657"/>
      <c r="D237" s="821"/>
      <c r="E237" s="821"/>
      <c r="F237" s="821"/>
      <c r="G237" s="821"/>
      <c r="H237" s="821"/>
      <c r="I237" s="821"/>
      <c r="J237" s="821"/>
      <c r="K237" s="534"/>
      <c r="L237" s="534"/>
      <c r="M237" s="534"/>
      <c r="N237" s="534"/>
      <c r="O237" s="534"/>
      <c r="P237" s="534"/>
      <c r="Q237" s="534"/>
      <c r="R237" s="534"/>
      <c r="S237" s="534"/>
      <c r="T237" s="534"/>
      <c r="U237" s="534"/>
      <c r="V237" s="534"/>
      <c r="W237" s="534"/>
      <c r="X237" s="534"/>
      <c r="Y237" s="639"/>
      <c r="Z237" s="639"/>
      <c r="AA237" s="639"/>
      <c r="AB237" s="639"/>
      <c r="AC237" s="534"/>
      <c r="AD237" s="534"/>
      <c r="AE237" s="606"/>
      <c r="AF237" s="606"/>
      <c r="AG237" s="606"/>
      <c r="AH237" s="606"/>
      <c r="AI237" s="606"/>
      <c r="AJ237" s="606"/>
      <c r="AK237" s="606"/>
    </row>
    <row r="238" spans="1:37" hidden="1">
      <c r="A238" s="601"/>
      <c r="B238" s="830" t="s">
        <v>1608</v>
      </c>
      <c r="C238" s="657"/>
      <c r="D238" s="821"/>
      <c r="E238" s="821"/>
      <c r="F238" s="821"/>
      <c r="G238" s="821"/>
      <c r="H238" s="821"/>
      <c r="I238" s="821"/>
      <c r="J238" s="821"/>
      <c r="K238" s="534"/>
      <c r="L238" s="534"/>
      <c r="M238" s="534"/>
      <c r="N238" s="534"/>
      <c r="O238" s="534"/>
      <c r="P238" s="534"/>
      <c r="Q238" s="534"/>
      <c r="R238" s="534"/>
      <c r="S238" s="534"/>
      <c r="T238" s="534"/>
      <c r="U238" s="534"/>
      <c r="V238" s="534"/>
      <c r="W238" s="534"/>
      <c r="X238" s="534"/>
      <c r="Y238" s="639"/>
      <c r="Z238" s="639"/>
      <c r="AA238" s="639"/>
      <c r="AB238" s="639"/>
      <c r="AC238" s="534"/>
      <c r="AD238" s="534"/>
      <c r="AE238" s="606"/>
      <c r="AF238" s="606"/>
      <c r="AG238" s="606"/>
      <c r="AH238" s="606"/>
      <c r="AI238" s="606"/>
      <c r="AJ238" s="606"/>
      <c r="AK238" s="606"/>
    </row>
    <row r="239" spans="1:37" hidden="1">
      <c r="A239" s="601"/>
      <c r="B239" s="830" t="s">
        <v>1602</v>
      </c>
      <c r="C239" s="657"/>
      <c r="D239" s="821"/>
      <c r="E239" s="821"/>
      <c r="F239" s="821"/>
      <c r="G239" s="821"/>
      <c r="H239" s="821"/>
      <c r="I239" s="821"/>
      <c r="J239" s="821"/>
      <c r="K239" s="534"/>
      <c r="L239" s="534"/>
      <c r="M239" s="534"/>
      <c r="N239" s="534"/>
      <c r="O239" s="534"/>
      <c r="P239" s="534"/>
      <c r="Q239" s="534"/>
      <c r="R239" s="534"/>
      <c r="S239" s="534"/>
      <c r="T239" s="534"/>
      <c r="U239" s="534"/>
      <c r="V239" s="534"/>
      <c r="W239" s="534"/>
      <c r="X239" s="534"/>
      <c r="Y239" s="639"/>
      <c r="Z239" s="639"/>
      <c r="AA239" s="639"/>
      <c r="AB239" s="1498"/>
      <c r="AC239" s="1498"/>
      <c r="AD239" s="1498"/>
      <c r="AE239" s="1498"/>
      <c r="AF239" s="1498"/>
      <c r="AG239" s="1498"/>
      <c r="AH239" s="606"/>
      <c r="AI239" s="606"/>
      <c r="AJ239" s="606"/>
      <c r="AK239" s="606"/>
    </row>
    <row r="240" spans="1:37" hidden="1">
      <c r="A240" s="601"/>
      <c r="B240" s="831" t="s">
        <v>1607</v>
      </c>
      <c r="C240" s="612"/>
      <c r="D240" s="829"/>
      <c r="E240" s="821"/>
      <c r="F240" s="821"/>
      <c r="G240" s="821"/>
      <c r="H240" s="821"/>
      <c r="I240" s="821"/>
      <c r="J240" s="821"/>
      <c r="K240" s="534"/>
      <c r="L240" s="534"/>
      <c r="M240" s="534"/>
      <c r="N240" s="534"/>
      <c r="O240" s="534"/>
      <c r="P240" s="534"/>
      <c r="Q240" s="534"/>
      <c r="R240" s="534"/>
      <c r="S240" s="534"/>
      <c r="T240" s="534"/>
      <c r="U240" s="534"/>
      <c r="V240" s="534"/>
      <c r="W240" s="534"/>
      <c r="X240" s="534"/>
      <c r="Y240" s="639"/>
      <c r="Z240" s="639"/>
      <c r="AA240" s="639"/>
      <c r="AB240" s="639"/>
      <c r="AC240" s="534"/>
      <c r="AD240" s="534"/>
      <c r="AE240" s="606"/>
      <c r="AF240" s="606"/>
      <c r="AG240" s="606"/>
      <c r="AH240" s="606"/>
      <c r="AI240" s="606"/>
      <c r="AJ240" s="606"/>
      <c r="AK240" s="606"/>
    </row>
    <row r="241" spans="1:37" hidden="1">
      <c r="A241" s="601"/>
      <c r="B241" s="832" t="s">
        <v>1609</v>
      </c>
      <c r="C241" s="657"/>
      <c r="D241" s="821"/>
      <c r="E241" s="821"/>
      <c r="F241" s="821"/>
      <c r="G241" s="821"/>
      <c r="H241" s="821"/>
      <c r="I241" s="821"/>
      <c r="J241" s="821"/>
      <c r="K241" s="534"/>
      <c r="L241" s="534"/>
      <c r="M241" s="534"/>
      <c r="N241" s="534"/>
      <c r="O241" s="534"/>
      <c r="P241" s="534"/>
      <c r="Q241" s="534"/>
      <c r="R241" s="534"/>
      <c r="S241" s="534"/>
      <c r="T241" s="534"/>
      <c r="U241" s="534"/>
      <c r="V241" s="534"/>
      <c r="W241" s="534"/>
      <c r="X241" s="534"/>
      <c r="Y241" s="639"/>
      <c r="Z241" s="639"/>
      <c r="AA241" s="639"/>
      <c r="AB241" s="639"/>
      <c r="AC241" s="534"/>
      <c r="AD241" s="534"/>
      <c r="AE241" s="606"/>
      <c r="AF241" s="606"/>
      <c r="AG241" s="606"/>
      <c r="AH241" s="606"/>
      <c r="AI241" s="606"/>
      <c r="AJ241" s="606"/>
      <c r="AK241" s="606"/>
    </row>
    <row r="242" spans="1:37" hidden="1">
      <c r="A242" s="601"/>
      <c r="B242" s="832" t="s">
        <v>1603</v>
      </c>
      <c r="C242" s="657"/>
      <c r="D242" s="821"/>
      <c r="E242" s="821"/>
      <c r="F242" s="821"/>
      <c r="G242" s="821"/>
      <c r="H242" s="821"/>
      <c r="I242" s="821"/>
      <c r="J242" s="821"/>
      <c r="K242" s="534"/>
      <c r="L242" s="534"/>
      <c r="M242" s="534"/>
      <c r="N242" s="534"/>
      <c r="O242" s="534"/>
      <c r="P242" s="534"/>
      <c r="Q242" s="534"/>
      <c r="R242" s="534"/>
      <c r="S242" s="534"/>
      <c r="T242" s="534"/>
      <c r="U242" s="534"/>
      <c r="V242" s="534"/>
      <c r="W242" s="534"/>
      <c r="X242" s="534"/>
      <c r="Y242" s="639"/>
      <c r="Z242" s="639"/>
      <c r="AA242" s="639"/>
      <c r="AB242" s="1498"/>
      <c r="AC242" s="1498"/>
      <c r="AD242" s="1498"/>
      <c r="AE242" s="1498"/>
      <c r="AF242" s="1498"/>
      <c r="AG242" s="1498"/>
      <c r="AH242" s="606"/>
      <c r="AI242" s="606"/>
      <c r="AJ242" s="606"/>
      <c r="AK242" s="606"/>
    </row>
    <row r="243" spans="1:37" hidden="1">
      <c r="A243" s="601"/>
      <c r="B243" s="832" t="s">
        <v>1604</v>
      </c>
      <c r="C243" s="657"/>
      <c r="D243" s="821"/>
      <c r="E243" s="821"/>
      <c r="F243" s="821"/>
      <c r="G243" s="821"/>
      <c r="H243" s="821"/>
      <c r="I243" s="821"/>
      <c r="J243" s="821"/>
      <c r="K243" s="534"/>
      <c r="L243" s="534"/>
      <c r="M243" s="534"/>
      <c r="N243" s="534"/>
      <c r="O243" s="534"/>
      <c r="P243" s="534"/>
      <c r="Q243" s="534"/>
      <c r="R243" s="534"/>
      <c r="S243" s="534"/>
      <c r="T243" s="534"/>
      <c r="U243" s="534"/>
      <c r="V243" s="534"/>
      <c r="W243" s="534"/>
      <c r="X243" s="534"/>
      <c r="Y243" s="639"/>
      <c r="Z243" s="639"/>
      <c r="AA243" s="639"/>
      <c r="AB243" s="1509"/>
      <c r="AC243" s="1509"/>
      <c r="AD243" s="1509"/>
      <c r="AE243" s="1509"/>
      <c r="AF243" s="1509"/>
      <c r="AG243" s="1509"/>
      <c r="AH243" s="606"/>
      <c r="AI243" s="606"/>
      <c r="AJ243" s="606"/>
      <c r="AK243" s="606"/>
    </row>
    <row r="244" spans="1:37" hidden="1">
      <c r="A244" s="601"/>
      <c r="B244" s="832" t="s">
        <v>1605</v>
      </c>
      <c r="C244" s="657"/>
      <c r="D244" s="821"/>
      <c r="E244" s="821"/>
      <c r="F244" s="821"/>
      <c r="G244" s="821"/>
      <c r="H244" s="821"/>
      <c r="I244" s="821"/>
      <c r="J244" s="821"/>
      <c r="K244" s="534"/>
      <c r="L244" s="534"/>
      <c r="M244" s="534"/>
      <c r="N244" s="534"/>
      <c r="O244" s="534"/>
      <c r="P244" s="534"/>
      <c r="Q244" s="534"/>
      <c r="R244" s="534"/>
      <c r="S244" s="534"/>
      <c r="T244" s="534"/>
      <c r="U244" s="534"/>
      <c r="V244" s="534"/>
      <c r="W244" s="534"/>
      <c r="X244" s="534"/>
      <c r="Y244" s="639"/>
      <c r="Z244" s="639"/>
      <c r="AA244" s="639"/>
      <c r="AB244" s="1522">
        <f>IFERROR(AB242/AB243,0)</f>
        <v>0</v>
      </c>
      <c r="AC244" s="1522"/>
      <c r="AD244" s="1522"/>
      <c r="AE244" s="1522"/>
      <c r="AF244" s="1522"/>
      <c r="AG244" s="1522"/>
      <c r="AH244" s="606"/>
      <c r="AI244" s="606"/>
      <c r="AJ244" s="606"/>
      <c r="AK244" s="606"/>
    </row>
    <row r="245" spans="1:37" hidden="1">
      <c r="A245" s="601"/>
      <c r="B245" s="474"/>
      <c r="C245" s="657"/>
      <c r="D245" s="821"/>
      <c r="E245" s="821"/>
      <c r="F245" s="821"/>
      <c r="G245" s="821"/>
      <c r="H245" s="821"/>
      <c r="I245" s="821"/>
      <c r="J245" s="821"/>
      <c r="K245" s="534"/>
      <c r="L245" s="534"/>
      <c r="M245" s="534"/>
      <c r="N245" s="534"/>
      <c r="O245" s="534"/>
      <c r="P245" s="534"/>
      <c r="Q245" s="534"/>
      <c r="R245" s="534"/>
      <c r="S245" s="534"/>
      <c r="T245" s="534"/>
      <c r="U245" s="534"/>
      <c r="V245" s="534"/>
      <c r="W245" s="534"/>
      <c r="X245" s="534"/>
      <c r="Y245" s="639"/>
      <c r="Z245" s="639"/>
      <c r="AA245" s="639"/>
      <c r="AB245" s="639"/>
      <c r="AC245" s="534"/>
      <c r="AD245" s="534"/>
      <c r="AE245" s="606"/>
      <c r="AF245" s="606"/>
      <c r="AG245" s="606"/>
      <c r="AH245" s="606"/>
      <c r="AI245" s="606"/>
      <c r="AJ245" s="606"/>
      <c r="AK245" s="606"/>
    </row>
    <row r="246" spans="1:37" hidden="1">
      <c r="A246" s="601"/>
      <c r="B246" s="474" t="s">
        <v>1606</v>
      </c>
      <c r="C246" s="657"/>
      <c r="D246" s="821"/>
      <c r="E246" s="821"/>
      <c r="F246" s="821"/>
      <c r="G246" s="821"/>
      <c r="H246" s="821"/>
      <c r="I246" s="821"/>
      <c r="J246" s="821"/>
      <c r="K246" s="534"/>
      <c r="L246" s="534"/>
      <c r="M246" s="534"/>
      <c r="N246" s="534"/>
      <c r="O246" s="534"/>
      <c r="P246" s="534"/>
      <c r="Q246" s="534"/>
      <c r="R246" s="534"/>
      <c r="S246" s="534"/>
      <c r="T246" s="534"/>
      <c r="U246" s="534"/>
      <c r="V246" s="534"/>
      <c r="W246" s="534"/>
      <c r="X246" s="534"/>
      <c r="Y246" s="639"/>
      <c r="Z246" s="639"/>
      <c r="AA246" s="639"/>
      <c r="AB246" s="1497">
        <f>MAX(AB239,AB244)</f>
        <v>0</v>
      </c>
      <c r="AC246" s="1497"/>
      <c r="AD246" s="1497"/>
      <c r="AE246" s="1497"/>
      <c r="AF246" s="1497"/>
      <c r="AG246" s="1497"/>
      <c r="AH246" s="606"/>
      <c r="AI246" s="606"/>
      <c r="AJ246" s="606"/>
      <c r="AK246" s="606"/>
    </row>
    <row r="247" spans="1:37" hidden="1">
      <c r="A247" s="601"/>
      <c r="B247" s="474"/>
      <c r="C247" s="657"/>
      <c r="D247" s="821"/>
      <c r="E247" s="821"/>
      <c r="F247" s="821"/>
      <c r="G247" s="821"/>
      <c r="H247" s="821"/>
      <c r="I247" s="821"/>
      <c r="J247" s="821"/>
      <c r="K247" s="534"/>
      <c r="L247" s="534"/>
      <c r="M247" s="534"/>
      <c r="N247" s="534"/>
      <c r="O247" s="534"/>
      <c r="P247" s="534"/>
      <c r="Q247" s="534"/>
      <c r="R247" s="534"/>
      <c r="S247" s="534"/>
      <c r="T247" s="534"/>
      <c r="U247" s="534"/>
      <c r="V247" s="534"/>
      <c r="W247" s="534"/>
      <c r="X247" s="534"/>
      <c r="Y247" s="639"/>
      <c r="Z247" s="639"/>
      <c r="AA247" s="639"/>
      <c r="AB247" s="639"/>
      <c r="AC247" s="534"/>
      <c r="AD247" s="534"/>
      <c r="AE247" s="606"/>
      <c r="AF247" s="606"/>
      <c r="AG247" s="606"/>
      <c r="AH247" s="606"/>
      <c r="AI247" s="606"/>
      <c r="AJ247" s="606"/>
      <c r="AK247" s="606"/>
    </row>
    <row r="248" spans="1:37" hidden="1">
      <c r="A248" s="601"/>
      <c r="B248" s="474"/>
      <c r="C248" s="657"/>
      <c r="D248" s="821"/>
      <c r="E248" s="821"/>
      <c r="F248" s="821"/>
      <c r="G248" s="821"/>
      <c r="H248" s="821"/>
      <c r="I248" s="821"/>
      <c r="J248" s="821"/>
      <c r="K248" s="534"/>
      <c r="L248" s="534"/>
      <c r="M248" s="534"/>
      <c r="N248" s="534"/>
      <c r="O248" s="534"/>
      <c r="P248" s="534"/>
      <c r="Q248" s="534"/>
      <c r="R248" s="534"/>
      <c r="S248" s="534"/>
      <c r="T248" s="534"/>
      <c r="U248" s="534"/>
      <c r="V248" s="534"/>
      <c r="W248" s="534"/>
      <c r="X248" s="534"/>
      <c r="Y248" s="639"/>
      <c r="Z248" s="639"/>
      <c r="AA248" s="639"/>
      <c r="AB248" s="639"/>
      <c r="AC248" s="534"/>
      <c r="AD248" s="534"/>
      <c r="AE248" s="606"/>
      <c r="AF248" s="606"/>
      <c r="AG248" s="606"/>
      <c r="AH248" s="606"/>
      <c r="AI248" s="606"/>
      <c r="AJ248" s="606"/>
      <c r="AK248" s="606"/>
    </row>
    <row r="249" spans="1:37" hidden="1">
      <c r="A249" s="601"/>
      <c r="B249" s="474" t="s">
        <v>1595</v>
      </c>
      <c r="C249" s="657"/>
      <c r="D249" s="821"/>
      <c r="E249" s="821"/>
      <c r="F249" s="821"/>
      <c r="G249" s="821"/>
      <c r="H249" s="821"/>
      <c r="I249" s="821"/>
      <c r="J249" s="821"/>
      <c r="K249" s="534"/>
      <c r="L249" s="534"/>
      <c r="M249" s="534"/>
      <c r="N249" s="534"/>
      <c r="O249" s="534"/>
      <c r="P249" s="534"/>
      <c r="Q249" s="534"/>
      <c r="R249" s="534"/>
      <c r="S249" s="534"/>
      <c r="U249" s="833"/>
      <c r="V249" s="833"/>
      <c r="W249" s="833"/>
      <c r="X249" s="833"/>
      <c r="Y249" s="833"/>
      <c r="Z249" s="639"/>
      <c r="AA249" s="639"/>
      <c r="AB249" s="1327">
        <f>AB233+AB246</f>
        <v>0</v>
      </c>
      <c r="AC249" s="1327"/>
      <c r="AD249" s="1327"/>
      <c r="AE249" s="1327"/>
      <c r="AF249" s="1327"/>
      <c r="AG249" s="1327"/>
      <c r="AH249" s="606"/>
      <c r="AI249" s="606"/>
      <c r="AJ249" s="606"/>
      <c r="AK249" s="606"/>
    </row>
    <row r="250" spans="1:37" hidden="1">
      <c r="A250" s="601"/>
      <c r="B250" s="474" t="s">
        <v>837</v>
      </c>
      <c r="C250" s="657"/>
      <c r="D250" s="821"/>
      <c r="E250" s="821"/>
      <c r="F250" s="821"/>
      <c r="G250" s="821"/>
      <c r="H250" s="821"/>
      <c r="I250" s="821"/>
      <c r="J250" s="821"/>
      <c r="K250" s="534"/>
      <c r="L250" s="534"/>
      <c r="M250" s="534"/>
      <c r="N250" s="534"/>
      <c r="O250" s="534"/>
      <c r="P250" s="534"/>
      <c r="Q250" s="534"/>
      <c r="R250" s="534"/>
      <c r="S250" s="534"/>
      <c r="U250" s="834"/>
      <c r="V250" s="834"/>
      <c r="W250" s="834"/>
      <c r="X250" s="834"/>
      <c r="Y250" s="834"/>
      <c r="Z250" s="639"/>
      <c r="AA250" s="639"/>
      <c r="AB250" s="1376">
        <v>0.05</v>
      </c>
      <c r="AC250" s="1376"/>
      <c r="AD250" s="1376"/>
      <c r="AE250" s="1376"/>
      <c r="AF250" s="1376"/>
      <c r="AG250" s="1376"/>
      <c r="AH250" s="606"/>
      <c r="AI250" s="606"/>
      <c r="AJ250" s="606"/>
      <c r="AK250" s="606"/>
    </row>
    <row r="251" spans="1:37" hidden="1">
      <c r="A251" s="601"/>
      <c r="B251" s="474" t="s">
        <v>1596</v>
      </c>
      <c r="C251" s="657"/>
      <c r="D251" s="821"/>
      <c r="E251" s="821"/>
      <c r="F251" s="821"/>
      <c r="G251" s="821"/>
      <c r="H251" s="821"/>
      <c r="I251" s="821"/>
      <c r="J251" s="821"/>
      <c r="K251" s="534"/>
      <c r="L251" s="534"/>
      <c r="M251" s="534"/>
      <c r="N251" s="534"/>
      <c r="O251" s="534"/>
      <c r="P251" s="534"/>
      <c r="Q251" s="534"/>
      <c r="R251" s="534"/>
      <c r="S251" s="534"/>
      <c r="U251" s="833"/>
      <c r="V251" s="833"/>
      <c r="W251" s="833"/>
      <c r="X251" s="833"/>
      <c r="Y251" s="833"/>
      <c r="Z251" s="639"/>
      <c r="AA251" s="639"/>
      <c r="AB251" s="1377">
        <f>AB249-(AB249*AB250)</f>
        <v>0</v>
      </c>
      <c r="AC251" s="1377"/>
      <c r="AD251" s="1377"/>
      <c r="AE251" s="1377"/>
      <c r="AF251" s="1377"/>
      <c r="AG251" s="1377"/>
      <c r="AH251" s="606"/>
      <c r="AI251" s="606"/>
      <c r="AJ251" s="606"/>
      <c r="AK251" s="606"/>
    </row>
    <row r="252" spans="1:37" hidden="1">
      <c r="A252" s="601"/>
      <c r="B252" s="474" t="s">
        <v>1597</v>
      </c>
      <c r="C252" s="657"/>
      <c r="D252" s="821"/>
      <c r="E252" s="821"/>
      <c r="F252" s="821"/>
      <c r="G252" s="821"/>
      <c r="H252" s="821"/>
      <c r="I252" s="821"/>
      <c r="J252" s="821"/>
      <c r="K252" s="534"/>
      <c r="L252" s="534"/>
      <c r="M252" s="534"/>
      <c r="N252" s="534"/>
      <c r="O252" s="534"/>
      <c r="P252" s="534"/>
      <c r="Q252" s="534"/>
      <c r="R252" s="534"/>
      <c r="S252" s="534"/>
      <c r="U252" s="534"/>
      <c r="V252" s="534"/>
      <c r="W252" s="534"/>
      <c r="X252" s="534"/>
      <c r="Y252" s="835"/>
      <c r="Z252" s="639"/>
      <c r="AA252" s="639"/>
      <c r="AB252" s="534"/>
      <c r="AC252" s="534"/>
      <c r="AD252" s="534"/>
      <c r="AE252" s="606"/>
      <c r="AF252" s="606"/>
      <c r="AG252" s="606"/>
      <c r="AH252" s="606"/>
      <c r="AI252" s="606"/>
      <c r="AJ252" s="606"/>
      <c r="AK252" s="606"/>
    </row>
    <row r="253" spans="1:37" hidden="1">
      <c r="A253" s="601"/>
      <c r="B253" s="474" t="s">
        <v>1598</v>
      </c>
      <c r="C253" s="657"/>
      <c r="D253" s="821"/>
      <c r="E253" s="821"/>
      <c r="F253" s="821"/>
      <c r="G253" s="821"/>
      <c r="H253" s="821"/>
      <c r="I253" s="821"/>
      <c r="J253" s="821"/>
      <c r="K253" s="534"/>
      <c r="L253" s="534"/>
      <c r="M253" s="534"/>
      <c r="N253" s="534"/>
      <c r="O253" s="534"/>
      <c r="P253" s="534"/>
      <c r="Q253" s="534"/>
      <c r="R253" s="534"/>
      <c r="S253" s="534"/>
      <c r="U253" s="833"/>
      <c r="V253" s="833"/>
      <c r="W253" s="833"/>
      <c r="X253" s="833"/>
      <c r="Y253" s="833"/>
      <c r="Z253" s="639"/>
      <c r="AA253" s="639"/>
      <c r="AB253" s="1327">
        <f>AB251/AB257</f>
        <v>0</v>
      </c>
      <c r="AC253" s="1327"/>
      <c r="AD253" s="1327"/>
      <c r="AE253" s="1327"/>
      <c r="AF253" s="1327"/>
      <c r="AG253" s="1327"/>
      <c r="AH253" s="606"/>
      <c r="AI253" s="606"/>
      <c r="AJ253" s="606"/>
      <c r="AK253" s="606"/>
    </row>
    <row r="254" spans="1:37" hidden="1">
      <c r="A254" s="601"/>
      <c r="B254" s="474"/>
      <c r="C254" s="657"/>
      <c r="D254" s="821"/>
      <c r="E254" s="821"/>
      <c r="F254" s="821"/>
      <c r="G254" s="821"/>
      <c r="H254" s="821"/>
      <c r="I254" s="821"/>
      <c r="J254" s="821"/>
      <c r="K254" s="534"/>
      <c r="L254" s="534"/>
      <c r="M254" s="534"/>
      <c r="N254" s="534"/>
      <c r="O254" s="534"/>
      <c r="P254" s="534"/>
      <c r="Q254" s="534"/>
      <c r="R254" s="534"/>
      <c r="S254" s="534"/>
      <c r="U254" s="534"/>
      <c r="V254" s="534"/>
      <c r="W254" s="534"/>
      <c r="X254" s="534"/>
      <c r="Y254" s="474"/>
      <c r="Z254" s="639"/>
      <c r="AA254" s="639"/>
      <c r="AB254" s="534"/>
      <c r="AC254" s="534"/>
      <c r="AD254" s="534"/>
      <c r="AE254" s="606"/>
      <c r="AF254" s="606"/>
      <c r="AG254" s="606"/>
      <c r="AH254" s="606"/>
      <c r="AI254" s="606"/>
      <c r="AJ254" s="606"/>
      <c r="AK254" s="606"/>
    </row>
    <row r="255" spans="1:37" hidden="1">
      <c r="A255" s="601"/>
      <c r="B255" s="474" t="s">
        <v>1599</v>
      </c>
      <c r="C255" s="657"/>
      <c r="D255" s="821"/>
      <c r="E255" s="821"/>
      <c r="F255" s="821"/>
      <c r="G255" s="821"/>
      <c r="H255" s="821"/>
      <c r="I255" s="821"/>
      <c r="J255" s="821"/>
      <c r="K255" s="534"/>
      <c r="L255" s="534"/>
      <c r="M255" s="534"/>
      <c r="N255" s="534"/>
      <c r="O255" s="534"/>
      <c r="P255" s="534"/>
      <c r="Q255" s="534"/>
      <c r="R255" s="534"/>
      <c r="S255" s="534"/>
      <c r="U255" s="474"/>
      <c r="V255" s="474"/>
      <c r="W255" s="474"/>
      <c r="X255" s="474"/>
      <c r="Y255" s="474"/>
      <c r="Z255" s="639"/>
      <c r="AA255" s="639"/>
      <c r="AB255" s="1336">
        <v>15</v>
      </c>
      <c r="AC255" s="1336"/>
      <c r="AD255" s="1336"/>
      <c r="AE255" s="1336"/>
      <c r="AF255" s="1336"/>
      <c r="AG255" s="1336"/>
      <c r="AH255" s="606"/>
      <c r="AI255" s="606"/>
      <c r="AJ255" s="606"/>
      <c r="AK255" s="606"/>
    </row>
    <row r="256" spans="1:37" hidden="1">
      <c r="A256" s="601"/>
      <c r="B256" s="474" t="s">
        <v>1600</v>
      </c>
      <c r="C256" s="657"/>
      <c r="D256" s="821"/>
      <c r="E256" s="821"/>
      <c r="F256" s="821"/>
      <c r="G256" s="821"/>
      <c r="H256" s="821"/>
      <c r="I256" s="821"/>
      <c r="J256" s="821"/>
      <c r="K256" s="534"/>
      <c r="L256" s="534"/>
      <c r="M256" s="534"/>
      <c r="N256" s="534"/>
      <c r="O256" s="534"/>
      <c r="P256" s="534"/>
      <c r="Q256" s="534"/>
      <c r="R256" s="534"/>
      <c r="S256" s="534"/>
      <c r="U256" s="834"/>
      <c r="V256" s="834"/>
      <c r="W256" s="834"/>
      <c r="X256" s="834"/>
      <c r="Y256" s="834"/>
      <c r="Z256" s="639"/>
      <c r="AA256" s="639"/>
      <c r="AB256" s="1378">
        <v>0.04</v>
      </c>
      <c r="AC256" s="1378"/>
      <c r="AD256" s="1378"/>
      <c r="AE256" s="1378"/>
      <c r="AF256" s="1378"/>
      <c r="AG256" s="1378"/>
      <c r="AH256" s="606"/>
      <c r="AI256" s="606"/>
      <c r="AJ256" s="606"/>
      <c r="AK256" s="606"/>
    </row>
    <row r="257" spans="1:39" hidden="1">
      <c r="A257" s="601"/>
      <c r="B257" s="474" t="s">
        <v>849</v>
      </c>
      <c r="C257" s="657"/>
      <c r="D257" s="821"/>
      <c r="E257" s="821"/>
      <c r="F257" s="821"/>
      <c r="G257" s="821"/>
      <c r="H257" s="821"/>
      <c r="I257" s="821"/>
      <c r="J257" s="821"/>
      <c r="K257" s="534"/>
      <c r="L257" s="534"/>
      <c r="M257" s="534"/>
      <c r="N257" s="534"/>
      <c r="O257" s="534"/>
      <c r="P257" s="534"/>
      <c r="Q257" s="534"/>
      <c r="R257" s="534"/>
      <c r="S257" s="534"/>
      <c r="U257" s="836"/>
      <c r="V257" s="836"/>
      <c r="W257" s="836"/>
      <c r="X257" s="836"/>
      <c r="Y257" s="836"/>
      <c r="Z257" s="639"/>
      <c r="AA257" s="639"/>
      <c r="AB257" s="1386">
        <v>1.1499999999999999</v>
      </c>
      <c r="AC257" s="1386"/>
      <c r="AD257" s="1386"/>
      <c r="AE257" s="1386"/>
      <c r="AF257" s="1386"/>
      <c r="AG257" s="1386"/>
      <c r="AH257" s="606"/>
      <c r="AI257" s="606"/>
      <c r="AJ257" s="606"/>
      <c r="AK257" s="606"/>
    </row>
    <row r="258" spans="1:39" hidden="1">
      <c r="A258" s="601"/>
      <c r="B258" s="474"/>
      <c r="C258" s="657"/>
      <c r="D258" s="821"/>
      <c r="E258" s="821"/>
      <c r="F258" s="821"/>
      <c r="G258" s="821"/>
      <c r="H258" s="821"/>
      <c r="I258" s="821"/>
      <c r="J258" s="821"/>
      <c r="K258" s="534"/>
      <c r="L258" s="534"/>
      <c r="M258" s="534"/>
      <c r="N258" s="534"/>
      <c r="O258" s="534"/>
      <c r="P258" s="534"/>
      <c r="Q258" s="534"/>
      <c r="R258" s="534"/>
      <c r="S258" s="534"/>
      <c r="U258" s="534"/>
      <c r="V258" s="534"/>
      <c r="W258" s="534"/>
      <c r="X258" s="534"/>
      <c r="Y258" s="487"/>
      <c r="Z258" s="639"/>
      <c r="AA258" s="639"/>
      <c r="AB258" s="534"/>
      <c r="AC258" s="534"/>
      <c r="AD258" s="534"/>
      <c r="AE258" s="606"/>
      <c r="AF258" s="606"/>
      <c r="AG258" s="606"/>
      <c r="AH258" s="606"/>
      <c r="AI258" s="606"/>
      <c r="AJ258" s="606"/>
      <c r="AK258" s="606"/>
    </row>
    <row r="259" spans="1:39" hidden="1">
      <c r="A259" s="601"/>
      <c r="B259" s="838" t="s">
        <v>1601</v>
      </c>
      <c r="C259" s="657"/>
      <c r="D259" s="821"/>
      <c r="E259" s="821"/>
      <c r="F259" s="821"/>
      <c r="G259" s="821"/>
      <c r="H259" s="821"/>
      <c r="I259" s="821"/>
      <c r="J259" s="821"/>
      <c r="K259" s="534"/>
      <c r="L259" s="534"/>
      <c r="M259" s="534"/>
      <c r="N259" s="534"/>
      <c r="O259" s="534"/>
      <c r="P259" s="534"/>
      <c r="Q259" s="534"/>
      <c r="R259" s="534"/>
      <c r="S259" s="534"/>
      <c r="U259" s="837"/>
      <c r="V259" s="837"/>
      <c r="W259" s="837"/>
      <c r="X259" s="837"/>
      <c r="Y259" s="837"/>
      <c r="Z259" s="639"/>
      <c r="AA259" s="639"/>
      <c r="AB259" s="1369">
        <f>PV(AB256/12,AB255*12,-AB253/12, ,0)</f>
        <v>0</v>
      </c>
      <c r="AC259" s="1370"/>
      <c r="AD259" s="1370"/>
      <c r="AE259" s="1370"/>
      <c r="AF259" s="1370"/>
      <c r="AG259" s="1371"/>
      <c r="AH259" s="606"/>
      <c r="AI259" s="606"/>
      <c r="AJ259" s="606"/>
      <c r="AK259" s="606"/>
    </row>
    <row r="260" spans="1:39" hidden="1">
      <c r="A260" s="601"/>
      <c r="B260" s="838"/>
      <c r="C260" s="657"/>
      <c r="D260" s="821"/>
      <c r="E260" s="821"/>
      <c r="F260" s="821"/>
      <c r="G260" s="821"/>
      <c r="H260" s="821"/>
      <c r="I260" s="821"/>
      <c r="J260" s="821"/>
      <c r="K260" s="534"/>
      <c r="L260" s="534"/>
      <c r="M260" s="534"/>
      <c r="N260" s="534"/>
      <c r="O260" s="534"/>
      <c r="P260" s="534"/>
      <c r="Q260" s="534"/>
      <c r="R260" s="534"/>
      <c r="S260" s="534"/>
      <c r="U260" s="837"/>
      <c r="V260" s="837"/>
      <c r="W260" s="837"/>
      <c r="X260" s="837"/>
      <c r="Y260" s="837"/>
      <c r="Z260" s="639"/>
      <c r="AA260" s="639"/>
      <c r="AB260" s="849"/>
      <c r="AC260" s="849"/>
      <c r="AD260" s="849"/>
      <c r="AE260" s="849"/>
      <c r="AF260" s="849"/>
      <c r="AG260" s="849"/>
      <c r="AH260" s="606"/>
      <c r="AI260" s="606"/>
      <c r="AJ260" s="606"/>
      <c r="AK260" s="606"/>
    </row>
    <row r="261" spans="1:39" hidden="1">
      <c r="A261" s="601"/>
      <c r="B261" s="838"/>
      <c r="C261" s="657"/>
      <c r="D261" s="821"/>
      <c r="E261" s="821"/>
      <c r="F261" s="821"/>
      <c r="G261" s="821"/>
      <c r="H261" s="821"/>
      <c r="I261" s="821"/>
      <c r="J261" s="821"/>
      <c r="K261" s="534"/>
      <c r="L261" s="534"/>
      <c r="M261" s="534"/>
      <c r="N261" s="534"/>
      <c r="O261" s="534"/>
      <c r="P261" s="534"/>
      <c r="Q261" s="534"/>
      <c r="R261" s="534"/>
      <c r="S261" s="534"/>
      <c r="U261" s="837"/>
      <c r="V261" s="837"/>
      <c r="W261" s="837"/>
      <c r="X261" s="837"/>
      <c r="Y261" s="837"/>
      <c r="Z261" s="639"/>
      <c r="AA261" s="639"/>
      <c r="AB261" s="849"/>
      <c r="AC261" s="849"/>
      <c r="AD261" s="849"/>
      <c r="AE261" s="849"/>
      <c r="AF261" s="849"/>
      <c r="AG261" s="849"/>
      <c r="AH261" s="606"/>
      <c r="AI261" s="606"/>
      <c r="AJ261" s="606"/>
      <c r="AK261" s="606"/>
    </row>
    <row r="262" spans="1:39" hidden="1">
      <c r="A262" s="601"/>
      <c r="B262" s="841" t="s">
        <v>1577</v>
      </c>
      <c r="C262" s="841"/>
      <c r="D262" s="821"/>
      <c r="E262" s="821"/>
      <c r="F262" s="821"/>
      <c r="G262" s="821"/>
      <c r="H262" s="821"/>
      <c r="I262" s="821"/>
      <c r="J262" s="821"/>
      <c r="K262" s="534"/>
      <c r="L262" s="534"/>
      <c r="M262" s="534"/>
      <c r="N262" s="534"/>
      <c r="O262" s="534"/>
      <c r="P262" s="534"/>
      <c r="Q262" s="534"/>
      <c r="R262" s="534"/>
      <c r="S262" s="534"/>
      <c r="T262" s="534"/>
      <c r="U262" s="534"/>
      <c r="V262" s="534"/>
      <c r="W262" s="534"/>
      <c r="X262" s="534"/>
      <c r="Y262" s="639"/>
      <c r="Z262" s="639"/>
      <c r="AA262" s="639"/>
      <c r="AB262" s="639"/>
      <c r="AC262" s="534"/>
      <c r="AD262" s="534"/>
      <c r="AE262" s="606"/>
      <c r="AF262" s="606"/>
      <c r="AG262" s="606"/>
      <c r="AH262" s="606"/>
      <c r="AI262" s="606"/>
      <c r="AJ262" s="606"/>
      <c r="AK262" s="606"/>
    </row>
    <row r="263" spans="1:39" hidden="1">
      <c r="A263" s="601"/>
      <c r="B263" s="601" t="s">
        <v>1580</v>
      </c>
      <c r="C263" s="657"/>
      <c r="D263" s="821"/>
      <c r="E263" s="821"/>
      <c r="F263" s="821"/>
      <c r="G263" s="821"/>
      <c r="H263" s="821"/>
      <c r="I263" s="821"/>
      <c r="J263" s="821"/>
      <c r="K263" s="534"/>
      <c r="L263" s="534"/>
      <c r="M263" s="534"/>
      <c r="N263" s="534"/>
      <c r="O263" s="534"/>
      <c r="P263" s="534"/>
      <c r="Q263" s="534"/>
      <c r="R263" s="534"/>
      <c r="S263" s="534"/>
      <c r="T263" s="534"/>
      <c r="U263" s="534"/>
      <c r="V263" s="534"/>
      <c r="W263" s="534"/>
      <c r="X263" s="534"/>
      <c r="Y263" s="639"/>
      <c r="Z263" s="639"/>
      <c r="AA263" s="639"/>
      <c r="AB263" s="639"/>
      <c r="AC263" s="534"/>
      <c r="AD263" s="534"/>
      <c r="AE263" s="606"/>
      <c r="AF263" s="606"/>
      <c r="AG263" s="606"/>
      <c r="AH263" s="606"/>
      <c r="AI263" s="606"/>
      <c r="AJ263" s="606"/>
      <c r="AK263" s="606"/>
    </row>
    <row r="264" spans="1:39" hidden="1">
      <c r="A264" s="601"/>
      <c r="B264" s="601" t="s">
        <v>1579</v>
      </c>
      <c r="C264" s="657"/>
      <c r="D264" s="821"/>
      <c r="E264" s="821"/>
      <c r="F264" s="821"/>
      <c r="G264" s="821"/>
      <c r="H264" s="821"/>
      <c r="I264" s="821"/>
      <c r="J264" s="821"/>
      <c r="K264" s="534"/>
      <c r="L264" s="534"/>
      <c r="M264" s="534"/>
      <c r="N264" s="534"/>
      <c r="O264" s="534"/>
      <c r="P264" s="534"/>
      <c r="Q264" s="534"/>
      <c r="R264" s="534"/>
      <c r="S264" s="534"/>
      <c r="T264" s="534"/>
      <c r="U264" s="534"/>
      <c r="V264" s="534"/>
      <c r="W264" s="534"/>
      <c r="X264" s="534"/>
      <c r="Y264" s="639"/>
      <c r="Z264" s="639"/>
      <c r="AA264" s="639"/>
      <c r="AB264" s="639"/>
      <c r="AC264" s="534"/>
      <c r="AD264" s="534"/>
      <c r="AE264" s="606"/>
      <c r="AF264" s="606"/>
      <c r="AG264" s="606"/>
      <c r="AH264" s="606"/>
      <c r="AI264" s="606"/>
      <c r="AJ264" s="606"/>
      <c r="AK264" s="606"/>
    </row>
    <row r="265" spans="1:39" hidden="1">
      <c r="A265" s="601"/>
      <c r="B265" s="601" t="s">
        <v>1578</v>
      </c>
      <c r="C265" s="657"/>
      <c r="D265" s="821"/>
      <c r="E265" s="821"/>
      <c r="F265" s="821"/>
      <c r="G265" s="821"/>
      <c r="H265" s="821"/>
      <c r="I265" s="821"/>
      <c r="J265" s="821"/>
      <c r="K265" s="534"/>
      <c r="L265" s="534"/>
      <c r="M265" s="534"/>
      <c r="N265" s="534"/>
      <c r="O265" s="534"/>
      <c r="P265" s="534"/>
      <c r="Q265" s="534"/>
      <c r="R265" s="534"/>
      <c r="S265" s="534"/>
      <c r="T265" s="534"/>
      <c r="U265" s="534"/>
      <c r="V265" s="534"/>
      <c r="W265" s="534"/>
      <c r="X265" s="534"/>
      <c r="Y265" s="639"/>
      <c r="Z265" s="639"/>
      <c r="AA265" s="639"/>
      <c r="AB265" s="1373">
        <f>IFERROR(('Sources and Uses Budget'!D105/'Sources and Uses Budget'!B105),0)</f>
        <v>0</v>
      </c>
      <c r="AC265" s="1374"/>
      <c r="AD265" s="1374"/>
      <c r="AE265" s="1374"/>
      <c r="AF265" s="1374"/>
      <c r="AG265" s="1375"/>
      <c r="AH265" s="850"/>
      <c r="AI265" s="850"/>
      <c r="AJ265" s="850"/>
      <c r="AK265" s="606"/>
    </row>
    <row r="266" spans="1:39" hidden="1">
      <c r="A266" s="601"/>
      <c r="B266" s="474"/>
      <c r="C266" s="657"/>
      <c r="D266" s="821"/>
      <c r="E266" s="821"/>
      <c r="F266" s="821"/>
      <c r="G266" s="821"/>
      <c r="H266" s="821"/>
      <c r="I266" s="821"/>
      <c r="J266" s="821"/>
      <c r="K266" s="534"/>
      <c r="L266" s="534"/>
      <c r="M266" s="534"/>
      <c r="N266" s="534"/>
      <c r="O266" s="534"/>
      <c r="P266" s="534"/>
      <c r="Q266" s="534"/>
      <c r="R266" s="534"/>
      <c r="S266" s="534"/>
      <c r="T266" s="534"/>
      <c r="U266" s="534"/>
      <c r="V266" s="534"/>
      <c r="W266" s="534"/>
      <c r="X266" s="534"/>
      <c r="Y266" s="639"/>
      <c r="Z266" s="639"/>
      <c r="AA266" s="639"/>
      <c r="AB266" s="639"/>
      <c r="AC266" s="534"/>
      <c r="AD266" s="534"/>
      <c r="AE266" s="606"/>
      <c r="AF266" s="606"/>
      <c r="AG266" s="606"/>
      <c r="AH266" s="606"/>
      <c r="AI266" s="606"/>
      <c r="AJ266" s="606"/>
      <c r="AK266" s="606"/>
    </row>
    <row r="267" spans="1:39" hidden="1">
      <c r="A267" s="618"/>
      <c r="B267" s="445" t="s">
        <v>1363</v>
      </c>
      <c r="C267" s="619"/>
      <c r="D267" s="619"/>
      <c r="E267" s="619"/>
      <c r="F267" s="619"/>
      <c r="H267" s="620"/>
      <c r="I267" s="620"/>
      <c r="J267" s="620"/>
      <c r="K267" s="620"/>
      <c r="L267" s="620"/>
      <c r="M267" s="620"/>
      <c r="N267" s="620"/>
      <c r="O267" s="620"/>
      <c r="P267" s="620"/>
      <c r="Q267" s="620"/>
      <c r="R267" s="620"/>
      <c r="Y267" s="620"/>
      <c r="Z267" s="620"/>
      <c r="AA267" s="620"/>
      <c r="AB267" s="618"/>
      <c r="AC267" s="618"/>
      <c r="AD267" s="618"/>
      <c r="AE267" s="618"/>
      <c r="AG267" s="1363">
        <f>AD210*(1-AB265)</f>
        <v>0</v>
      </c>
      <c r="AH267" s="1363"/>
      <c r="AI267" s="1363"/>
      <c r="AJ267" s="1363"/>
      <c r="AK267" s="1363"/>
    </row>
    <row r="268" spans="1:39" hidden="1">
      <c r="A268" s="618"/>
      <c r="B268" s="621" t="s">
        <v>1364</v>
      </c>
      <c r="C268" s="622"/>
      <c r="D268" s="620"/>
      <c r="E268" s="620"/>
      <c r="F268" s="622"/>
      <c r="G268" s="622"/>
      <c r="H268" s="622"/>
      <c r="I268" s="622"/>
      <c r="J268" s="622"/>
      <c r="K268" s="622"/>
      <c r="L268" s="622"/>
      <c r="M268" s="620"/>
      <c r="N268" s="622"/>
      <c r="O268" s="622"/>
      <c r="P268" s="622"/>
      <c r="Q268" s="622"/>
      <c r="R268" s="622"/>
      <c r="Y268" s="620"/>
      <c r="Z268" s="620"/>
      <c r="AA268" s="620"/>
      <c r="AB268" s="618"/>
      <c r="AC268" s="618"/>
      <c r="AD268" s="618"/>
      <c r="AE268" s="618"/>
      <c r="AG268" s="1363">
        <f>'Sources and Uses Budget'!C105</f>
        <v>58141072</v>
      </c>
      <c r="AH268" s="1363"/>
      <c r="AI268" s="1363"/>
      <c r="AJ268" s="1363"/>
      <c r="AK268" s="1363"/>
    </row>
    <row r="269" spans="1:39" hidden="1">
      <c r="A269" s="618"/>
      <c r="B269" s="620" t="s">
        <v>13</v>
      </c>
      <c r="C269" s="620"/>
      <c r="D269" s="620"/>
      <c r="E269" s="620"/>
      <c r="F269" s="620"/>
      <c r="G269" s="620"/>
      <c r="H269" s="620"/>
      <c r="I269" s="620"/>
      <c r="J269" s="620"/>
      <c r="K269" s="620"/>
      <c r="L269" s="620"/>
      <c r="M269" s="620"/>
      <c r="N269" s="620"/>
      <c r="O269" s="620"/>
      <c r="P269" s="620"/>
      <c r="Q269" s="620"/>
      <c r="R269" s="620"/>
      <c r="Y269" s="620"/>
      <c r="Z269" s="620"/>
      <c r="AA269" s="620"/>
      <c r="AB269" s="618"/>
      <c r="AC269" s="618"/>
      <c r="AD269" s="618"/>
      <c r="AE269" s="618"/>
      <c r="AG269" s="1364">
        <f>ROUNDDOWN(IF(AND(C305="Yes",AK83=10),((AG267*2)/AG268),AG267/AG268),2)</f>
        <v>0</v>
      </c>
      <c r="AH269" s="1364"/>
      <c r="AI269" s="1364"/>
      <c r="AJ269" s="1364"/>
      <c r="AK269" s="1364"/>
    </row>
    <row r="270" spans="1:39" hidden="1">
      <c r="A270" s="618"/>
      <c r="B270" s="970" t="s">
        <v>1726</v>
      </c>
      <c r="C270" s="620"/>
      <c r="D270" s="620"/>
      <c r="E270" s="620"/>
      <c r="F270" s="620"/>
      <c r="G270" s="620"/>
      <c r="H270" s="620"/>
      <c r="I270" s="620"/>
      <c r="J270" s="620"/>
      <c r="K270" s="620"/>
      <c r="L270" s="620"/>
      <c r="M270" s="620"/>
      <c r="N270" s="620"/>
      <c r="O270" s="620"/>
      <c r="P270" s="620"/>
      <c r="Q270" s="620"/>
      <c r="R270" s="620"/>
      <c r="Y270" s="620"/>
      <c r="Z270" s="620"/>
      <c r="AA270" s="620"/>
      <c r="AB270" s="618"/>
      <c r="AC270" s="618"/>
      <c r="AD270" s="618"/>
      <c r="AE270" s="618"/>
      <c r="AG270" s="969"/>
      <c r="AH270" s="969"/>
      <c r="AI270" s="969"/>
      <c r="AJ270" s="969"/>
      <c r="AK270" s="969"/>
    </row>
    <row r="271" spans="1:39" hidden="1">
      <c r="A271" s="623"/>
      <c r="B271" s="623"/>
      <c r="C271" s="623"/>
      <c r="D271" s="623"/>
      <c r="E271" s="623"/>
      <c r="F271" s="623"/>
      <c r="G271" s="623"/>
      <c r="H271" s="623"/>
      <c r="I271" s="623"/>
      <c r="J271" s="623"/>
      <c r="K271" s="623"/>
      <c r="L271" s="623"/>
      <c r="M271" s="623"/>
      <c r="N271" s="623"/>
      <c r="O271" s="623"/>
      <c r="P271" s="623"/>
      <c r="Q271" s="623"/>
      <c r="R271" s="623"/>
      <c r="S271" s="623"/>
      <c r="T271" s="623"/>
      <c r="U271" s="623"/>
      <c r="V271" s="623"/>
      <c r="W271" s="623"/>
      <c r="X271" s="623"/>
      <c r="Y271" s="623"/>
      <c r="Z271" s="623"/>
      <c r="AA271" s="623"/>
      <c r="AB271" s="623"/>
      <c r="AC271" s="623"/>
      <c r="AD271" s="623"/>
      <c r="AE271" s="623"/>
      <c r="AF271" s="623"/>
      <c r="AG271" s="623"/>
      <c r="AH271" s="623"/>
      <c r="AI271" s="623"/>
      <c r="AJ271" s="623"/>
    </row>
    <row r="272" spans="1:39" hidden="1">
      <c r="A272" s="624"/>
      <c r="B272" s="624"/>
      <c r="C272" s="624"/>
      <c r="D272" s="624"/>
      <c r="E272" s="624"/>
      <c r="F272" s="624"/>
      <c r="G272" s="624"/>
      <c r="H272" s="624"/>
      <c r="I272" s="624"/>
      <c r="J272" s="624"/>
      <c r="K272" s="624"/>
      <c r="L272" s="624"/>
      <c r="M272" s="624"/>
      <c r="N272" s="624"/>
      <c r="O272" s="624"/>
      <c r="P272" s="624"/>
      <c r="Q272" s="624"/>
      <c r="R272" s="624"/>
      <c r="S272" s="624"/>
      <c r="T272" s="624"/>
      <c r="U272" s="624"/>
      <c r="V272" s="624"/>
      <c r="W272" s="624"/>
      <c r="X272" s="624"/>
      <c r="Y272" s="624"/>
      <c r="Z272" s="624"/>
      <c r="AA272" s="624"/>
      <c r="AB272" s="624"/>
      <c r="AC272" s="624"/>
      <c r="AD272" s="624"/>
      <c r="AE272" s="624"/>
      <c r="AF272" s="624"/>
      <c r="AG272" s="624"/>
      <c r="AH272" s="625"/>
      <c r="AI272" s="561"/>
      <c r="AJ272" s="561" t="s">
        <v>1365</v>
      </c>
      <c r="AK272" s="1365">
        <f>IFERROR(IF(AG269=0,0,IF((AG269*100)&gt;8,8,(AG269*100))),0)</f>
        <v>0</v>
      </c>
      <c r="AL272" s="1365"/>
      <c r="AM272" s="1366"/>
    </row>
    <row r="273" spans="1:52" ht="13.5" hidden="1" thickBot="1"/>
    <row r="274" spans="1:52" s="547" customFormat="1" ht="12.75" customHeight="1" thickTop="1">
      <c r="A274" s="608"/>
      <c r="B274" s="626"/>
      <c r="C274" s="626"/>
      <c r="D274" s="626"/>
      <c r="E274" s="626"/>
      <c r="F274" s="626"/>
      <c r="G274" s="626"/>
      <c r="H274" s="626"/>
      <c r="I274" s="626"/>
      <c r="J274" s="626"/>
      <c r="K274" s="626"/>
      <c r="L274" s="626"/>
      <c r="M274" s="626"/>
      <c r="N274" s="626"/>
      <c r="O274" s="626"/>
      <c r="P274" s="626"/>
      <c r="Q274" s="626"/>
      <c r="R274" s="626"/>
      <c r="S274" s="626"/>
      <c r="T274" s="626"/>
      <c r="U274" s="626"/>
      <c r="V274" s="626"/>
      <c r="W274" s="626"/>
      <c r="X274" s="626"/>
      <c r="Y274" s="626"/>
      <c r="Z274" s="626"/>
      <c r="AA274" s="626"/>
      <c r="AB274" s="626"/>
      <c r="AC274" s="627"/>
      <c r="AD274" s="626"/>
      <c r="AE274" s="626"/>
      <c r="AF274" s="626"/>
      <c r="AG274" s="626"/>
      <c r="AH274" s="608"/>
      <c r="AI274" s="628"/>
      <c r="AJ274" s="628"/>
      <c r="AK274" s="629"/>
      <c r="AL274" s="629"/>
      <c r="AM274" s="630"/>
      <c r="AN274" s="593"/>
      <c r="AP274" s="534"/>
      <c r="AQ274" s="534"/>
      <c r="AR274" s="534"/>
      <c r="AS274" s="534"/>
      <c r="AT274" s="534"/>
      <c r="AU274" s="534"/>
      <c r="AV274" s="534"/>
      <c r="AW274" s="534"/>
      <c r="AX274" s="534"/>
      <c r="AY274" s="534"/>
      <c r="AZ274" s="534"/>
    </row>
    <row r="275" spans="1:52">
      <c r="A275" s="198" t="s">
        <v>1360</v>
      </c>
      <c r="B275" s="536" t="s">
        <v>1367</v>
      </c>
      <c r="C275" s="537"/>
      <c r="D275" s="547"/>
      <c r="E275" s="547"/>
      <c r="F275" s="547"/>
      <c r="G275" s="547"/>
      <c r="H275" s="547"/>
      <c r="I275" s="547"/>
      <c r="J275" s="547"/>
      <c r="K275" s="547"/>
      <c r="L275" s="547"/>
      <c r="M275" s="547"/>
      <c r="N275" s="547"/>
      <c r="O275" s="547"/>
      <c r="P275" s="547"/>
      <c r="Q275" s="547"/>
      <c r="R275" s="547"/>
      <c r="S275" s="547"/>
      <c r="T275" s="547"/>
      <c r="U275" s="547"/>
      <c r="V275" s="547"/>
      <c r="W275" s="547"/>
      <c r="X275" s="547"/>
      <c r="Y275" s="547"/>
      <c r="Z275" s="547"/>
      <c r="AA275" s="547"/>
      <c r="AB275" s="547"/>
      <c r="AC275" s="547"/>
      <c r="AD275" s="547"/>
      <c r="AE275" s="547"/>
      <c r="AF275" s="547"/>
      <c r="AG275" s="547"/>
      <c r="AH275" s="587" t="s">
        <v>1305</v>
      </c>
      <c r="AI275" s="547"/>
      <c r="AJ275" s="547"/>
      <c r="AK275" s="547"/>
      <c r="AL275" s="547"/>
      <c r="AM275" s="547"/>
      <c r="AO275" s="547"/>
    </row>
    <row r="276" spans="1:52">
      <c r="A276" s="198"/>
      <c r="B276" s="536"/>
      <c r="C276" s="537"/>
      <c r="D276" s="547"/>
      <c r="E276" s="547"/>
      <c r="F276" s="547"/>
      <c r="G276" s="547"/>
      <c r="H276" s="547"/>
      <c r="I276" s="547"/>
      <c r="J276" s="547"/>
      <c r="K276" s="547"/>
      <c r="L276" s="547"/>
      <c r="M276" s="547"/>
      <c r="N276" s="547"/>
      <c r="O276" s="547"/>
      <c r="P276" s="547"/>
      <c r="Q276" s="547"/>
      <c r="R276" s="547"/>
      <c r="S276" s="547"/>
      <c r="T276" s="547"/>
      <c r="U276" s="547"/>
      <c r="V276" s="547"/>
      <c r="W276" s="547"/>
      <c r="X276" s="547"/>
      <c r="Y276" s="547"/>
      <c r="Z276" s="547"/>
      <c r="AA276" s="547"/>
      <c r="AB276" s="547"/>
      <c r="AC276" s="547"/>
      <c r="AD276" s="547"/>
      <c r="AE276" s="547"/>
      <c r="AF276" s="547"/>
      <c r="AG276" s="547"/>
      <c r="AH276" s="587"/>
      <c r="AI276" s="547"/>
      <c r="AJ276" s="547"/>
      <c r="AK276" s="547"/>
      <c r="AL276" s="547"/>
      <c r="AM276" s="547"/>
      <c r="AO276" s="547"/>
    </row>
    <row r="277" spans="1:52" ht="14.25" customHeight="1">
      <c r="D277" s="14" t="s">
        <v>2563</v>
      </c>
      <c r="AI277" s="548"/>
      <c r="AJ277" s="547"/>
      <c r="AK277" s="547"/>
      <c r="AL277" s="547"/>
      <c r="AM277" s="547"/>
      <c r="AO277" s="547"/>
    </row>
    <row r="278" spans="1:52" ht="14.25" customHeight="1">
      <c r="AI278" s="548"/>
      <c r="AJ278" s="547"/>
      <c r="AK278" s="547"/>
      <c r="AL278" s="547"/>
      <c r="AM278" s="547"/>
      <c r="AO278" s="547"/>
    </row>
    <row r="279" spans="1:52" ht="13.7" customHeight="1">
      <c r="A279" s="547"/>
      <c r="B279" s="592"/>
      <c r="C279" s="1357" t="s">
        <v>544</v>
      </c>
      <c r="D279" s="1357"/>
      <c r="E279" s="544"/>
      <c r="F279" s="1513" t="s">
        <v>2555</v>
      </c>
      <c r="G279" s="1514"/>
      <c r="H279" s="1514"/>
      <c r="I279" s="1514"/>
      <c r="J279" s="1514"/>
      <c r="K279" s="1514"/>
      <c r="L279" s="1514"/>
      <c r="M279" s="1514"/>
      <c r="N279" s="1514"/>
      <c r="O279" s="1514"/>
      <c r="P279" s="1514"/>
      <c r="Q279" s="1514"/>
      <c r="R279" s="1514"/>
      <c r="S279" s="1514"/>
      <c r="T279" s="1514"/>
      <c r="U279" s="1514"/>
      <c r="V279" s="1514"/>
      <c r="W279" s="1514"/>
      <c r="X279" s="1514"/>
      <c r="Y279" s="1514"/>
      <c r="Z279" s="1514"/>
      <c r="AA279" s="1514"/>
      <c r="AB279" s="1514"/>
      <c r="AC279" s="1514"/>
      <c r="AD279" s="1515"/>
      <c r="AE279" s="547"/>
      <c r="AF279" s="631"/>
      <c r="AG279" s="1358" t="s">
        <v>1354</v>
      </c>
      <c r="AH279" s="1358"/>
      <c r="AI279" s="1358"/>
      <c r="AJ279" s="1358"/>
      <c r="AK279" s="547"/>
      <c r="AL279" s="547"/>
      <c r="AM279" s="547"/>
      <c r="AO279" s="547"/>
    </row>
    <row r="280" spans="1:52" ht="13.7" customHeight="1">
      <c r="A280" s="547"/>
      <c r="B280" s="592"/>
      <c r="C280" s="632"/>
      <c r="D280" s="547"/>
      <c r="E280" s="544"/>
      <c r="F280" s="1516"/>
      <c r="G280" s="1517"/>
      <c r="H280" s="1517"/>
      <c r="I280" s="1517"/>
      <c r="J280" s="1517"/>
      <c r="K280" s="1517"/>
      <c r="L280" s="1517"/>
      <c r="M280" s="1517"/>
      <c r="N280" s="1517"/>
      <c r="O280" s="1517"/>
      <c r="P280" s="1517"/>
      <c r="Q280" s="1517"/>
      <c r="R280" s="1517"/>
      <c r="S280" s="1517"/>
      <c r="T280" s="1517"/>
      <c r="U280" s="1517"/>
      <c r="V280" s="1517"/>
      <c r="W280" s="1517"/>
      <c r="X280" s="1517"/>
      <c r="Y280" s="1517"/>
      <c r="Z280" s="1517"/>
      <c r="AA280" s="1517"/>
      <c r="AB280" s="1517"/>
      <c r="AC280" s="1517"/>
      <c r="AD280" s="1518"/>
      <c r="AE280" s="547"/>
      <c r="AF280" s="631"/>
      <c r="AG280" s="631"/>
      <c r="AH280" s="631"/>
      <c r="AI280" s="631"/>
      <c r="AJ280" s="547"/>
      <c r="AK280" s="547"/>
      <c r="AL280" s="547"/>
      <c r="AM280" s="547"/>
      <c r="AO280" s="547"/>
    </row>
    <row r="281" spans="1:52" ht="13.7" customHeight="1">
      <c r="A281" s="547"/>
      <c r="B281" s="592"/>
      <c r="C281" s="632"/>
      <c r="D281" s="547"/>
      <c r="E281" s="544"/>
      <c r="F281" s="1516"/>
      <c r="G281" s="1517"/>
      <c r="H281" s="1517"/>
      <c r="I281" s="1517"/>
      <c r="J281" s="1517"/>
      <c r="K281" s="1517"/>
      <c r="L281" s="1517"/>
      <c r="M281" s="1517"/>
      <c r="N281" s="1517"/>
      <c r="O281" s="1517"/>
      <c r="P281" s="1517"/>
      <c r="Q281" s="1517"/>
      <c r="R281" s="1517"/>
      <c r="S281" s="1517"/>
      <c r="T281" s="1517"/>
      <c r="U281" s="1517"/>
      <c r="V281" s="1517"/>
      <c r="W281" s="1517"/>
      <c r="X281" s="1517"/>
      <c r="Y281" s="1517"/>
      <c r="Z281" s="1517"/>
      <c r="AA281" s="1517"/>
      <c r="AB281" s="1517"/>
      <c r="AC281" s="1517"/>
      <c r="AD281" s="1518"/>
      <c r="AE281" s="547"/>
      <c r="AF281" s="631"/>
      <c r="AG281" s="631"/>
      <c r="AH281" s="631"/>
      <c r="AI281" s="631"/>
      <c r="AJ281" s="547"/>
      <c r="AK281" s="547"/>
      <c r="AL281" s="547"/>
      <c r="AM281" s="547"/>
      <c r="AO281" s="547"/>
    </row>
    <row r="282" spans="1:52" ht="13.7" customHeight="1">
      <c r="A282" s="547"/>
      <c r="B282" s="592"/>
      <c r="C282" s="632"/>
      <c r="D282" s="547"/>
      <c r="E282" s="544"/>
      <c r="F282" s="1516"/>
      <c r="G282" s="1517"/>
      <c r="H282" s="1517"/>
      <c r="I282" s="1517"/>
      <c r="J282" s="1517"/>
      <c r="K282" s="1517"/>
      <c r="L282" s="1517"/>
      <c r="M282" s="1517"/>
      <c r="N282" s="1517"/>
      <c r="O282" s="1517"/>
      <c r="P282" s="1517"/>
      <c r="Q282" s="1517"/>
      <c r="R282" s="1517"/>
      <c r="S282" s="1517"/>
      <c r="T282" s="1517"/>
      <c r="U282" s="1517"/>
      <c r="V282" s="1517"/>
      <c r="W282" s="1517"/>
      <c r="X282" s="1517"/>
      <c r="Y282" s="1517"/>
      <c r="Z282" s="1517"/>
      <c r="AA282" s="1517"/>
      <c r="AB282" s="1517"/>
      <c r="AC282" s="1517"/>
      <c r="AD282" s="1518"/>
      <c r="AE282" s="547"/>
      <c r="AF282" s="631"/>
      <c r="AG282" s="631"/>
      <c r="AH282" s="631"/>
      <c r="AI282" s="631"/>
      <c r="AJ282" s="547"/>
      <c r="AK282" s="547"/>
      <c r="AL282" s="547"/>
      <c r="AM282" s="547"/>
      <c r="AO282" s="547"/>
    </row>
    <row r="283" spans="1:52" ht="13.7" customHeight="1">
      <c r="A283" s="547"/>
      <c r="B283" s="592"/>
      <c r="C283" s="632"/>
      <c r="D283" s="547"/>
      <c r="E283" s="544"/>
      <c r="F283" s="1516"/>
      <c r="G283" s="1517"/>
      <c r="H283" s="1517"/>
      <c r="I283" s="1517"/>
      <c r="J283" s="1517"/>
      <c r="K283" s="1517"/>
      <c r="L283" s="1517"/>
      <c r="M283" s="1517"/>
      <c r="N283" s="1517"/>
      <c r="O283" s="1517"/>
      <c r="P283" s="1517"/>
      <c r="Q283" s="1517"/>
      <c r="R283" s="1517"/>
      <c r="S283" s="1517"/>
      <c r="T283" s="1517"/>
      <c r="U283" s="1517"/>
      <c r="V283" s="1517"/>
      <c r="W283" s="1517"/>
      <c r="X283" s="1517"/>
      <c r="Y283" s="1517"/>
      <c r="Z283" s="1517"/>
      <c r="AA283" s="1517"/>
      <c r="AB283" s="1517"/>
      <c r="AC283" s="1517"/>
      <c r="AD283" s="1518"/>
      <c r="AE283" s="547"/>
      <c r="AF283" s="631"/>
      <c r="AG283" s="631"/>
      <c r="AH283" s="631"/>
      <c r="AI283" s="631"/>
      <c r="AJ283" s="547"/>
      <c r="AK283" s="547"/>
      <c r="AL283" s="547"/>
      <c r="AM283" s="547"/>
      <c r="AO283" s="547"/>
    </row>
    <row r="284" spans="1:52">
      <c r="A284" s="547"/>
      <c r="B284" s="592"/>
      <c r="C284" s="632"/>
      <c r="D284" s="547"/>
      <c r="E284" s="544"/>
      <c r="F284" s="1516"/>
      <c r="G284" s="1517"/>
      <c r="H284" s="1517"/>
      <c r="I284" s="1517"/>
      <c r="J284" s="1517"/>
      <c r="K284" s="1517"/>
      <c r="L284" s="1517"/>
      <c r="M284" s="1517"/>
      <c r="N284" s="1517"/>
      <c r="O284" s="1517"/>
      <c r="P284" s="1517"/>
      <c r="Q284" s="1517"/>
      <c r="R284" s="1517"/>
      <c r="S284" s="1517"/>
      <c r="T284" s="1517"/>
      <c r="U284" s="1517"/>
      <c r="V284" s="1517"/>
      <c r="W284" s="1517"/>
      <c r="X284" s="1517"/>
      <c r="Y284" s="1517"/>
      <c r="Z284" s="1517"/>
      <c r="AA284" s="1517"/>
      <c r="AB284" s="1517"/>
      <c r="AC284" s="1517"/>
      <c r="AD284" s="1518"/>
      <c r="AE284" s="547"/>
      <c r="AF284" s="631"/>
      <c r="AG284" s="631"/>
      <c r="AH284" s="631"/>
      <c r="AI284" s="631"/>
      <c r="AJ284" s="547"/>
      <c r="AK284" s="547"/>
      <c r="AL284" s="547"/>
      <c r="AM284" s="547"/>
      <c r="AO284" s="547"/>
      <c r="AP284" s="633"/>
    </row>
    <row r="285" spans="1:52">
      <c r="A285" s="547"/>
      <c r="B285" s="592"/>
      <c r="C285" s="632"/>
      <c r="D285" s="547"/>
      <c r="E285" s="544"/>
      <c r="F285" s="1516"/>
      <c r="G285" s="1517"/>
      <c r="H285" s="1517"/>
      <c r="I285" s="1517"/>
      <c r="J285" s="1517"/>
      <c r="K285" s="1517"/>
      <c r="L285" s="1517"/>
      <c r="M285" s="1517"/>
      <c r="N285" s="1517"/>
      <c r="O285" s="1517"/>
      <c r="P285" s="1517"/>
      <c r="Q285" s="1517"/>
      <c r="R285" s="1517"/>
      <c r="S285" s="1517"/>
      <c r="T285" s="1517"/>
      <c r="U285" s="1517"/>
      <c r="V285" s="1517"/>
      <c r="W285" s="1517"/>
      <c r="X285" s="1517"/>
      <c r="Y285" s="1517"/>
      <c r="Z285" s="1517"/>
      <c r="AA285" s="1517"/>
      <c r="AB285" s="1517"/>
      <c r="AC285" s="1517"/>
      <c r="AD285" s="1518"/>
      <c r="AE285" s="547"/>
      <c r="AF285" s="631"/>
      <c r="AG285" s="631"/>
      <c r="AH285" s="631"/>
      <c r="AI285" s="631"/>
      <c r="AJ285" s="547"/>
      <c r="AK285" s="547"/>
      <c r="AL285" s="547"/>
      <c r="AM285" s="547"/>
      <c r="AO285" s="547"/>
      <c r="AP285" s="633"/>
    </row>
    <row r="286" spans="1:52" ht="13.7" customHeight="1">
      <c r="A286" s="547"/>
      <c r="B286" s="592"/>
      <c r="C286" s="1359"/>
      <c r="D286" s="1359"/>
      <c r="E286" s="544"/>
      <c r="F286" s="1519"/>
      <c r="G286" s="1520"/>
      <c r="H286" s="1520"/>
      <c r="I286" s="1520"/>
      <c r="J286" s="1520"/>
      <c r="K286" s="1520"/>
      <c r="L286" s="1520"/>
      <c r="M286" s="1520"/>
      <c r="N286" s="1520"/>
      <c r="O286" s="1520"/>
      <c r="P286" s="1520"/>
      <c r="Q286" s="1520"/>
      <c r="R286" s="1520"/>
      <c r="S286" s="1520"/>
      <c r="T286" s="1520"/>
      <c r="U286" s="1520"/>
      <c r="V286" s="1520"/>
      <c r="W286" s="1520"/>
      <c r="X286" s="1520"/>
      <c r="Y286" s="1520"/>
      <c r="Z286" s="1520"/>
      <c r="AA286" s="1520"/>
      <c r="AB286" s="1520"/>
      <c r="AC286" s="1520"/>
      <c r="AD286" s="1521"/>
      <c r="AE286" s="547"/>
      <c r="AF286" s="631"/>
      <c r="AG286" s="1358"/>
      <c r="AH286" s="1358"/>
      <c r="AI286" s="1358"/>
      <c r="AJ286" s="1358"/>
      <c r="AK286" s="547"/>
      <c r="AL286" s="547"/>
      <c r="AM286" s="547"/>
    </row>
    <row r="287" spans="1:52" ht="13.7" hidden="1" customHeight="1">
      <c r="A287" s="547"/>
      <c r="C287" s="599"/>
      <c r="D287" s="599"/>
      <c r="E287" s="599"/>
      <c r="F287" s="1015"/>
      <c r="G287" s="1016"/>
      <c r="H287" s="1016"/>
      <c r="I287" s="1016"/>
      <c r="J287" s="1016"/>
      <c r="K287" s="1016"/>
      <c r="L287" s="1016"/>
      <c r="M287" s="1016"/>
      <c r="N287" s="1016"/>
      <c r="O287" s="1016"/>
      <c r="P287" s="1016"/>
      <c r="Q287" s="1016"/>
      <c r="R287" s="1016"/>
      <c r="S287" s="1016"/>
      <c r="T287" s="1016"/>
      <c r="U287" s="1016"/>
      <c r="V287" s="1016"/>
      <c r="W287" s="1016"/>
      <c r="X287" s="1016"/>
      <c r="Y287" s="1016"/>
      <c r="Z287" s="1016"/>
      <c r="AA287" s="1016"/>
      <c r="AB287" s="1016"/>
      <c r="AC287" s="1016"/>
      <c r="AD287" s="1017"/>
      <c r="AE287" s="599"/>
      <c r="AF287" s="599"/>
      <c r="AG287" s="599"/>
      <c r="AH287" s="599"/>
      <c r="AI287" s="631"/>
      <c r="AJ287" s="547"/>
      <c r="AK287" s="547"/>
      <c r="AL287" s="547"/>
      <c r="AM287" s="547"/>
    </row>
    <row r="288" spans="1:52">
      <c r="A288" s="547"/>
      <c r="B288" s="599"/>
      <c r="C288" s="599"/>
      <c r="D288" s="599"/>
      <c r="E288" s="599"/>
      <c r="F288" s="599"/>
      <c r="G288" s="599"/>
      <c r="H288" s="599"/>
      <c r="I288" s="599"/>
      <c r="J288" s="599"/>
      <c r="K288" s="599"/>
      <c r="L288" s="599"/>
      <c r="M288" s="599"/>
      <c r="N288" s="599"/>
      <c r="O288" s="599"/>
      <c r="P288" s="599"/>
      <c r="Q288" s="599"/>
      <c r="R288" s="599"/>
      <c r="S288" s="599"/>
      <c r="T288" s="599"/>
      <c r="U288" s="599"/>
      <c r="V288" s="599"/>
      <c r="W288" s="599"/>
      <c r="X288" s="599"/>
      <c r="Y288" s="599"/>
      <c r="Z288" s="599"/>
      <c r="AA288" s="599"/>
      <c r="AB288" s="599"/>
      <c r="AC288" s="599"/>
      <c r="AD288" s="599"/>
      <c r="AE288" s="599"/>
      <c r="AF288" s="599"/>
      <c r="AG288" s="599"/>
      <c r="AH288" s="599"/>
      <c r="AI288" s="599"/>
      <c r="AJ288" s="599"/>
      <c r="AK288" s="599"/>
      <c r="AL288" s="547"/>
      <c r="AM288" s="547"/>
      <c r="AN288" s="73"/>
    </row>
    <row r="289" spans="1:49">
      <c r="A289" s="547"/>
      <c r="B289" s="1273" t="s">
        <v>2562</v>
      </c>
      <c r="C289" s="1273"/>
      <c r="D289" s="1273"/>
      <c r="E289" s="1273"/>
      <c r="F289" s="1273"/>
      <c r="G289" s="1273"/>
      <c r="H289" s="1273"/>
      <c r="I289" s="1273"/>
      <c r="J289" s="1273"/>
      <c r="K289" s="1273"/>
      <c r="L289" s="1273"/>
      <c r="M289" s="1273"/>
      <c r="N289" s="1273"/>
      <c r="O289" s="1273"/>
      <c r="P289" s="1273"/>
      <c r="Q289" s="1273"/>
      <c r="R289" s="1273"/>
      <c r="S289" s="1273"/>
      <c r="T289" s="1273"/>
      <c r="U289" s="1273"/>
      <c r="V289" s="1273"/>
      <c r="W289" s="1273"/>
      <c r="X289" s="1273"/>
      <c r="Y289" s="1273"/>
      <c r="Z289" s="1273"/>
      <c r="AA289" s="1273"/>
      <c r="AB289" s="1273"/>
      <c r="AC289" s="1273"/>
      <c r="AD289" s="1273"/>
      <c r="AE289" s="1273"/>
      <c r="AF289" s="1273"/>
      <c r="AG289" s="1273"/>
      <c r="AH289" s="1273"/>
      <c r="AI289" s="1273"/>
      <c r="AJ289" s="1273"/>
      <c r="AK289" s="1273"/>
      <c r="AL289" s="1273"/>
      <c r="AM289" s="547"/>
      <c r="AN289" s="73"/>
    </row>
    <row r="290" spans="1:49">
      <c r="A290" s="547"/>
      <c r="B290" s="1273"/>
      <c r="C290" s="1273"/>
      <c r="D290" s="1273"/>
      <c r="E290" s="1273"/>
      <c r="F290" s="1273"/>
      <c r="G290" s="1273"/>
      <c r="H290" s="1273"/>
      <c r="I290" s="1273"/>
      <c r="J290" s="1273"/>
      <c r="K290" s="1273"/>
      <c r="L290" s="1273"/>
      <c r="M290" s="1273"/>
      <c r="N290" s="1273"/>
      <c r="O290" s="1273"/>
      <c r="P290" s="1273"/>
      <c r="Q290" s="1273"/>
      <c r="R290" s="1273"/>
      <c r="S290" s="1273"/>
      <c r="T290" s="1273"/>
      <c r="U290" s="1273"/>
      <c r="V290" s="1273"/>
      <c r="W290" s="1273"/>
      <c r="X290" s="1273"/>
      <c r="Y290" s="1273"/>
      <c r="Z290" s="1273"/>
      <c r="AA290" s="1273"/>
      <c r="AB290" s="1273"/>
      <c r="AC290" s="1273"/>
      <c r="AD290" s="1273"/>
      <c r="AE290" s="1273"/>
      <c r="AF290" s="1273"/>
      <c r="AG290" s="1273"/>
      <c r="AH290" s="1273"/>
      <c r="AI290" s="1273"/>
      <c r="AJ290" s="1273"/>
      <c r="AK290" s="1273"/>
      <c r="AL290" s="1273"/>
      <c r="AM290" s="547"/>
      <c r="AN290" s="73"/>
    </row>
    <row r="291" spans="1:49">
      <c r="A291" s="547"/>
      <c r="B291" s="1273"/>
      <c r="C291" s="1273"/>
      <c r="D291" s="1273"/>
      <c r="E291" s="1273"/>
      <c r="F291" s="1273"/>
      <c r="G291" s="1273"/>
      <c r="H291" s="1273"/>
      <c r="I291" s="1273"/>
      <c r="J291" s="1273"/>
      <c r="K291" s="1273"/>
      <c r="L291" s="1273"/>
      <c r="M291" s="1273"/>
      <c r="N291" s="1273"/>
      <c r="O291" s="1273"/>
      <c r="P291" s="1273"/>
      <c r="Q291" s="1273"/>
      <c r="R291" s="1273"/>
      <c r="S291" s="1273"/>
      <c r="T291" s="1273"/>
      <c r="U291" s="1273"/>
      <c r="V291" s="1273"/>
      <c r="W291" s="1273"/>
      <c r="X291" s="1273"/>
      <c r="Y291" s="1273"/>
      <c r="Z291" s="1273"/>
      <c r="AA291" s="1273"/>
      <c r="AB291" s="1273"/>
      <c r="AC291" s="1273"/>
      <c r="AD291" s="1273"/>
      <c r="AE291" s="1273"/>
      <c r="AF291" s="1273"/>
      <c r="AG291" s="1273"/>
      <c r="AH291" s="1273"/>
      <c r="AI291" s="1273"/>
      <c r="AJ291" s="1273"/>
      <c r="AK291" s="1273"/>
      <c r="AL291" s="1273"/>
      <c r="AM291" s="547"/>
      <c r="AN291" s="73"/>
    </row>
    <row r="292" spans="1:49">
      <c r="A292" s="547"/>
      <c r="B292" s="1273"/>
      <c r="C292" s="1273"/>
      <c r="D292" s="1273"/>
      <c r="E292" s="1273"/>
      <c r="F292" s="1273"/>
      <c r="G292" s="1273"/>
      <c r="H292" s="1273"/>
      <c r="I292" s="1273"/>
      <c r="J292" s="1273"/>
      <c r="K292" s="1273"/>
      <c r="L292" s="1273"/>
      <c r="M292" s="1273"/>
      <c r="N292" s="1273"/>
      <c r="O292" s="1273"/>
      <c r="P292" s="1273"/>
      <c r="Q292" s="1273"/>
      <c r="R292" s="1273"/>
      <c r="S292" s="1273"/>
      <c r="T292" s="1273"/>
      <c r="U292" s="1273"/>
      <c r="V292" s="1273"/>
      <c r="W292" s="1273"/>
      <c r="X292" s="1273"/>
      <c r="Y292" s="1273"/>
      <c r="Z292" s="1273"/>
      <c r="AA292" s="1273"/>
      <c r="AB292" s="1273"/>
      <c r="AC292" s="1273"/>
      <c r="AD292" s="1273"/>
      <c r="AE292" s="1273"/>
      <c r="AF292" s="1273"/>
      <c r="AG292" s="1273"/>
      <c r="AH292" s="1273"/>
      <c r="AI292" s="1273"/>
      <c r="AJ292" s="1273"/>
      <c r="AK292" s="1273"/>
      <c r="AL292" s="1273"/>
      <c r="AM292" s="547"/>
      <c r="AN292" s="73"/>
    </row>
    <row r="293" spans="1:49">
      <c r="A293" s="547"/>
      <c r="B293" s="1273"/>
      <c r="C293" s="1273"/>
      <c r="D293" s="1273"/>
      <c r="E293" s="1273"/>
      <c r="F293" s="1273"/>
      <c r="G293" s="1273"/>
      <c r="H293" s="1273"/>
      <c r="I293" s="1273"/>
      <c r="J293" s="1273"/>
      <c r="K293" s="1273"/>
      <c r="L293" s="1273"/>
      <c r="M293" s="1273"/>
      <c r="N293" s="1273"/>
      <c r="O293" s="1273"/>
      <c r="P293" s="1273"/>
      <c r="Q293" s="1273"/>
      <c r="R293" s="1273"/>
      <c r="S293" s="1273"/>
      <c r="T293" s="1273"/>
      <c r="U293" s="1273"/>
      <c r="V293" s="1273"/>
      <c r="W293" s="1273"/>
      <c r="X293" s="1273"/>
      <c r="Y293" s="1273"/>
      <c r="Z293" s="1273"/>
      <c r="AA293" s="1273"/>
      <c r="AB293" s="1273"/>
      <c r="AC293" s="1273"/>
      <c r="AD293" s="1273"/>
      <c r="AE293" s="1273"/>
      <c r="AF293" s="1273"/>
      <c r="AG293" s="1273"/>
      <c r="AH293" s="1273"/>
      <c r="AI293" s="1273"/>
      <c r="AJ293" s="1273"/>
      <c r="AK293" s="1273"/>
      <c r="AL293" s="1273"/>
      <c r="AM293" s="547"/>
      <c r="AN293" s="73"/>
    </row>
    <row r="294" spans="1:49">
      <c r="A294" s="547"/>
      <c r="B294" s="1273"/>
      <c r="C294" s="1273"/>
      <c r="D294" s="1273"/>
      <c r="E294" s="1273"/>
      <c r="F294" s="1273"/>
      <c r="G294" s="1273"/>
      <c r="H294" s="1273"/>
      <c r="I294" s="1273"/>
      <c r="J294" s="1273"/>
      <c r="K294" s="1273"/>
      <c r="L294" s="1273"/>
      <c r="M294" s="1273"/>
      <c r="N294" s="1273"/>
      <c r="O294" s="1273"/>
      <c r="P294" s="1273"/>
      <c r="Q294" s="1273"/>
      <c r="R294" s="1273"/>
      <c r="S294" s="1273"/>
      <c r="T294" s="1273"/>
      <c r="U294" s="1273"/>
      <c r="V294" s="1273"/>
      <c r="W294" s="1273"/>
      <c r="X294" s="1273"/>
      <c r="Y294" s="1273"/>
      <c r="Z294" s="1273"/>
      <c r="AA294" s="1273"/>
      <c r="AB294" s="1273"/>
      <c r="AC294" s="1273"/>
      <c r="AD294" s="1273"/>
      <c r="AE294" s="1273"/>
      <c r="AF294" s="1273"/>
      <c r="AG294" s="1273"/>
      <c r="AH294" s="1273"/>
      <c r="AI294" s="1273"/>
      <c r="AJ294" s="1273"/>
      <c r="AK294" s="1273"/>
      <c r="AL294" s="1273"/>
      <c r="AM294" s="547"/>
      <c r="AN294" s="73"/>
    </row>
    <row r="295" spans="1:49">
      <c r="A295" s="547"/>
      <c r="B295" s="1273"/>
      <c r="C295" s="1273"/>
      <c r="D295" s="1273"/>
      <c r="E295" s="1273"/>
      <c r="F295" s="1273"/>
      <c r="G295" s="1273"/>
      <c r="H295" s="1273"/>
      <c r="I295" s="1273"/>
      <c r="J295" s="1273"/>
      <c r="K295" s="1273"/>
      <c r="L295" s="1273"/>
      <c r="M295" s="1273"/>
      <c r="N295" s="1273"/>
      <c r="O295" s="1273"/>
      <c r="P295" s="1273"/>
      <c r="Q295" s="1273"/>
      <c r="R295" s="1273"/>
      <c r="S295" s="1273"/>
      <c r="T295" s="1273"/>
      <c r="U295" s="1273"/>
      <c r="V295" s="1273"/>
      <c r="W295" s="1273"/>
      <c r="X295" s="1273"/>
      <c r="Y295" s="1273"/>
      <c r="Z295" s="1273"/>
      <c r="AA295" s="1273"/>
      <c r="AB295" s="1273"/>
      <c r="AC295" s="1273"/>
      <c r="AD295" s="1273"/>
      <c r="AE295" s="1273"/>
      <c r="AF295" s="1273"/>
      <c r="AG295" s="1273"/>
      <c r="AH295" s="1273"/>
      <c r="AI295" s="1273"/>
      <c r="AJ295" s="1273"/>
      <c r="AK295" s="1273"/>
      <c r="AL295" s="1273"/>
      <c r="AM295" s="547"/>
      <c r="AN295" s="73"/>
    </row>
    <row r="296" spans="1:49">
      <c r="A296" s="547"/>
      <c r="B296" s="1273"/>
      <c r="C296" s="1273"/>
      <c r="D296" s="1273"/>
      <c r="E296" s="1273"/>
      <c r="F296" s="1273"/>
      <c r="G296" s="1273"/>
      <c r="H296" s="1273"/>
      <c r="I296" s="1273"/>
      <c r="J296" s="1273"/>
      <c r="K296" s="1273"/>
      <c r="L296" s="1273"/>
      <c r="M296" s="1273"/>
      <c r="N296" s="1273"/>
      <c r="O296" s="1273"/>
      <c r="P296" s="1273"/>
      <c r="Q296" s="1273"/>
      <c r="R296" s="1273"/>
      <c r="S296" s="1273"/>
      <c r="T296" s="1273"/>
      <c r="U296" s="1273"/>
      <c r="V296" s="1273"/>
      <c r="W296" s="1273"/>
      <c r="X296" s="1273"/>
      <c r="Y296" s="1273"/>
      <c r="Z296" s="1273"/>
      <c r="AA296" s="1273"/>
      <c r="AB296" s="1273"/>
      <c r="AC296" s="1273"/>
      <c r="AD296" s="1273"/>
      <c r="AE296" s="1273"/>
      <c r="AF296" s="1273"/>
      <c r="AG296" s="1273"/>
      <c r="AH296" s="1273"/>
      <c r="AI296" s="1273"/>
      <c r="AJ296" s="1273"/>
      <c r="AK296" s="1273"/>
      <c r="AL296" s="1273"/>
      <c r="AM296" s="547"/>
      <c r="AN296" s="73"/>
    </row>
    <row r="297" spans="1:49">
      <c r="A297" s="547"/>
      <c r="B297" s="599"/>
      <c r="C297" s="599"/>
      <c r="D297" s="599"/>
      <c r="E297" s="599"/>
      <c r="F297" s="599"/>
      <c r="G297" s="599"/>
      <c r="H297" s="599"/>
      <c r="I297" s="599"/>
      <c r="J297" s="599"/>
      <c r="K297" s="599"/>
      <c r="L297" s="599"/>
      <c r="M297" s="599"/>
      <c r="N297" s="599"/>
      <c r="O297" s="599"/>
      <c r="P297" s="599"/>
      <c r="Q297" s="599"/>
      <c r="R297" s="599"/>
      <c r="S297" s="599"/>
      <c r="T297" s="599"/>
      <c r="U297" s="599"/>
      <c r="V297" s="599"/>
      <c r="W297" s="599"/>
      <c r="X297" s="599"/>
      <c r="Y297" s="599"/>
      <c r="Z297" s="599"/>
      <c r="AA297" s="599"/>
      <c r="AB297" s="599"/>
      <c r="AC297" s="599"/>
      <c r="AD297" s="599"/>
      <c r="AE297" s="599"/>
      <c r="AF297" s="599"/>
      <c r="AG297" s="599"/>
      <c r="AH297" s="599"/>
      <c r="AI297" s="599"/>
      <c r="AJ297" s="599"/>
      <c r="AK297" s="599"/>
      <c r="AL297" s="547"/>
      <c r="AM297" s="547"/>
      <c r="AN297" s="73"/>
    </row>
    <row r="298" spans="1:49">
      <c r="A298" s="602"/>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c r="Y298" s="560"/>
      <c r="Z298" s="560"/>
      <c r="AA298" s="560"/>
      <c r="AB298" s="560"/>
      <c r="AC298" s="560"/>
      <c r="AD298" s="560"/>
      <c r="AE298" s="560"/>
      <c r="AF298" s="560"/>
      <c r="AG298" s="560"/>
      <c r="AH298" s="560"/>
      <c r="AI298" s="561"/>
      <c r="AJ298" s="561" t="s">
        <v>1369</v>
      </c>
      <c r="AK298" s="1365">
        <f>IF($C$279="yes",10,0)</f>
        <v>10</v>
      </c>
      <c r="AL298" s="1365"/>
      <c r="AM298" s="1366"/>
      <c r="AN298" s="73"/>
    </row>
    <row r="299" spans="1:49" ht="13.5" thickBot="1"/>
    <row r="300" spans="1:49" ht="13.5" thickTop="1">
      <c r="A300" s="634"/>
      <c r="B300" s="634"/>
      <c r="C300" s="634"/>
      <c r="D300" s="634"/>
      <c r="E300" s="634"/>
      <c r="F300" s="634"/>
      <c r="G300" s="634"/>
      <c r="H300" s="634"/>
      <c r="I300" s="634"/>
      <c r="J300" s="634"/>
      <c r="K300" s="634"/>
      <c r="L300" s="634"/>
      <c r="M300" s="634"/>
      <c r="N300" s="634"/>
      <c r="O300" s="634"/>
      <c r="P300" s="634"/>
      <c r="Q300" s="634"/>
      <c r="R300" s="634"/>
      <c r="S300" s="634"/>
      <c r="T300" s="634"/>
      <c r="U300" s="634"/>
      <c r="V300" s="634"/>
      <c r="W300" s="634"/>
      <c r="X300" s="634"/>
      <c r="Y300" s="634"/>
      <c r="Z300" s="634"/>
      <c r="AA300" s="634"/>
      <c r="AB300" s="634"/>
      <c r="AC300" s="634"/>
      <c r="AD300" s="634"/>
      <c r="AE300" s="634"/>
      <c r="AF300" s="634"/>
      <c r="AG300" s="634"/>
      <c r="AH300" s="634"/>
      <c r="AI300" s="634"/>
      <c r="AJ300" s="634"/>
      <c r="AK300" s="634"/>
      <c r="AL300" s="634"/>
      <c r="AM300" s="635"/>
    </row>
    <row r="301" spans="1:49">
      <c r="A301" s="536" t="s">
        <v>1366</v>
      </c>
      <c r="B301" s="536" t="s">
        <v>2556</v>
      </c>
      <c r="AH301" s="587" t="s">
        <v>1305</v>
      </c>
    </row>
    <row r="302" spans="1:49" ht="15" customHeight="1">
      <c r="B302" s="537"/>
    </row>
    <row r="303" spans="1:49" ht="15" customHeight="1">
      <c r="B303" s="537" t="s">
        <v>1714</v>
      </c>
    </row>
    <row r="304" spans="1:49">
      <c r="B304" s="547"/>
      <c r="C304" s="636"/>
      <c r="D304" s="547"/>
      <c r="E304" s="547"/>
      <c r="F304" s="547"/>
      <c r="G304" s="547"/>
      <c r="H304" s="547"/>
      <c r="I304" s="547"/>
      <c r="J304" s="547"/>
      <c r="K304" s="547"/>
      <c r="L304" s="547"/>
      <c r="M304" s="547"/>
      <c r="N304" s="547"/>
      <c r="O304" s="547"/>
      <c r="P304" s="547"/>
      <c r="Q304" s="547"/>
      <c r="R304" s="547"/>
      <c r="S304" s="547"/>
      <c r="T304" s="547"/>
      <c r="U304" s="547"/>
      <c r="V304" s="547"/>
      <c r="W304" s="547"/>
      <c r="X304" s="547"/>
      <c r="Y304" s="547"/>
      <c r="Z304" s="547"/>
      <c r="AA304" s="547"/>
      <c r="AB304" s="547"/>
      <c r="AC304" s="547"/>
      <c r="AD304" s="547"/>
      <c r="AG304" s="547"/>
      <c r="AI304" s="547"/>
      <c r="AJ304" s="547"/>
      <c r="AK304" s="547"/>
      <c r="AL304" s="547"/>
      <c r="AM304" s="547"/>
      <c r="AN304" s="73"/>
      <c r="AO304" s="14"/>
      <c r="AP304" s="566"/>
      <c r="AQ304" s="637"/>
      <c r="AR304" s="566"/>
      <c r="AS304" s="566"/>
      <c r="AT304" s="566"/>
      <c r="AU304" s="566"/>
      <c r="AV304" s="32"/>
      <c r="AW304" s="32"/>
    </row>
    <row r="305" spans="1:49" ht="12.75" customHeight="1">
      <c r="A305" s="1379" t="s">
        <v>1371</v>
      </c>
      <c r="B305" s="1379"/>
      <c r="C305" s="1347" t="s">
        <v>590</v>
      </c>
      <c r="D305" s="1357"/>
      <c r="E305" s="544"/>
      <c r="F305" s="1380" t="s">
        <v>1372</v>
      </c>
      <c r="G305" s="1381"/>
      <c r="H305" s="1381"/>
      <c r="I305" s="1381"/>
      <c r="J305" s="1381"/>
      <c r="K305" s="1381"/>
      <c r="L305" s="1381"/>
      <c r="M305" s="1381"/>
      <c r="N305" s="1381"/>
      <c r="O305" s="1381"/>
      <c r="P305" s="1381"/>
      <c r="Q305" s="1381"/>
      <c r="R305" s="1381"/>
      <c r="S305" s="1381"/>
      <c r="T305" s="1381"/>
      <c r="U305" s="1381"/>
      <c r="V305" s="1381"/>
      <c r="W305" s="1381"/>
      <c r="X305" s="1381"/>
      <c r="Y305" s="1381"/>
      <c r="Z305" s="1381"/>
      <c r="AA305" s="1381"/>
      <c r="AB305" s="1381"/>
      <c r="AC305" s="1381"/>
      <c r="AD305" s="1382"/>
      <c r="AE305" s="638"/>
      <c r="AF305" s="547"/>
      <c r="AG305" s="1383" t="s">
        <v>1978</v>
      </c>
      <c r="AH305" s="1383"/>
      <c r="AI305" s="1383"/>
      <c r="AJ305" s="1383"/>
      <c r="AK305" s="1383"/>
      <c r="AL305" s="547"/>
      <c r="AM305" s="547"/>
      <c r="AN305" s="73"/>
      <c r="AO305" s="14"/>
      <c r="AP305" s="30"/>
      <c r="AS305" s="566"/>
      <c r="AT305" s="566"/>
      <c r="AU305" s="566"/>
      <c r="AV305" s="32"/>
      <c r="AW305" s="32"/>
    </row>
    <row r="306" spans="1:49">
      <c r="A306" s="636"/>
      <c r="B306" s="592"/>
      <c r="F306" s="1351"/>
      <c r="G306" s="1352"/>
      <c r="H306" s="1352"/>
      <c r="I306" s="1352"/>
      <c r="J306" s="1352"/>
      <c r="K306" s="1352"/>
      <c r="L306" s="1352"/>
      <c r="M306" s="1352"/>
      <c r="N306" s="1352"/>
      <c r="O306" s="1352"/>
      <c r="P306" s="1352"/>
      <c r="Q306" s="1352"/>
      <c r="R306" s="1352"/>
      <c r="S306" s="1352"/>
      <c r="T306" s="1352"/>
      <c r="U306" s="1352"/>
      <c r="V306" s="1352"/>
      <c r="W306" s="1352"/>
      <c r="X306" s="1352"/>
      <c r="Y306" s="1352"/>
      <c r="Z306" s="1352"/>
      <c r="AA306" s="1352"/>
      <c r="AB306" s="1352"/>
      <c r="AC306" s="1352"/>
      <c r="AD306" s="1353"/>
      <c r="AE306" s="638"/>
      <c r="AF306" s="548"/>
      <c r="AH306" s="548"/>
      <c r="AI306" s="548"/>
      <c r="AJ306" s="547"/>
      <c r="AK306" s="547"/>
      <c r="AL306" s="547"/>
      <c r="AM306" s="547"/>
      <c r="AN306" s="73"/>
      <c r="AO306" s="14"/>
      <c r="AP306" s="547">
        <f>IF($C$305="yes",10,IF(C305="50% Met",9,0))</f>
        <v>0</v>
      </c>
      <c r="AS306" s="566"/>
      <c r="AT306" s="566"/>
      <c r="AU306" s="566"/>
      <c r="AV306" s="32"/>
      <c r="AW306" s="32"/>
    </row>
    <row r="307" spans="1:49" ht="12.75" customHeight="1">
      <c r="A307" s="636"/>
      <c r="B307" s="592"/>
      <c r="F307" s="1351"/>
      <c r="G307" s="1352"/>
      <c r="H307" s="1352"/>
      <c r="I307" s="1352"/>
      <c r="J307" s="1352"/>
      <c r="K307" s="1352"/>
      <c r="L307" s="1352"/>
      <c r="M307" s="1352"/>
      <c r="N307" s="1352"/>
      <c r="O307" s="1352"/>
      <c r="P307" s="1352"/>
      <c r="Q307" s="1352"/>
      <c r="R307" s="1352"/>
      <c r="S307" s="1352"/>
      <c r="T307" s="1352"/>
      <c r="U307" s="1352"/>
      <c r="V307" s="1352"/>
      <c r="W307" s="1352"/>
      <c r="X307" s="1352"/>
      <c r="Y307" s="1352"/>
      <c r="Z307" s="1352"/>
      <c r="AA307" s="1352"/>
      <c r="AB307" s="1352"/>
      <c r="AC307" s="1352"/>
      <c r="AD307" s="1353"/>
      <c r="AE307" s="638"/>
      <c r="AF307" s="548"/>
      <c r="AH307" s="548"/>
      <c r="AI307" s="548"/>
      <c r="AJ307" s="547"/>
      <c r="AK307" s="547"/>
      <c r="AL307" s="547"/>
      <c r="AM307" s="547"/>
      <c r="AN307" s="73"/>
      <c r="AO307" s="14"/>
      <c r="AP307" s="547">
        <f>IF($C$315="yes",9,0)</f>
        <v>9</v>
      </c>
      <c r="AS307" s="566"/>
      <c r="AT307" s="566"/>
      <c r="AU307" s="566"/>
      <c r="AV307" s="32"/>
      <c r="AW307" s="32"/>
    </row>
    <row r="308" spans="1:49" ht="12.75" customHeight="1">
      <c r="A308" s="636"/>
      <c r="B308" s="592"/>
      <c r="F308" s="1351" t="s">
        <v>1983</v>
      </c>
      <c r="G308" s="1352"/>
      <c r="H308" s="1352"/>
      <c r="I308" s="1352"/>
      <c r="J308" s="1352"/>
      <c r="K308" s="1352"/>
      <c r="L308" s="1352"/>
      <c r="M308" s="1352"/>
      <c r="N308" s="1352"/>
      <c r="O308" s="1352"/>
      <c r="P308" s="1352"/>
      <c r="Q308" s="1352"/>
      <c r="R308" s="1352"/>
      <c r="S308" s="1352"/>
      <c r="T308" s="1352"/>
      <c r="U308" s="1352"/>
      <c r="V308" s="1352"/>
      <c r="W308" s="1352"/>
      <c r="X308" s="1352"/>
      <c r="Y308" s="1352"/>
      <c r="Z308" s="1352"/>
      <c r="AA308" s="1352"/>
      <c r="AB308" s="1352"/>
      <c r="AC308" s="1352"/>
      <c r="AD308" s="1353"/>
      <c r="AE308" s="638"/>
      <c r="AF308" s="548"/>
      <c r="AH308" s="548"/>
      <c r="AI308" s="548"/>
      <c r="AJ308" s="547"/>
      <c r="AK308" s="547"/>
      <c r="AL308" s="547"/>
      <c r="AM308" s="547"/>
      <c r="AN308" s="73"/>
      <c r="AO308" s="14"/>
      <c r="AP308" s="607">
        <f>MAX(AP306,AP307)</f>
        <v>9</v>
      </c>
      <c r="AQ308" s="570" t="s">
        <v>1307</v>
      </c>
      <c r="AS308" s="566"/>
      <c r="AT308" s="566"/>
      <c r="AU308" s="566"/>
      <c r="AV308" s="32"/>
      <c r="AW308" s="32"/>
    </row>
    <row r="309" spans="1:49">
      <c r="A309" s="636"/>
      <c r="B309" s="592"/>
      <c r="F309" s="1351"/>
      <c r="G309" s="1352"/>
      <c r="H309" s="1352"/>
      <c r="I309" s="1352"/>
      <c r="J309" s="1352"/>
      <c r="K309" s="1352"/>
      <c r="L309" s="1352"/>
      <c r="M309" s="1352"/>
      <c r="N309" s="1352"/>
      <c r="O309" s="1352"/>
      <c r="P309" s="1352"/>
      <c r="Q309" s="1352"/>
      <c r="R309" s="1352"/>
      <c r="S309" s="1352"/>
      <c r="T309" s="1352"/>
      <c r="U309" s="1352"/>
      <c r="V309" s="1352"/>
      <c r="W309" s="1352"/>
      <c r="X309" s="1352"/>
      <c r="Y309" s="1352"/>
      <c r="Z309" s="1352"/>
      <c r="AA309" s="1352"/>
      <c r="AB309" s="1352"/>
      <c r="AC309" s="1352"/>
      <c r="AD309" s="1353"/>
      <c r="AE309" s="638"/>
      <c r="AF309" s="548"/>
      <c r="AH309" s="548"/>
      <c r="AI309" s="548"/>
      <c r="AJ309" s="547"/>
      <c r="AK309" s="547"/>
      <c r="AL309" s="547"/>
      <c r="AM309" s="547"/>
      <c r="AN309" s="73"/>
      <c r="AO309" s="14"/>
      <c r="AP309" s="547"/>
      <c r="AS309" s="566"/>
      <c r="AT309" s="566"/>
      <c r="AU309" s="566"/>
      <c r="AV309" s="32"/>
      <c r="AW309" s="32"/>
    </row>
    <row r="310" spans="1:49" ht="12.75" customHeight="1">
      <c r="A310" s="547"/>
      <c r="B310" s="548"/>
      <c r="C310" s="547"/>
      <c r="D310" s="548"/>
      <c r="E310" s="547"/>
      <c r="F310" s="1351" t="s">
        <v>1373</v>
      </c>
      <c r="G310" s="1352"/>
      <c r="H310" s="1352"/>
      <c r="I310" s="1352"/>
      <c r="J310" s="1352"/>
      <c r="K310" s="1352"/>
      <c r="L310" s="1352"/>
      <c r="M310" s="1352"/>
      <c r="N310" s="1352"/>
      <c r="O310" s="1352"/>
      <c r="P310" s="1352"/>
      <c r="Q310" s="1352"/>
      <c r="R310" s="1352"/>
      <c r="S310" s="1352"/>
      <c r="T310" s="1352"/>
      <c r="U310" s="1352"/>
      <c r="V310" s="1352"/>
      <c r="W310" s="1352"/>
      <c r="X310" s="1352"/>
      <c r="Y310" s="1352"/>
      <c r="Z310" s="1352"/>
      <c r="AA310" s="1352"/>
      <c r="AB310" s="1352"/>
      <c r="AC310" s="1352"/>
      <c r="AD310" s="1353"/>
      <c r="AE310" s="638"/>
      <c r="AF310" s="548"/>
      <c r="AG310" s="548"/>
      <c r="AH310" s="548"/>
      <c r="AI310" s="548"/>
      <c r="AJ310" s="547"/>
      <c r="AK310" s="547"/>
      <c r="AL310" s="547"/>
      <c r="AM310" s="547"/>
      <c r="AN310" s="73"/>
      <c r="AO310" s="14"/>
      <c r="AS310" s="566"/>
      <c r="AT310" s="566"/>
      <c r="AU310" s="566"/>
      <c r="AV310" s="32"/>
      <c r="AW310" s="32"/>
    </row>
    <row r="311" spans="1:49" ht="12.75" customHeight="1">
      <c r="A311" s="547"/>
      <c r="B311" s="548"/>
      <c r="C311" s="548"/>
      <c r="D311" s="548"/>
      <c r="E311" s="548"/>
      <c r="F311" s="1351"/>
      <c r="G311" s="1352"/>
      <c r="H311" s="1352"/>
      <c r="I311" s="1352"/>
      <c r="J311" s="1352"/>
      <c r="K311" s="1352"/>
      <c r="L311" s="1352"/>
      <c r="M311" s="1352"/>
      <c r="N311" s="1352"/>
      <c r="O311" s="1352"/>
      <c r="P311" s="1352"/>
      <c r="Q311" s="1352"/>
      <c r="R311" s="1352"/>
      <c r="S311" s="1352"/>
      <c r="T311" s="1352"/>
      <c r="U311" s="1352"/>
      <c r="V311" s="1352"/>
      <c r="W311" s="1352"/>
      <c r="X311" s="1352"/>
      <c r="Y311" s="1352"/>
      <c r="Z311" s="1352"/>
      <c r="AA311" s="1352"/>
      <c r="AB311" s="1352"/>
      <c r="AC311" s="1352"/>
      <c r="AD311" s="1353"/>
      <c r="AE311" s="638"/>
      <c r="AF311" s="548"/>
      <c r="AG311" s="548"/>
      <c r="AH311" s="548"/>
      <c r="AI311" s="548"/>
      <c r="AJ311" s="547"/>
      <c r="AK311" s="547"/>
      <c r="AL311" s="547"/>
      <c r="AM311" s="547"/>
      <c r="AN311" s="73"/>
      <c r="AO311" s="14"/>
      <c r="AS311" s="566"/>
      <c r="AT311" s="566"/>
      <c r="AU311" s="566"/>
      <c r="AV311" s="32"/>
      <c r="AW311" s="32"/>
    </row>
    <row r="312" spans="1:49" ht="12.75" customHeight="1">
      <c r="A312" s="547"/>
      <c r="B312" s="548"/>
      <c r="C312" s="548"/>
      <c r="D312" s="548"/>
      <c r="E312" s="548"/>
      <c r="F312" s="1351" t="s">
        <v>1374</v>
      </c>
      <c r="G312" s="1352"/>
      <c r="H312" s="1352"/>
      <c r="I312" s="1352"/>
      <c r="J312" s="1352"/>
      <c r="K312" s="1352"/>
      <c r="L312" s="1352"/>
      <c r="M312" s="1352"/>
      <c r="N312" s="1352"/>
      <c r="O312" s="1352"/>
      <c r="P312" s="1352"/>
      <c r="Q312" s="1352"/>
      <c r="R312" s="1352"/>
      <c r="S312" s="1352"/>
      <c r="T312" s="1352"/>
      <c r="U312" s="1352"/>
      <c r="V312" s="1352"/>
      <c r="W312" s="1352"/>
      <c r="X312" s="1352"/>
      <c r="Y312" s="1352"/>
      <c r="Z312" s="1352"/>
      <c r="AA312" s="1352"/>
      <c r="AB312" s="1352"/>
      <c r="AC312" s="1352"/>
      <c r="AD312" s="1353"/>
      <c r="AE312" s="639"/>
      <c r="AF312" s="548"/>
      <c r="AG312" s="548"/>
      <c r="AH312" s="548"/>
      <c r="AI312" s="548"/>
      <c r="AJ312" s="547"/>
      <c r="AK312" s="547"/>
      <c r="AL312" s="547"/>
      <c r="AM312" s="547"/>
      <c r="AN312" s="73"/>
      <c r="AO312" s="14"/>
      <c r="AP312" s="547"/>
      <c r="AS312" s="566"/>
      <c r="AT312" s="566"/>
      <c r="AU312" s="566"/>
      <c r="AV312" s="32"/>
      <c r="AW312" s="32"/>
    </row>
    <row r="313" spans="1:49">
      <c r="B313" s="548"/>
      <c r="C313" s="548"/>
      <c r="D313" s="548"/>
      <c r="E313" s="548"/>
      <c r="F313" s="1354"/>
      <c r="G313" s="1355"/>
      <c r="H313" s="1355"/>
      <c r="I313" s="1355"/>
      <c r="J313" s="1355"/>
      <c r="K313" s="1355"/>
      <c r="L313" s="1355"/>
      <c r="M313" s="1355"/>
      <c r="N313" s="1355"/>
      <c r="O313" s="1355"/>
      <c r="P313" s="1355"/>
      <c r="Q313" s="1355"/>
      <c r="R313" s="1355"/>
      <c r="S313" s="1355"/>
      <c r="T313" s="1355"/>
      <c r="U313" s="1355"/>
      <c r="V313" s="1355"/>
      <c r="W313" s="1355"/>
      <c r="X313" s="1355"/>
      <c r="Y313" s="1355"/>
      <c r="Z313" s="1355"/>
      <c r="AA313" s="1355"/>
      <c r="AB313" s="1355"/>
      <c r="AC313" s="1355"/>
      <c r="AD313" s="1356"/>
      <c r="AE313" s="639"/>
      <c r="AF313" s="548"/>
      <c r="AG313" s="548"/>
      <c r="AH313" s="548"/>
      <c r="AI313" s="548"/>
      <c r="AJ313" s="547"/>
      <c r="AK313" s="547"/>
      <c r="AL313" s="547"/>
      <c r="AM313" s="547"/>
      <c r="AN313" s="73"/>
      <c r="AO313" s="14"/>
      <c r="AP313" s="547"/>
      <c r="AS313" s="566"/>
      <c r="AT313" s="566"/>
      <c r="AU313" s="566"/>
      <c r="AV313" s="32"/>
      <c r="AW313" s="32"/>
    </row>
    <row r="314" spans="1:49">
      <c r="A314" s="547"/>
      <c r="B314" s="548"/>
      <c r="C314" s="548"/>
      <c r="D314" s="548"/>
      <c r="E314" s="548"/>
      <c r="F314" s="639"/>
      <c r="G314" s="639"/>
      <c r="H314" s="639"/>
      <c r="I314" s="639"/>
      <c r="J314" s="639"/>
      <c r="K314" s="639"/>
      <c r="L314" s="639"/>
      <c r="M314" s="639"/>
      <c r="N314" s="639"/>
      <c r="O314" s="639"/>
      <c r="P314" s="639"/>
      <c r="Q314" s="639"/>
      <c r="R314" s="639"/>
      <c r="S314" s="639"/>
      <c r="T314" s="639"/>
      <c r="U314" s="639"/>
      <c r="V314" s="639"/>
      <c r="W314" s="639"/>
      <c r="X314" s="639"/>
      <c r="Y314" s="639"/>
      <c r="Z314" s="639"/>
      <c r="AA314" s="639"/>
      <c r="AB314" s="639"/>
      <c r="AC314" s="639"/>
      <c r="AD314" s="639"/>
      <c r="AE314" s="548"/>
      <c r="AF314" s="548"/>
      <c r="AG314" s="548"/>
      <c r="AH314" s="548"/>
      <c r="AI314" s="548"/>
      <c r="AJ314" s="547"/>
      <c r="AK314" s="547"/>
      <c r="AL314" s="547"/>
      <c r="AM314" s="547"/>
      <c r="AN314" s="73"/>
      <c r="AO314" s="14"/>
      <c r="AS314" s="566"/>
      <c r="AT314" s="566"/>
      <c r="AU314" s="566"/>
      <c r="AV314" s="32"/>
      <c r="AW314" s="32"/>
    </row>
    <row r="315" spans="1:49" ht="15" customHeight="1">
      <c r="A315" s="1379" t="s">
        <v>1375</v>
      </c>
      <c r="B315" s="1379"/>
      <c r="C315" s="1357" t="s">
        <v>544</v>
      </c>
      <c r="D315" s="1357"/>
      <c r="E315" s="544"/>
      <c r="F315" s="964" t="s">
        <v>2557</v>
      </c>
      <c r="G315" s="965"/>
      <c r="H315" s="965"/>
      <c r="I315" s="965"/>
      <c r="J315" s="965"/>
      <c r="K315" s="965"/>
      <c r="L315" s="965"/>
      <c r="M315" s="965"/>
      <c r="N315" s="965"/>
      <c r="O315" s="965"/>
      <c r="P315" s="965"/>
      <c r="Q315" s="965"/>
      <c r="R315" s="965"/>
      <c r="S315" s="965"/>
      <c r="T315" s="965"/>
      <c r="U315" s="965"/>
      <c r="V315" s="965"/>
      <c r="W315" s="965"/>
      <c r="X315" s="965"/>
      <c r="Y315" s="965"/>
      <c r="Z315" s="965"/>
      <c r="AA315" s="965"/>
      <c r="AB315" s="965"/>
      <c r="AC315" s="965"/>
      <c r="AD315" s="966"/>
      <c r="AE315" s="548"/>
      <c r="AF315" s="548"/>
      <c r="AG315" s="537" t="s">
        <v>1377</v>
      </c>
      <c r="AH315" s="548"/>
      <c r="AI315" s="548"/>
      <c r="AJ315" s="547"/>
      <c r="AK315" s="547"/>
      <c r="AL315" s="547"/>
      <c r="AM315" s="547"/>
      <c r="AN315" s="641"/>
      <c r="AO315" s="14"/>
    </row>
    <row r="316" spans="1:49">
      <c r="A316" s="547"/>
      <c r="B316" s="548"/>
      <c r="C316" s="547"/>
      <c r="D316" s="548"/>
      <c r="E316" s="547"/>
      <c r="F316" s="1351" t="s">
        <v>1979</v>
      </c>
      <c r="G316" s="1352"/>
      <c r="H316" s="1352"/>
      <c r="I316" s="1352"/>
      <c r="J316" s="1352"/>
      <c r="K316" s="1352"/>
      <c r="L316" s="1352"/>
      <c r="M316" s="1352"/>
      <c r="N316" s="1352"/>
      <c r="O316" s="1352"/>
      <c r="P316" s="1352"/>
      <c r="Q316" s="1352"/>
      <c r="R316" s="1352"/>
      <c r="S316" s="1352"/>
      <c r="T316" s="1352"/>
      <c r="U316" s="1352"/>
      <c r="V316" s="1352"/>
      <c r="W316" s="1352"/>
      <c r="X316" s="1352"/>
      <c r="Y316" s="1352"/>
      <c r="Z316" s="1352"/>
      <c r="AA316" s="1352"/>
      <c r="AB316" s="1352"/>
      <c r="AC316" s="1352"/>
      <c r="AD316" s="1353"/>
      <c r="AE316" s="548"/>
      <c r="AF316" s="548"/>
      <c r="AG316" s="548"/>
      <c r="AH316" s="548"/>
      <c r="AI316" s="548"/>
      <c r="AJ316" s="547"/>
      <c r="AK316" s="547"/>
      <c r="AL316" s="547"/>
      <c r="AM316" s="547"/>
      <c r="AR316" s="642"/>
    </row>
    <row r="317" spans="1:49" ht="15" customHeight="1">
      <c r="A317" s="547"/>
      <c r="B317" s="548"/>
      <c r="C317" s="547"/>
      <c r="D317" s="548"/>
      <c r="E317" s="547"/>
      <c r="F317" s="1351"/>
      <c r="G317" s="1352"/>
      <c r="H317" s="1352"/>
      <c r="I317" s="1352"/>
      <c r="J317" s="1352"/>
      <c r="K317" s="1352"/>
      <c r="L317" s="1352"/>
      <c r="M317" s="1352"/>
      <c r="N317" s="1352"/>
      <c r="O317" s="1352"/>
      <c r="P317" s="1352"/>
      <c r="Q317" s="1352"/>
      <c r="R317" s="1352"/>
      <c r="S317" s="1352"/>
      <c r="T317" s="1352"/>
      <c r="U317" s="1352"/>
      <c r="V317" s="1352"/>
      <c r="W317" s="1352"/>
      <c r="X317" s="1352"/>
      <c r="Y317" s="1352"/>
      <c r="Z317" s="1352"/>
      <c r="AA317" s="1352"/>
      <c r="AB317" s="1352"/>
      <c r="AC317" s="1352"/>
      <c r="AD317" s="1353"/>
      <c r="AE317" s="548"/>
      <c r="AF317" s="548"/>
      <c r="AG317" s="548"/>
      <c r="AH317" s="548"/>
      <c r="AI317" s="548"/>
      <c r="AJ317" s="547"/>
      <c r="AK317" s="547"/>
      <c r="AL317" s="547"/>
      <c r="AM317" s="547"/>
      <c r="AR317" s="642"/>
    </row>
    <row r="318" spans="1:49">
      <c r="A318" s="547"/>
      <c r="B318" s="548"/>
      <c r="C318" s="547"/>
      <c r="D318" s="548"/>
      <c r="E318" s="547"/>
      <c r="F318" s="1351"/>
      <c r="G318" s="1352"/>
      <c r="H318" s="1352"/>
      <c r="I318" s="1352"/>
      <c r="J318" s="1352"/>
      <c r="K318" s="1352"/>
      <c r="L318" s="1352"/>
      <c r="M318" s="1352"/>
      <c r="N318" s="1352"/>
      <c r="O318" s="1352"/>
      <c r="P318" s="1352"/>
      <c r="Q318" s="1352"/>
      <c r="R318" s="1352"/>
      <c r="S318" s="1352"/>
      <c r="T318" s="1352"/>
      <c r="U318" s="1352"/>
      <c r="V318" s="1352"/>
      <c r="W318" s="1352"/>
      <c r="X318" s="1352"/>
      <c r="Y318" s="1352"/>
      <c r="Z318" s="1352"/>
      <c r="AA318" s="1352"/>
      <c r="AB318" s="1352"/>
      <c r="AC318" s="1352"/>
      <c r="AD318" s="1353"/>
      <c r="AE318" s="548"/>
      <c r="AF318" s="548"/>
      <c r="AG318" s="548"/>
      <c r="AH318" s="548"/>
      <c r="AI318" s="548"/>
      <c r="AJ318" s="547"/>
      <c r="AK318" s="547"/>
      <c r="AL318" s="547"/>
      <c r="AM318" s="547"/>
      <c r="AP318" s="607"/>
      <c r="AQ318" s="570"/>
      <c r="AR318" s="642"/>
    </row>
    <row r="319" spans="1:49" ht="11.25" customHeight="1">
      <c r="A319" s="547"/>
      <c r="B319" s="548"/>
      <c r="C319" s="547"/>
      <c r="D319" s="548"/>
      <c r="E319" s="547"/>
      <c r="F319" s="1354"/>
      <c r="G319" s="1355"/>
      <c r="H319" s="1355"/>
      <c r="I319" s="1355"/>
      <c r="J319" s="1355"/>
      <c r="K319" s="1355"/>
      <c r="L319" s="1355"/>
      <c r="M319" s="1355"/>
      <c r="N319" s="1355"/>
      <c r="O319" s="1355"/>
      <c r="P319" s="1355"/>
      <c r="Q319" s="1355"/>
      <c r="R319" s="1355"/>
      <c r="S319" s="1355"/>
      <c r="T319" s="1355"/>
      <c r="U319" s="1355"/>
      <c r="V319" s="1355"/>
      <c r="W319" s="1355"/>
      <c r="X319" s="1355"/>
      <c r="Y319" s="1355"/>
      <c r="Z319" s="1355"/>
      <c r="AA319" s="1355"/>
      <c r="AB319" s="1355"/>
      <c r="AC319" s="1355"/>
      <c r="AD319" s="1356"/>
      <c r="AE319" s="548"/>
      <c r="AF319" s="548"/>
      <c r="AG319" s="548"/>
      <c r="AH319" s="548"/>
      <c r="AI319" s="548"/>
      <c r="AJ319" s="547"/>
      <c r="AK319" s="547"/>
      <c r="AL319" s="547"/>
      <c r="AM319" s="547"/>
      <c r="AP319" s="607"/>
      <c r="AQ319" s="570"/>
      <c r="AR319" s="642"/>
    </row>
    <row r="320" spans="1:49">
      <c r="A320" s="547"/>
      <c r="B320" s="548"/>
      <c r="C320" s="548"/>
      <c r="D320" s="548"/>
      <c r="E320" s="548"/>
      <c r="F320" s="548"/>
      <c r="G320" s="548"/>
      <c r="H320" s="548"/>
      <c r="I320" s="548"/>
      <c r="J320" s="548"/>
      <c r="K320" s="548"/>
      <c r="L320" s="548"/>
      <c r="M320" s="548"/>
      <c r="N320" s="548"/>
      <c r="O320" s="548"/>
      <c r="P320" s="548"/>
      <c r="Q320" s="548"/>
      <c r="R320" s="548"/>
      <c r="S320" s="548"/>
      <c r="T320" s="548"/>
      <c r="U320" s="548"/>
      <c r="V320" s="548"/>
      <c r="W320" s="548"/>
      <c r="X320" s="548"/>
      <c r="Y320" s="548"/>
      <c r="Z320" s="548"/>
      <c r="AA320" s="548"/>
      <c r="AB320" s="548"/>
      <c r="AC320" s="548"/>
      <c r="AD320" s="548"/>
      <c r="AE320" s="548"/>
      <c r="AF320" s="548"/>
      <c r="AG320" s="548"/>
      <c r="AH320" s="548"/>
      <c r="AI320" s="548"/>
      <c r="AJ320" s="547"/>
      <c r="AK320" s="547"/>
      <c r="AL320" s="547"/>
      <c r="AM320" s="547"/>
      <c r="AP320" s="607"/>
      <c r="AQ320" s="570"/>
      <c r="AR320" s="642"/>
    </row>
    <row r="321" spans="1:44" hidden="1">
      <c r="A321" s="547"/>
      <c r="B321" s="548"/>
      <c r="C321" s="548"/>
      <c r="D321" s="548"/>
      <c r="E321" s="548"/>
      <c r="F321" s="548"/>
      <c r="G321" s="548"/>
      <c r="H321" s="548"/>
      <c r="I321" s="548"/>
      <c r="J321" s="548"/>
      <c r="K321" s="548"/>
      <c r="L321" s="548"/>
      <c r="M321" s="548"/>
      <c r="N321" s="548"/>
      <c r="O321" s="548"/>
      <c r="P321" s="548"/>
      <c r="Q321" s="548"/>
      <c r="R321" s="548"/>
      <c r="S321" s="548"/>
      <c r="T321" s="548"/>
      <c r="U321" s="548"/>
      <c r="V321" s="548"/>
      <c r="W321" s="548"/>
      <c r="X321" s="548"/>
      <c r="Y321" s="548"/>
      <c r="Z321" s="548"/>
      <c r="AA321" s="548"/>
      <c r="AB321" s="548"/>
      <c r="AC321" s="548"/>
      <c r="AD321" s="548"/>
      <c r="AE321" s="548"/>
      <c r="AF321" s="548"/>
      <c r="AG321" s="548"/>
      <c r="AH321" s="548"/>
      <c r="AI321" s="548"/>
      <c r="AJ321" s="547"/>
      <c r="AK321" s="547"/>
      <c r="AL321" s="547"/>
      <c r="AM321" s="547"/>
      <c r="AP321" s="607"/>
      <c r="AQ321" s="570"/>
      <c r="AR321" s="642"/>
    </row>
    <row r="322" spans="1:44" hidden="1">
      <c r="A322" s="547"/>
      <c r="B322" s="548"/>
      <c r="C322" s="548"/>
      <c r="D322" s="548"/>
      <c r="E322" s="548"/>
      <c r="F322" s="548"/>
      <c r="G322" s="548"/>
      <c r="H322" s="548"/>
      <c r="I322" s="548"/>
      <c r="J322" s="548"/>
      <c r="K322" s="548"/>
      <c r="L322" s="548"/>
      <c r="M322" s="548"/>
      <c r="N322" s="548"/>
      <c r="O322" s="548"/>
      <c r="P322" s="548"/>
      <c r="Q322" s="548"/>
      <c r="R322" s="548"/>
      <c r="S322" s="548"/>
      <c r="T322" s="548"/>
      <c r="U322" s="548"/>
      <c r="V322" s="548"/>
      <c r="W322" s="548"/>
      <c r="X322" s="548"/>
      <c r="Y322" s="548"/>
      <c r="Z322" s="548"/>
      <c r="AA322" s="548"/>
      <c r="AB322" s="548"/>
      <c r="AC322" s="548"/>
      <c r="AD322" s="548"/>
      <c r="AE322" s="548"/>
      <c r="AF322" s="548"/>
      <c r="AG322" s="548"/>
      <c r="AH322" s="548"/>
      <c r="AI322" s="548"/>
      <c r="AJ322" s="547"/>
      <c r="AK322" s="547"/>
      <c r="AL322" s="547"/>
      <c r="AM322" s="547"/>
      <c r="AN322" s="73"/>
      <c r="AO322" s="14"/>
    </row>
    <row r="323" spans="1:44" hidden="1">
      <c r="A323" s="1379" t="s">
        <v>1378</v>
      </c>
      <c r="B323" s="1379"/>
      <c r="C323" s="1357" t="s">
        <v>590</v>
      </c>
      <c r="D323" s="1357"/>
      <c r="E323" s="544"/>
      <c r="F323" s="640" t="s">
        <v>1376</v>
      </c>
      <c r="G323" s="643"/>
      <c r="H323" s="643"/>
      <c r="I323" s="643"/>
      <c r="J323" s="643"/>
      <c r="K323" s="643"/>
      <c r="L323" s="643"/>
      <c r="M323" s="643"/>
      <c r="N323" s="643"/>
      <c r="O323" s="643"/>
      <c r="P323" s="643"/>
      <c r="Q323" s="643"/>
      <c r="R323" s="643"/>
      <c r="S323" s="643"/>
      <c r="T323" s="643"/>
      <c r="U323" s="643"/>
      <c r="V323" s="643"/>
      <c r="W323" s="643"/>
      <c r="X323" s="643"/>
      <c r="Y323" s="643"/>
      <c r="Z323" s="643"/>
      <c r="AA323" s="643"/>
      <c r="AB323" s="643"/>
      <c r="AC323" s="643"/>
      <c r="AD323" s="644"/>
      <c r="AE323" s="548"/>
      <c r="AF323" s="548"/>
      <c r="AG323" s="537" t="s">
        <v>1377</v>
      </c>
      <c r="AH323" s="548"/>
      <c r="AI323" s="548"/>
      <c r="AJ323" s="547"/>
      <c r="AK323" s="547"/>
      <c r="AL323" s="547"/>
      <c r="AM323" s="547"/>
      <c r="AN323" s="73"/>
      <c r="AO323" s="14"/>
    </row>
    <row r="324" spans="1:44" hidden="1">
      <c r="A324" s="89"/>
      <c r="B324" s="89"/>
      <c r="C324" s="724"/>
      <c r="D324" s="724"/>
      <c r="E324" s="544"/>
      <c r="F324" s="1351" t="s">
        <v>1984</v>
      </c>
      <c r="G324" s="1352"/>
      <c r="H324" s="1352"/>
      <c r="I324" s="1352"/>
      <c r="J324" s="1352"/>
      <c r="K324" s="1352"/>
      <c r="L324" s="1352"/>
      <c r="M324" s="1352"/>
      <c r="N324" s="1352"/>
      <c r="O324" s="1352"/>
      <c r="P324" s="1352"/>
      <c r="Q324" s="1352"/>
      <c r="R324" s="1352"/>
      <c r="S324" s="1352"/>
      <c r="T324" s="1352"/>
      <c r="U324" s="1352"/>
      <c r="V324" s="1352"/>
      <c r="W324" s="1352"/>
      <c r="X324" s="1352"/>
      <c r="Y324" s="1352"/>
      <c r="Z324" s="1352"/>
      <c r="AA324" s="1352"/>
      <c r="AB324" s="1352"/>
      <c r="AC324" s="1352"/>
      <c r="AD324" s="1353"/>
      <c r="AE324" s="548"/>
      <c r="AF324" s="548"/>
      <c r="AG324" s="537"/>
      <c r="AH324" s="548"/>
      <c r="AI324" s="548"/>
      <c r="AJ324" s="547"/>
      <c r="AK324" s="547"/>
      <c r="AL324" s="547"/>
      <c r="AM324" s="547"/>
      <c r="AN324" s="73"/>
      <c r="AO324" s="14"/>
      <c r="AP324" s="553" t="s">
        <v>1181</v>
      </c>
    </row>
    <row r="325" spans="1:44" hidden="1">
      <c r="F325" s="1351"/>
      <c r="G325" s="1352"/>
      <c r="H325" s="1352"/>
      <c r="I325" s="1352"/>
      <c r="J325" s="1352"/>
      <c r="K325" s="1352"/>
      <c r="L325" s="1352"/>
      <c r="M325" s="1352"/>
      <c r="N325" s="1352"/>
      <c r="O325" s="1352"/>
      <c r="P325" s="1352"/>
      <c r="Q325" s="1352"/>
      <c r="R325" s="1352"/>
      <c r="S325" s="1352"/>
      <c r="T325" s="1352"/>
      <c r="U325" s="1352"/>
      <c r="V325" s="1352"/>
      <c r="W325" s="1352"/>
      <c r="X325" s="1352"/>
      <c r="Y325" s="1352"/>
      <c r="Z325" s="1352"/>
      <c r="AA325" s="1352"/>
      <c r="AB325" s="1352"/>
      <c r="AC325" s="1352"/>
      <c r="AD325" s="1353"/>
      <c r="AE325" s="548"/>
      <c r="AF325" s="548"/>
      <c r="AH325" s="548"/>
      <c r="AI325" s="548"/>
      <c r="AJ325" s="547"/>
      <c r="AK325" s="547"/>
      <c r="AL325" s="547"/>
      <c r="AM325" s="547"/>
      <c r="AN325" s="73"/>
      <c r="AO325" s="14"/>
      <c r="AP325" s="553" t="s">
        <v>1715</v>
      </c>
    </row>
    <row r="326" spans="1:44" hidden="1">
      <c r="A326" s="547"/>
      <c r="B326" s="548"/>
      <c r="C326" s="724"/>
      <c r="D326" s="724"/>
      <c r="E326" s="544"/>
      <c r="F326" s="646" t="s">
        <v>1379</v>
      </c>
      <c r="G326" s="657"/>
      <c r="H326" s="657"/>
      <c r="I326" s="657"/>
      <c r="J326" s="657"/>
      <c r="K326" s="657"/>
      <c r="L326" s="657"/>
      <c r="M326" s="657"/>
      <c r="N326" s="657"/>
      <c r="O326" s="657"/>
      <c r="P326" s="657"/>
      <c r="Q326" s="657"/>
      <c r="R326" s="657"/>
      <c r="S326" s="657"/>
      <c r="T326" s="657"/>
      <c r="U326" s="657"/>
      <c r="V326" s="657"/>
      <c r="W326" s="657"/>
      <c r="X326" s="657"/>
      <c r="Y326" s="657"/>
      <c r="Z326" s="657"/>
      <c r="AA326" s="657"/>
      <c r="AB326" s="657"/>
      <c r="AC326" s="657"/>
      <c r="AD326" s="1012"/>
      <c r="AE326" s="548"/>
      <c r="AF326" s="548"/>
      <c r="AG326" s="537"/>
      <c r="AH326" s="548"/>
      <c r="AI326" s="548"/>
      <c r="AJ326" s="547"/>
      <c r="AK326" s="547"/>
      <c r="AL326" s="547"/>
      <c r="AM326" s="547"/>
      <c r="AN326" s="73"/>
      <c r="AO326" s="14"/>
      <c r="AP326" s="553" t="s">
        <v>1717</v>
      </c>
    </row>
    <row r="327" spans="1:44" hidden="1">
      <c r="A327" s="547"/>
      <c r="B327" s="548"/>
      <c r="C327" s="724"/>
      <c r="D327" s="724"/>
      <c r="E327" s="544"/>
      <c r="F327" s="646"/>
      <c r="G327" s="657"/>
      <c r="H327" s="657"/>
      <c r="I327" s="657"/>
      <c r="J327" s="657"/>
      <c r="K327" s="657"/>
      <c r="L327" s="657"/>
      <c r="M327" s="657"/>
      <c r="N327" s="657"/>
      <c r="O327" s="657"/>
      <c r="P327" s="657"/>
      <c r="Q327" s="657"/>
      <c r="R327" s="657"/>
      <c r="S327" s="657"/>
      <c r="T327" s="657"/>
      <c r="U327" s="657"/>
      <c r="V327" s="657"/>
      <c r="W327" s="657"/>
      <c r="X327" s="657"/>
      <c r="Y327" s="657"/>
      <c r="Z327" s="657"/>
      <c r="AA327" s="657"/>
      <c r="AB327" s="657"/>
      <c r="AC327" s="657"/>
      <c r="AD327" s="1012"/>
      <c r="AE327" s="548"/>
      <c r="AF327" s="548"/>
      <c r="AG327" s="537"/>
      <c r="AH327" s="548"/>
      <c r="AI327" s="548"/>
      <c r="AJ327" s="547"/>
      <c r="AK327" s="547"/>
      <c r="AL327" s="547"/>
      <c r="AM327" s="547"/>
      <c r="AN327" s="73"/>
      <c r="AO327" s="14"/>
      <c r="AP327" s="553" t="s">
        <v>1827</v>
      </c>
    </row>
    <row r="328" spans="1:44" ht="12.75" hidden="1" customHeight="1">
      <c r="A328" s="547"/>
      <c r="B328" s="548"/>
      <c r="C328" s="724"/>
      <c r="D328" s="724"/>
      <c r="E328" s="544"/>
      <c r="F328" s="646"/>
      <c r="G328" s="638"/>
      <c r="H328" s="638"/>
      <c r="I328" s="638"/>
      <c r="J328" s="638"/>
      <c r="K328" s="638"/>
      <c r="L328" s="638"/>
      <c r="M328" s="638"/>
      <c r="N328" s="638"/>
      <c r="O328" s="638"/>
      <c r="P328" s="638"/>
      <c r="Q328" s="638"/>
      <c r="R328" s="638"/>
      <c r="S328" s="638"/>
      <c r="T328" s="638"/>
      <c r="U328" s="638"/>
      <c r="V328" s="638"/>
      <c r="W328" s="638"/>
      <c r="X328" s="638"/>
      <c r="Y328" s="638"/>
      <c r="Z328" s="638"/>
      <c r="AA328" s="638"/>
      <c r="AB328" s="638"/>
      <c r="AC328" s="638"/>
      <c r="AD328" s="647"/>
      <c r="AE328" s="548"/>
      <c r="AF328" s="548"/>
      <c r="AG328" s="537"/>
      <c r="AH328" s="548"/>
      <c r="AI328" s="548"/>
      <c r="AJ328" s="547"/>
      <c r="AK328" s="547"/>
      <c r="AL328" s="547"/>
      <c r="AM328" s="547"/>
      <c r="AN328" s="73"/>
      <c r="AO328" s="14"/>
      <c r="AP328" s="30"/>
    </row>
    <row r="329" spans="1:44" ht="12.75" hidden="1" customHeight="1">
      <c r="A329" s="547"/>
      <c r="B329" s="548"/>
      <c r="C329" s="724"/>
      <c r="D329" s="724"/>
      <c r="E329" s="544"/>
      <c r="F329" s="1387" t="s">
        <v>1181</v>
      </c>
      <c r="G329" s="1388"/>
      <c r="H329" s="1388"/>
      <c r="I329" s="1388"/>
      <c r="J329" s="1388"/>
      <c r="K329" s="1388"/>
      <c r="L329" s="1388"/>
      <c r="M329" s="1388"/>
      <c r="N329" s="1388"/>
      <c r="O329" s="1388"/>
      <c r="P329" s="1388"/>
      <c r="Q329" s="1388"/>
      <c r="R329" s="1388"/>
      <c r="S329" s="1388"/>
      <c r="T329" s="1388"/>
      <c r="U329" s="1388"/>
      <c r="V329" s="1388"/>
      <c r="W329" s="1388"/>
      <c r="X329" s="1388"/>
      <c r="Y329" s="1388"/>
      <c r="Z329" s="1388"/>
      <c r="AA329" s="1388"/>
      <c r="AB329" s="1388"/>
      <c r="AC329" s="1388"/>
      <c r="AD329" s="1389"/>
      <c r="AE329" s="638"/>
      <c r="AF329" s="638"/>
      <c r="AG329" s="638"/>
      <c r="AH329" s="638"/>
      <c r="AI329" s="638"/>
      <c r="AJ329" s="638"/>
      <c r="AK329" s="638"/>
      <c r="AL329" s="547"/>
      <c r="AM329" s="547"/>
      <c r="AN329" s="73"/>
      <c r="AO329" s="14"/>
      <c r="AP329" s="30"/>
    </row>
    <row r="330" spans="1:44" hidden="1">
      <c r="A330" s="547"/>
      <c r="B330" s="548"/>
      <c r="C330" s="724"/>
      <c r="D330" s="724"/>
      <c r="E330" s="544"/>
      <c r="F330" s="1387"/>
      <c r="G330" s="1388"/>
      <c r="H330" s="1388"/>
      <c r="I330" s="1388"/>
      <c r="J330" s="1388"/>
      <c r="K330" s="1388"/>
      <c r="L330" s="1388"/>
      <c r="M330" s="1388"/>
      <c r="N330" s="1388"/>
      <c r="O330" s="1388"/>
      <c r="P330" s="1388"/>
      <c r="Q330" s="1388"/>
      <c r="R330" s="1388"/>
      <c r="S330" s="1388"/>
      <c r="T330" s="1388"/>
      <c r="U330" s="1388"/>
      <c r="V330" s="1388"/>
      <c r="W330" s="1388"/>
      <c r="X330" s="1388"/>
      <c r="Y330" s="1388"/>
      <c r="Z330" s="1388"/>
      <c r="AA330" s="1388"/>
      <c r="AB330" s="1388"/>
      <c r="AC330" s="1388"/>
      <c r="AD330" s="1389"/>
      <c r="AE330" s="548"/>
      <c r="AF330" s="548"/>
      <c r="AG330" s="537"/>
      <c r="AH330" s="548"/>
      <c r="AI330" s="548"/>
      <c r="AJ330" s="547"/>
      <c r="AK330" s="547"/>
      <c r="AL330" s="547"/>
      <c r="AM330" s="547"/>
      <c r="AN330" s="73"/>
      <c r="AO330" s="14"/>
      <c r="AP330" s="30"/>
    </row>
    <row r="331" spans="1:44" hidden="1">
      <c r="A331" s="547"/>
      <c r="B331" s="548"/>
      <c r="C331" s="724"/>
      <c r="D331" s="724"/>
      <c r="E331" s="544"/>
      <c r="F331" s="1387"/>
      <c r="G331" s="1388"/>
      <c r="H331" s="1388"/>
      <c r="I331" s="1388"/>
      <c r="J331" s="1388"/>
      <c r="K331" s="1388"/>
      <c r="L331" s="1388"/>
      <c r="M331" s="1388"/>
      <c r="N331" s="1388"/>
      <c r="O331" s="1388"/>
      <c r="P331" s="1388"/>
      <c r="Q331" s="1388"/>
      <c r="R331" s="1388"/>
      <c r="S331" s="1388"/>
      <c r="T331" s="1388"/>
      <c r="U331" s="1388"/>
      <c r="V331" s="1388"/>
      <c r="W331" s="1388"/>
      <c r="X331" s="1388"/>
      <c r="Y331" s="1388"/>
      <c r="Z331" s="1388"/>
      <c r="AA331" s="1388"/>
      <c r="AB331" s="1388"/>
      <c r="AC331" s="1388"/>
      <c r="AD331" s="1389"/>
      <c r="AE331" s="548"/>
      <c r="AF331" s="548"/>
      <c r="AG331" s="537"/>
      <c r="AH331" s="548"/>
      <c r="AI331" s="548"/>
      <c r="AJ331" s="547"/>
      <c r="AK331" s="547"/>
      <c r="AL331" s="547"/>
      <c r="AM331" s="547"/>
      <c r="AN331" s="73"/>
      <c r="AO331" s="14"/>
      <c r="AP331" s="30"/>
    </row>
    <row r="332" spans="1:44" hidden="1">
      <c r="A332" s="547"/>
      <c r="B332" s="548"/>
      <c r="C332" s="724"/>
      <c r="D332" s="724"/>
      <c r="E332" s="544"/>
      <c r="F332" s="1387"/>
      <c r="G332" s="1388"/>
      <c r="H332" s="1388"/>
      <c r="I332" s="1388"/>
      <c r="J332" s="1388"/>
      <c r="K332" s="1388"/>
      <c r="L332" s="1388"/>
      <c r="M332" s="1388"/>
      <c r="N332" s="1388"/>
      <c r="O332" s="1388"/>
      <c r="P332" s="1388"/>
      <c r="Q332" s="1388"/>
      <c r="R332" s="1388"/>
      <c r="S332" s="1388"/>
      <c r="T332" s="1388"/>
      <c r="U332" s="1388"/>
      <c r="V332" s="1388"/>
      <c r="W332" s="1388"/>
      <c r="X332" s="1388"/>
      <c r="Y332" s="1388"/>
      <c r="Z332" s="1388"/>
      <c r="AA332" s="1388"/>
      <c r="AB332" s="1388"/>
      <c r="AC332" s="1388"/>
      <c r="AD332" s="1389"/>
      <c r="AE332" s="548"/>
      <c r="AF332" s="548"/>
      <c r="AG332" s="537"/>
      <c r="AH332" s="548"/>
      <c r="AI332" s="548"/>
      <c r="AJ332" s="547"/>
      <c r="AK332" s="547"/>
      <c r="AL332" s="547"/>
      <c r="AM332" s="547"/>
      <c r="AN332" s="73"/>
      <c r="AO332" s="14"/>
      <c r="AP332" s="30"/>
    </row>
    <row r="333" spans="1:44" hidden="1">
      <c r="A333" s="547"/>
      <c r="B333" s="548"/>
      <c r="C333" s="724"/>
      <c r="D333" s="724"/>
      <c r="E333" s="544"/>
      <c r="F333" s="1390"/>
      <c r="G333" s="1391"/>
      <c r="H333" s="1391"/>
      <c r="I333" s="1391"/>
      <c r="J333" s="1391"/>
      <c r="K333" s="1391"/>
      <c r="L333" s="1391"/>
      <c r="M333" s="1391"/>
      <c r="N333" s="1391"/>
      <c r="O333" s="1391"/>
      <c r="P333" s="1391"/>
      <c r="Q333" s="1391"/>
      <c r="R333" s="1391"/>
      <c r="S333" s="1391"/>
      <c r="T333" s="1391"/>
      <c r="U333" s="1391"/>
      <c r="V333" s="1391"/>
      <c r="W333" s="1391"/>
      <c r="X333" s="1391"/>
      <c r="Y333" s="1391"/>
      <c r="Z333" s="1391"/>
      <c r="AA333" s="1391"/>
      <c r="AB333" s="1391"/>
      <c r="AC333" s="1391"/>
      <c r="AD333" s="1392"/>
      <c r="AE333" s="548"/>
      <c r="AF333" s="548"/>
      <c r="AG333" s="537"/>
      <c r="AH333" s="548"/>
      <c r="AI333" s="548"/>
      <c r="AJ333" s="547"/>
      <c r="AK333" s="547"/>
      <c r="AL333" s="547"/>
      <c r="AM333" s="547"/>
      <c r="AN333" s="73"/>
      <c r="AO333" s="14"/>
      <c r="AP333" s="30"/>
    </row>
    <row r="334" spans="1:44" hidden="1">
      <c r="A334" s="547"/>
      <c r="B334" s="548"/>
      <c r="C334" s="724"/>
      <c r="D334" s="724"/>
      <c r="E334" s="544"/>
      <c r="F334" s="968"/>
      <c r="G334" s="638"/>
      <c r="H334" s="638"/>
      <c r="I334" s="638"/>
      <c r="J334" s="638"/>
      <c r="K334" s="638"/>
      <c r="L334" s="638"/>
      <c r="M334" s="638"/>
      <c r="N334" s="638"/>
      <c r="O334" s="638"/>
      <c r="P334" s="638"/>
      <c r="Q334" s="638"/>
      <c r="R334" s="638"/>
      <c r="S334" s="638"/>
      <c r="T334" s="638"/>
      <c r="U334" s="638"/>
      <c r="V334" s="638"/>
      <c r="W334" s="638"/>
      <c r="X334" s="638"/>
      <c r="Y334" s="638"/>
      <c r="Z334" s="638"/>
      <c r="AA334" s="638"/>
      <c r="AB334" s="638"/>
      <c r="AC334" s="638"/>
      <c r="AD334" s="647"/>
      <c r="AE334" s="548"/>
      <c r="AF334" s="548"/>
      <c r="AG334" s="537"/>
      <c r="AH334" s="548"/>
      <c r="AI334" s="548"/>
      <c r="AJ334" s="547"/>
      <c r="AK334" s="547"/>
      <c r="AL334" s="547"/>
      <c r="AM334" s="547"/>
      <c r="AN334" s="73"/>
      <c r="AO334" s="14"/>
      <c r="AP334" s="30"/>
    </row>
    <row r="335" spans="1:44" hidden="1">
      <c r="A335" s="547"/>
      <c r="B335" s="548"/>
      <c r="C335" s="724"/>
      <c r="D335" s="724"/>
      <c r="E335" s="544"/>
      <c r="F335" s="648" t="s">
        <v>1716</v>
      </c>
      <c r="G335" s="548"/>
      <c r="H335" s="548"/>
      <c r="I335" s="548"/>
      <c r="J335" s="548"/>
      <c r="K335" s="548"/>
      <c r="L335" s="548"/>
      <c r="M335" s="548"/>
      <c r="N335" s="548"/>
      <c r="O335" s="548"/>
      <c r="P335" s="548"/>
      <c r="Q335" s="548"/>
      <c r="R335" s="548"/>
      <c r="S335" s="548"/>
      <c r="T335" s="548"/>
      <c r="U335" s="548"/>
      <c r="V335" s="548"/>
      <c r="W335" s="548"/>
      <c r="X335" s="548"/>
      <c r="Y335" s="548"/>
      <c r="Z335" s="548"/>
      <c r="AA335" s="548"/>
      <c r="AB335" s="548"/>
      <c r="AC335" s="548"/>
      <c r="AD335" s="649"/>
      <c r="AE335" s="548"/>
      <c r="AF335" s="548"/>
      <c r="AG335" s="537"/>
      <c r="AH335" s="548"/>
      <c r="AI335" s="548"/>
      <c r="AJ335" s="547"/>
      <c r="AK335" s="547"/>
      <c r="AL335" s="547"/>
      <c r="AM335" s="547"/>
      <c r="AN335" s="73"/>
      <c r="AO335" s="14"/>
      <c r="AP335" s="30"/>
    </row>
    <row r="336" spans="1:44" hidden="1">
      <c r="A336" s="547"/>
      <c r="B336" s="548"/>
      <c r="C336" s="724"/>
      <c r="D336" s="724"/>
      <c r="E336" s="544"/>
      <c r="F336" s="648"/>
      <c r="G336" s="548"/>
      <c r="H336" s="548"/>
      <c r="I336" s="548"/>
      <c r="J336" s="548"/>
      <c r="K336" s="548"/>
      <c r="L336" s="548"/>
      <c r="M336" s="548"/>
      <c r="N336" s="548"/>
      <c r="O336" s="548"/>
      <c r="P336" s="548"/>
      <c r="Q336" s="548"/>
      <c r="R336" s="548"/>
      <c r="S336" s="548"/>
      <c r="T336" s="548"/>
      <c r="U336" s="548"/>
      <c r="V336" s="548"/>
      <c r="W336" s="548"/>
      <c r="X336" s="548"/>
      <c r="Y336" s="548"/>
      <c r="Z336" s="548"/>
      <c r="AA336" s="548"/>
      <c r="AB336" s="548"/>
      <c r="AC336" s="548"/>
      <c r="AD336" s="649"/>
      <c r="AE336" s="548"/>
      <c r="AF336" s="548"/>
      <c r="AG336" s="537"/>
      <c r="AH336" s="548"/>
      <c r="AI336" s="548"/>
      <c r="AJ336" s="547"/>
      <c r="AK336" s="547"/>
      <c r="AL336" s="547"/>
      <c r="AM336" s="547"/>
      <c r="AN336" s="73"/>
      <c r="AO336" s="14"/>
      <c r="AP336" s="553" t="s">
        <v>1181</v>
      </c>
    </row>
    <row r="337" spans="1:42" ht="12.75" hidden="1" customHeight="1">
      <c r="A337" s="547"/>
      <c r="B337" s="548"/>
      <c r="C337" s="724"/>
      <c r="D337" s="724"/>
      <c r="E337" s="544"/>
      <c r="F337" s="650"/>
      <c r="G337" s="571" t="s">
        <v>686</v>
      </c>
      <c r="H337" s="571"/>
      <c r="I337" s="1393" t="s">
        <v>1181</v>
      </c>
      <c r="J337" s="1393"/>
      <c r="K337" s="1393"/>
      <c r="L337" s="1393"/>
      <c r="M337" s="1393"/>
      <c r="N337" s="1393"/>
      <c r="O337" s="1393"/>
      <c r="P337" s="1393"/>
      <c r="Q337" s="1393"/>
      <c r="R337" s="1393"/>
      <c r="S337" s="1393"/>
      <c r="T337" s="1393"/>
      <c r="U337" s="1393"/>
      <c r="V337" s="1393"/>
      <c r="W337" s="1393"/>
      <c r="X337" s="1393"/>
      <c r="Y337" s="1393"/>
      <c r="Z337" s="1393"/>
      <c r="AA337" s="1393"/>
      <c r="AB337" s="1393"/>
      <c r="AC337" s="1393"/>
      <c r="AD337" s="1394"/>
      <c r="AE337" s="548"/>
      <c r="AF337" s="548"/>
      <c r="AG337" s="537"/>
      <c r="AH337" s="548"/>
      <c r="AI337" s="548"/>
      <c r="AJ337" s="547"/>
      <c r="AK337" s="547"/>
      <c r="AL337" s="547"/>
      <c r="AM337" s="547"/>
      <c r="AN337" s="73"/>
      <c r="AO337" s="14"/>
      <c r="AP337" s="553" t="s">
        <v>1623</v>
      </c>
    </row>
    <row r="338" spans="1:42" hidden="1">
      <c r="A338" s="547"/>
      <c r="B338" s="548"/>
      <c r="C338" s="724"/>
      <c r="D338" s="724"/>
      <c r="E338" s="544"/>
      <c r="F338" s="650"/>
      <c r="G338" s="571"/>
      <c r="H338" s="571"/>
      <c r="I338" s="1393"/>
      <c r="J338" s="1393"/>
      <c r="K338" s="1393"/>
      <c r="L338" s="1393"/>
      <c r="M338" s="1393"/>
      <c r="N338" s="1393"/>
      <c r="O338" s="1393"/>
      <c r="P338" s="1393"/>
      <c r="Q338" s="1393"/>
      <c r="R338" s="1393"/>
      <c r="S338" s="1393"/>
      <c r="T338" s="1393"/>
      <c r="U338" s="1393"/>
      <c r="V338" s="1393"/>
      <c r="W338" s="1393"/>
      <c r="X338" s="1393"/>
      <c r="Y338" s="1393"/>
      <c r="Z338" s="1393"/>
      <c r="AA338" s="1393"/>
      <c r="AB338" s="1393"/>
      <c r="AC338" s="1393"/>
      <c r="AD338" s="1394"/>
      <c r="AE338" s="548"/>
      <c r="AF338" s="548"/>
      <c r="AG338" s="537"/>
      <c r="AH338" s="548"/>
      <c r="AI338" s="548"/>
      <c r="AJ338" s="547"/>
      <c r="AK338" s="547"/>
      <c r="AL338" s="547"/>
      <c r="AM338" s="547"/>
      <c r="AN338" s="73"/>
      <c r="AO338" s="14"/>
      <c r="AP338" s="553" t="s">
        <v>1718</v>
      </c>
    </row>
    <row r="339" spans="1:42" hidden="1">
      <c r="A339" s="547"/>
      <c r="B339" s="548"/>
      <c r="C339" s="645"/>
      <c r="D339" s="645"/>
      <c r="E339" s="544"/>
      <c r="F339" s="650"/>
      <c r="G339" s="571"/>
      <c r="H339" s="571"/>
      <c r="I339" s="1393"/>
      <c r="J339" s="1393"/>
      <c r="K339" s="1393"/>
      <c r="L339" s="1393"/>
      <c r="M339" s="1393"/>
      <c r="N339" s="1393"/>
      <c r="O339" s="1393"/>
      <c r="P339" s="1393"/>
      <c r="Q339" s="1393"/>
      <c r="R339" s="1393"/>
      <c r="S339" s="1393"/>
      <c r="T339" s="1393"/>
      <c r="U339" s="1393"/>
      <c r="V339" s="1393"/>
      <c r="W339" s="1393"/>
      <c r="X339" s="1393"/>
      <c r="Y339" s="1393"/>
      <c r="Z339" s="1393"/>
      <c r="AA339" s="1393"/>
      <c r="AB339" s="1393"/>
      <c r="AC339" s="1393"/>
      <c r="AD339" s="1394"/>
      <c r="AE339" s="548"/>
      <c r="AF339" s="548"/>
      <c r="AG339" s="537"/>
      <c r="AH339" s="548"/>
      <c r="AI339" s="548"/>
      <c r="AJ339" s="547"/>
      <c r="AK339" s="547"/>
      <c r="AL339" s="547"/>
      <c r="AM339" s="547"/>
      <c r="AN339" s="73"/>
      <c r="AO339" s="14"/>
      <c r="AP339" s="553" t="s">
        <v>1720</v>
      </c>
    </row>
    <row r="340" spans="1:42" hidden="1">
      <c r="A340" s="547"/>
      <c r="B340" s="548"/>
      <c r="C340" s="645"/>
      <c r="D340" s="645"/>
      <c r="E340" s="544"/>
      <c r="F340" s="648"/>
      <c r="G340" s="548"/>
      <c r="H340" s="548"/>
      <c r="I340" s="1395"/>
      <c r="J340" s="1395"/>
      <c r="K340" s="1395"/>
      <c r="L340" s="1395"/>
      <c r="M340" s="1395"/>
      <c r="N340" s="1395"/>
      <c r="O340" s="1395"/>
      <c r="P340" s="1395"/>
      <c r="Q340" s="1395"/>
      <c r="R340" s="1395"/>
      <c r="S340" s="1395"/>
      <c r="T340" s="1395"/>
      <c r="U340" s="1395"/>
      <c r="V340" s="1395"/>
      <c r="W340" s="1395"/>
      <c r="X340" s="1395"/>
      <c r="Y340" s="1395"/>
      <c r="Z340" s="1395"/>
      <c r="AA340" s="1395"/>
      <c r="AB340" s="1395"/>
      <c r="AC340" s="1395"/>
      <c r="AD340" s="1396"/>
      <c r="AE340" s="548"/>
      <c r="AF340" s="548"/>
      <c r="AG340" s="537"/>
      <c r="AH340" s="548"/>
      <c r="AI340" s="548"/>
      <c r="AJ340" s="547"/>
      <c r="AK340" s="547"/>
      <c r="AL340" s="547"/>
      <c r="AM340" s="547"/>
      <c r="AN340" s="73"/>
      <c r="AO340" s="14"/>
      <c r="AP340" s="553" t="s">
        <v>1719</v>
      </c>
    </row>
    <row r="341" spans="1:42" hidden="1">
      <c r="A341" s="547"/>
      <c r="B341" s="548"/>
      <c r="C341" s="645"/>
      <c r="D341" s="645"/>
      <c r="E341" s="544"/>
      <c r="F341" s="648"/>
      <c r="G341" s="548"/>
      <c r="H341" s="548"/>
      <c r="I341" s="548"/>
      <c r="J341" s="548"/>
      <c r="K341" s="548"/>
      <c r="L341" s="548"/>
      <c r="M341" s="548"/>
      <c r="N341" s="548"/>
      <c r="O341" s="548"/>
      <c r="P341" s="548"/>
      <c r="Q341" s="548"/>
      <c r="R341" s="548"/>
      <c r="S341" s="548"/>
      <c r="T341" s="548"/>
      <c r="U341" s="548"/>
      <c r="V341" s="548"/>
      <c r="W341" s="548"/>
      <c r="X341" s="548"/>
      <c r="Y341" s="548"/>
      <c r="Z341" s="548"/>
      <c r="AA341" s="548"/>
      <c r="AB341" s="548"/>
      <c r="AC341" s="548"/>
      <c r="AD341" s="649"/>
      <c r="AE341" s="548"/>
      <c r="AF341" s="548"/>
      <c r="AG341" s="537"/>
      <c r="AH341" s="548"/>
      <c r="AI341" s="548"/>
      <c r="AJ341" s="547"/>
      <c r="AK341" s="547"/>
      <c r="AL341" s="547"/>
      <c r="AM341" s="547"/>
      <c r="AN341" s="73"/>
      <c r="AO341" s="14"/>
      <c r="AP341" s="30"/>
    </row>
    <row r="342" spans="1:42" hidden="1">
      <c r="A342" s="547"/>
      <c r="B342" s="548"/>
      <c r="C342" s="645"/>
      <c r="D342" s="645"/>
      <c r="E342" s="544"/>
      <c r="F342" s="648"/>
      <c r="G342" s="548" t="s">
        <v>508</v>
      </c>
      <c r="H342" s="548"/>
      <c r="I342" s="1393" t="s">
        <v>1181</v>
      </c>
      <c r="J342" s="1393"/>
      <c r="K342" s="1393"/>
      <c r="L342" s="1393"/>
      <c r="M342" s="1393"/>
      <c r="N342" s="1393"/>
      <c r="O342" s="1393"/>
      <c r="P342" s="1393"/>
      <c r="Q342" s="1393"/>
      <c r="R342" s="1393"/>
      <c r="S342" s="1393"/>
      <c r="T342" s="1393"/>
      <c r="U342" s="1393"/>
      <c r="V342" s="1393"/>
      <c r="W342" s="1393"/>
      <c r="X342" s="1393"/>
      <c r="Y342" s="1393"/>
      <c r="Z342" s="1393"/>
      <c r="AA342" s="1393"/>
      <c r="AB342" s="1393"/>
      <c r="AC342" s="1393"/>
      <c r="AD342" s="1394"/>
      <c r="AE342" s="548"/>
      <c r="AF342" s="548"/>
      <c r="AG342" s="537"/>
      <c r="AH342" s="548"/>
      <c r="AI342" s="548"/>
      <c r="AJ342" s="547"/>
      <c r="AK342" s="547"/>
      <c r="AL342" s="547"/>
      <c r="AM342" s="547"/>
      <c r="AN342" s="73"/>
      <c r="AO342" s="14"/>
    </row>
    <row r="343" spans="1:42" hidden="1">
      <c r="A343" s="547"/>
      <c r="B343" s="548"/>
      <c r="C343" s="645"/>
      <c r="D343" s="645"/>
      <c r="E343" s="544"/>
      <c r="F343" s="648"/>
      <c r="G343" s="548"/>
      <c r="H343" s="548"/>
      <c r="I343" s="1393"/>
      <c r="J343" s="1393"/>
      <c r="K343" s="1393"/>
      <c r="L343" s="1393"/>
      <c r="M343" s="1393"/>
      <c r="N343" s="1393"/>
      <c r="O343" s="1393"/>
      <c r="P343" s="1393"/>
      <c r="Q343" s="1393"/>
      <c r="R343" s="1393"/>
      <c r="S343" s="1393"/>
      <c r="T343" s="1393"/>
      <c r="U343" s="1393"/>
      <c r="V343" s="1393"/>
      <c r="W343" s="1393"/>
      <c r="X343" s="1393"/>
      <c r="Y343" s="1393"/>
      <c r="Z343" s="1393"/>
      <c r="AA343" s="1393"/>
      <c r="AB343" s="1393"/>
      <c r="AC343" s="1393"/>
      <c r="AD343" s="1394"/>
      <c r="AE343" s="548"/>
      <c r="AF343" s="548"/>
      <c r="AG343" s="537"/>
      <c r="AH343" s="548"/>
      <c r="AI343" s="548"/>
      <c r="AJ343" s="547"/>
      <c r="AK343" s="547"/>
      <c r="AL343" s="547"/>
      <c r="AM343" s="547"/>
      <c r="AN343" s="73"/>
      <c r="AO343" s="14"/>
      <c r="AP343" s="553" t="s">
        <v>1181</v>
      </c>
    </row>
    <row r="344" spans="1:42" hidden="1">
      <c r="A344" s="547"/>
      <c r="B344" s="548"/>
      <c r="C344" s="645"/>
      <c r="D344" s="645"/>
      <c r="E344" s="544"/>
      <c r="F344" s="651"/>
      <c r="G344" s="652"/>
      <c r="H344" s="652"/>
      <c r="I344" s="1395"/>
      <c r="J344" s="1395"/>
      <c r="K344" s="1395"/>
      <c r="L344" s="1395"/>
      <c r="M344" s="1395"/>
      <c r="N344" s="1395"/>
      <c r="O344" s="1395"/>
      <c r="P344" s="1395"/>
      <c r="Q344" s="1395"/>
      <c r="R344" s="1395"/>
      <c r="S344" s="1395"/>
      <c r="T344" s="1395"/>
      <c r="U344" s="1395"/>
      <c r="V344" s="1395"/>
      <c r="W344" s="1395"/>
      <c r="X344" s="1395"/>
      <c r="Y344" s="1395"/>
      <c r="Z344" s="1395"/>
      <c r="AA344" s="1395"/>
      <c r="AB344" s="1395"/>
      <c r="AC344" s="1395"/>
      <c r="AD344" s="1396"/>
      <c r="AE344" s="548"/>
      <c r="AF344" s="548"/>
      <c r="AG344" s="537"/>
      <c r="AH344" s="548"/>
      <c r="AI344" s="548"/>
      <c r="AJ344" s="547"/>
      <c r="AK344" s="547"/>
      <c r="AL344" s="547"/>
      <c r="AM344" s="547"/>
      <c r="AN344" s="73"/>
      <c r="AO344" s="14"/>
      <c r="AP344" s="553" t="s">
        <v>1380</v>
      </c>
    </row>
    <row r="345" spans="1:42" hidden="1">
      <c r="A345" s="547"/>
      <c r="B345" s="548"/>
      <c r="C345" s="547"/>
      <c r="D345" s="548"/>
      <c r="E345" s="547"/>
      <c r="F345" s="612"/>
      <c r="G345" s="548"/>
      <c r="H345" s="548"/>
      <c r="I345" s="548"/>
      <c r="J345" s="548"/>
      <c r="K345" s="548"/>
      <c r="L345" s="548"/>
      <c r="M345" s="548"/>
      <c r="N345" s="548"/>
      <c r="O345" s="548"/>
      <c r="P345" s="548"/>
      <c r="Q345" s="548"/>
      <c r="R345" s="548"/>
      <c r="S345" s="548"/>
      <c r="T345" s="548"/>
      <c r="U345" s="548"/>
      <c r="V345" s="548"/>
      <c r="W345" s="548"/>
      <c r="X345" s="548"/>
      <c r="Y345" s="548"/>
      <c r="Z345" s="548"/>
      <c r="AA345" s="548"/>
      <c r="AB345" s="548"/>
      <c r="AC345" s="548"/>
      <c r="AD345" s="548"/>
      <c r="AE345" s="548"/>
      <c r="AF345" s="548"/>
      <c r="AG345" s="548"/>
      <c r="AH345" s="548"/>
      <c r="AI345" s="548"/>
      <c r="AJ345" s="547"/>
      <c r="AK345" s="547"/>
      <c r="AL345" s="547"/>
      <c r="AM345" s="547"/>
      <c r="AN345" s="73"/>
      <c r="AO345" s="14"/>
      <c r="AP345" s="553" t="s">
        <v>1624</v>
      </c>
    </row>
    <row r="346" spans="1:42" ht="12.75" hidden="1" customHeight="1">
      <c r="A346" s="1379" t="s">
        <v>1381</v>
      </c>
      <c r="B346" s="1379"/>
      <c r="C346" s="1357" t="s">
        <v>590</v>
      </c>
      <c r="D346" s="1357"/>
      <c r="E346" s="544"/>
      <c r="F346" s="1290" t="s">
        <v>1985</v>
      </c>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2"/>
      <c r="AE346" s="548"/>
      <c r="AF346" s="548"/>
      <c r="AG346" s="537" t="s">
        <v>1377</v>
      </c>
      <c r="AH346" s="548"/>
      <c r="AI346" s="548"/>
      <c r="AJ346" s="547"/>
      <c r="AK346" s="547"/>
      <c r="AL346" s="547"/>
      <c r="AM346" s="547"/>
      <c r="AN346" s="73"/>
      <c r="AO346" s="14"/>
    </row>
    <row r="347" spans="1:42" ht="15" hidden="1" customHeight="1">
      <c r="A347" s="547"/>
      <c r="B347" s="548"/>
      <c r="C347" s="548"/>
      <c r="D347" s="548"/>
      <c r="E347" s="548"/>
      <c r="F347" s="1319"/>
      <c r="G347" s="1320"/>
      <c r="H347" s="1320"/>
      <c r="I347" s="1320"/>
      <c r="J347" s="1320"/>
      <c r="K347" s="1320"/>
      <c r="L347" s="1320"/>
      <c r="M347" s="1320"/>
      <c r="N347" s="1320"/>
      <c r="O347" s="1320"/>
      <c r="P347" s="1320"/>
      <c r="Q347" s="1320"/>
      <c r="R347" s="1320"/>
      <c r="S347" s="1320"/>
      <c r="T347" s="1320"/>
      <c r="U347" s="1320"/>
      <c r="V347" s="1320"/>
      <c r="W347" s="1320"/>
      <c r="X347" s="1320"/>
      <c r="Y347" s="1320"/>
      <c r="Z347" s="1320"/>
      <c r="AA347" s="1320"/>
      <c r="AB347" s="1320"/>
      <c r="AC347" s="1320"/>
      <c r="AD347" s="1321"/>
      <c r="AE347" s="548"/>
      <c r="AF347" s="548"/>
      <c r="AG347" s="548"/>
      <c r="AH347" s="548"/>
      <c r="AI347" s="548"/>
      <c r="AJ347" s="547"/>
      <c r="AK347" s="547"/>
      <c r="AL347" s="547"/>
      <c r="AM347" s="547"/>
      <c r="AN347" s="73"/>
      <c r="AO347" s="14"/>
    </row>
    <row r="348" spans="1:42" ht="15" hidden="1" customHeight="1">
      <c r="A348" s="547"/>
      <c r="B348" s="548"/>
      <c r="C348" s="548"/>
      <c r="D348" s="548"/>
      <c r="E348" s="548"/>
      <c r="F348" s="1319"/>
      <c r="G348" s="1320"/>
      <c r="H348" s="1320"/>
      <c r="I348" s="1320"/>
      <c r="J348" s="1320"/>
      <c r="K348" s="1320"/>
      <c r="L348" s="1320"/>
      <c r="M348" s="1320"/>
      <c r="N348" s="1320"/>
      <c r="O348" s="1320"/>
      <c r="P348" s="1320"/>
      <c r="Q348" s="1320"/>
      <c r="R348" s="1320"/>
      <c r="S348" s="1320"/>
      <c r="T348" s="1320"/>
      <c r="U348" s="1320"/>
      <c r="V348" s="1320"/>
      <c r="W348" s="1320"/>
      <c r="X348" s="1320"/>
      <c r="Y348" s="1320"/>
      <c r="Z348" s="1320"/>
      <c r="AA348" s="1320"/>
      <c r="AB348" s="1320"/>
      <c r="AC348" s="1320"/>
      <c r="AD348" s="1321"/>
      <c r="AE348" s="548"/>
      <c r="AF348" s="548"/>
      <c r="AG348" s="548"/>
      <c r="AH348" s="548"/>
      <c r="AI348" s="548"/>
      <c r="AJ348" s="547"/>
      <c r="AK348" s="547"/>
      <c r="AL348" s="547"/>
      <c r="AM348" s="653"/>
      <c r="AN348" s="14"/>
      <c r="AO348" s="14"/>
    </row>
    <row r="349" spans="1:42" hidden="1">
      <c r="A349" s="547"/>
      <c r="B349" s="548"/>
      <c r="C349" s="547"/>
      <c r="D349" s="548"/>
      <c r="E349" s="547"/>
      <c r="F349" s="654" t="s">
        <v>1382</v>
      </c>
      <c r="G349" s="655"/>
      <c r="H349" s="655"/>
      <c r="I349" s="655"/>
      <c r="J349" s="655"/>
      <c r="K349" s="655"/>
      <c r="L349" s="655"/>
      <c r="M349" s="655"/>
      <c r="N349" s="655"/>
      <c r="O349" s="655"/>
      <c r="P349" s="655"/>
      <c r="Q349" s="655"/>
      <c r="R349" s="655"/>
      <c r="S349" s="655"/>
      <c r="T349" s="655"/>
      <c r="U349" s="655"/>
      <c r="V349" s="655"/>
      <c r="W349" s="655"/>
      <c r="X349" s="655"/>
      <c r="Y349" s="655"/>
      <c r="Z349" s="655"/>
      <c r="AA349" s="655"/>
      <c r="AB349" s="655"/>
      <c r="AC349" s="655"/>
      <c r="AD349" s="656"/>
      <c r="AE349" s="548"/>
      <c r="AF349" s="548"/>
      <c r="AG349" s="548"/>
      <c r="AH349" s="548"/>
      <c r="AI349" s="548"/>
      <c r="AJ349" s="547"/>
      <c r="AK349" s="547"/>
      <c r="AL349" s="547"/>
      <c r="AM349" s="653"/>
      <c r="AN349" s="30"/>
    </row>
    <row r="350" spans="1:42" hidden="1">
      <c r="A350" s="547"/>
      <c r="B350" s="548"/>
      <c r="C350" s="547"/>
      <c r="D350" s="548"/>
      <c r="E350" s="547"/>
      <c r="F350" s="657"/>
      <c r="G350" s="657"/>
      <c r="H350" s="657"/>
      <c r="I350" s="657"/>
      <c r="J350" s="657"/>
      <c r="K350" s="657"/>
      <c r="L350" s="657"/>
      <c r="M350" s="657"/>
      <c r="N350" s="657"/>
      <c r="O350" s="657"/>
      <c r="P350" s="657"/>
      <c r="Q350" s="657"/>
      <c r="R350" s="657"/>
      <c r="S350" s="657"/>
      <c r="T350" s="657"/>
      <c r="U350" s="657"/>
      <c r="V350" s="657"/>
      <c r="W350" s="657"/>
      <c r="X350" s="657"/>
      <c r="Y350" s="657"/>
      <c r="Z350" s="657"/>
      <c r="AA350" s="657"/>
      <c r="AB350" s="657"/>
      <c r="AC350" s="657"/>
      <c r="AD350" s="657"/>
      <c r="AE350" s="548"/>
      <c r="AF350" s="548"/>
      <c r="AG350" s="548"/>
      <c r="AH350" s="548"/>
      <c r="AI350" s="548"/>
      <c r="AJ350" s="547"/>
      <c r="AK350" s="547"/>
      <c r="AL350" s="547"/>
      <c r="AM350" s="653"/>
      <c r="AN350" s="30"/>
    </row>
    <row r="351" spans="1:42">
      <c r="A351" s="602"/>
      <c r="B351" s="658"/>
      <c r="C351" s="658"/>
      <c r="D351" s="658"/>
      <c r="E351" s="658"/>
      <c r="F351" s="658"/>
      <c r="G351" s="658"/>
      <c r="H351" s="658"/>
      <c r="I351" s="658"/>
      <c r="J351" s="658"/>
      <c r="K351" s="658"/>
      <c r="L351" s="658"/>
      <c r="M351" s="658"/>
      <c r="N351" s="658"/>
      <c r="O351" s="658"/>
      <c r="P351" s="658"/>
      <c r="Q351" s="658"/>
      <c r="R351" s="658"/>
      <c r="S351" s="658"/>
      <c r="T351" s="658"/>
      <c r="U351" s="658"/>
      <c r="V351" s="658"/>
      <c r="W351" s="658"/>
      <c r="X351" s="658"/>
      <c r="Y351" s="658"/>
      <c r="Z351" s="658"/>
      <c r="AA351" s="658"/>
      <c r="AB351" s="658"/>
      <c r="AC351" s="659"/>
      <c r="AD351" s="658"/>
      <c r="AE351" s="560"/>
      <c r="AF351" s="560"/>
      <c r="AG351" s="560"/>
      <c r="AH351" s="560"/>
      <c r="AI351" s="561"/>
      <c r="AJ351" s="561" t="s">
        <v>2589</v>
      </c>
      <c r="AK351" s="1360">
        <f>IF(NOT(OR(Application!M364="Yes",Application!M365="Yes")),0,AP308)</f>
        <v>9</v>
      </c>
      <c r="AL351" s="1361"/>
      <c r="AM351" s="1362"/>
      <c r="AN351" s="30"/>
    </row>
    <row r="352" spans="1:42" s="547" customFormat="1" ht="12.75" customHeight="1" thickBot="1">
      <c r="A352" s="617"/>
      <c r="B352" s="617"/>
      <c r="C352" s="617"/>
      <c r="D352" s="617"/>
      <c r="E352" s="617"/>
      <c r="F352" s="617"/>
      <c r="G352" s="617"/>
      <c r="H352" s="617"/>
      <c r="I352" s="617"/>
      <c r="J352" s="617"/>
      <c r="K352" s="617"/>
      <c r="L352" s="617"/>
      <c r="M352" s="617"/>
      <c r="N352" s="617"/>
      <c r="O352" s="617"/>
      <c r="P352" s="617"/>
      <c r="Q352" s="617"/>
      <c r="R352" s="617"/>
      <c r="S352" s="617"/>
      <c r="T352" s="617"/>
      <c r="U352" s="617"/>
      <c r="V352" s="617"/>
      <c r="W352" s="617"/>
      <c r="X352" s="617"/>
      <c r="Y352" s="617"/>
      <c r="Z352" s="617"/>
      <c r="AA352" s="617"/>
      <c r="AB352" s="617"/>
      <c r="AC352" s="617"/>
      <c r="AD352" s="617"/>
      <c r="AE352" s="617"/>
      <c r="AF352" s="617"/>
      <c r="AG352" s="617"/>
      <c r="AH352" s="617"/>
      <c r="AI352" s="617"/>
      <c r="AJ352" s="617"/>
      <c r="AK352" s="617"/>
      <c r="AL352" s="617"/>
      <c r="AM352" s="617"/>
      <c r="AN352" s="593"/>
    </row>
    <row r="353" spans="1:44" s="547"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3"/>
    </row>
    <row r="354" spans="1:44" s="547" customFormat="1" ht="12.75" customHeight="1">
      <c r="A354" s="536" t="s">
        <v>1370</v>
      </c>
      <c r="B354" s="537" t="s">
        <v>844</v>
      </c>
      <c r="C354" s="534"/>
      <c r="AC354" s="537"/>
      <c r="AE354" s="1302" t="s">
        <v>1305</v>
      </c>
      <c r="AF354" s="1302"/>
      <c r="AG354" s="1302"/>
      <c r="AH354" s="1302"/>
      <c r="AI354" s="1302"/>
      <c r="AJ354" s="1302"/>
      <c r="AK354" s="1302"/>
      <c r="AL354" s="537"/>
      <c r="AM354" s="537"/>
      <c r="AN354" s="588"/>
    </row>
    <row r="355" spans="1:44" s="547" customFormat="1" ht="12.75" customHeight="1">
      <c r="A355" s="537"/>
      <c r="B355" s="537"/>
      <c r="C355" s="534"/>
      <c r="AC355" s="537"/>
      <c r="AE355" s="541"/>
      <c r="AF355" s="541"/>
      <c r="AG355" s="541"/>
      <c r="AH355" s="541"/>
      <c r="AI355" s="541"/>
      <c r="AJ355" s="541"/>
      <c r="AK355" s="541"/>
      <c r="AL355" s="537"/>
      <c r="AM355" s="537"/>
      <c r="AN355" s="588"/>
    </row>
    <row r="356" spans="1:44" s="547" customFormat="1" ht="12.75" customHeight="1">
      <c r="B356" s="607"/>
      <c r="C356" s="1397" t="s">
        <v>1442</v>
      </c>
      <c r="D356" s="1397"/>
      <c r="E356" s="1397"/>
      <c r="F356" s="1397"/>
      <c r="G356" s="1397"/>
      <c r="H356" s="1397"/>
      <c r="I356" s="1397"/>
      <c r="J356" s="1397"/>
      <c r="K356" s="1397"/>
      <c r="L356" s="1397"/>
      <c r="M356" s="1397"/>
      <c r="N356" s="1397"/>
      <c r="O356" s="1397"/>
      <c r="P356" s="1397"/>
      <c r="Q356" s="1397"/>
      <c r="R356" s="1397"/>
      <c r="S356" s="1397"/>
      <c r="T356" s="1397"/>
      <c r="U356" s="1397"/>
      <c r="V356" s="1397"/>
      <c r="W356" s="1397"/>
      <c r="X356" s="1397"/>
      <c r="Y356" s="1397"/>
      <c r="Z356" s="1397"/>
      <c r="AA356" s="1397"/>
      <c r="AB356" s="1397"/>
      <c r="AC356" s="1397"/>
      <c r="AD356" s="1397"/>
      <c r="AE356" s="1397"/>
      <c r="AF356" s="1397"/>
      <c r="AG356" s="1397"/>
      <c r="AH356" s="1397"/>
      <c r="AI356" s="1397"/>
      <c r="AJ356" s="1397"/>
      <c r="AK356" s="599"/>
      <c r="AL356" s="599"/>
      <c r="AM356" s="599"/>
      <c r="AN356" s="593"/>
    </row>
    <row r="357" spans="1:44" s="547" customFormat="1" ht="12.75" customHeight="1">
      <c r="A357" s="599"/>
      <c r="B357" s="607"/>
      <c r="C357" s="1397"/>
      <c r="D357" s="1397"/>
      <c r="E357" s="1397"/>
      <c r="F357" s="1397"/>
      <c r="G357" s="1397"/>
      <c r="H357" s="1397"/>
      <c r="I357" s="1397"/>
      <c r="J357" s="1397"/>
      <c r="K357" s="1397"/>
      <c r="L357" s="1397"/>
      <c r="M357" s="1397"/>
      <c r="N357" s="1397"/>
      <c r="O357" s="1397"/>
      <c r="P357" s="1397"/>
      <c r="Q357" s="1397"/>
      <c r="R357" s="1397"/>
      <c r="S357" s="1397"/>
      <c r="T357" s="1397"/>
      <c r="U357" s="1397"/>
      <c r="V357" s="1397"/>
      <c r="W357" s="1397"/>
      <c r="X357" s="1397"/>
      <c r="Y357" s="1397"/>
      <c r="Z357" s="1397"/>
      <c r="AA357" s="1397"/>
      <c r="AB357" s="1397"/>
      <c r="AC357" s="1397"/>
      <c r="AD357" s="1397"/>
      <c r="AE357" s="1397"/>
      <c r="AF357" s="1397"/>
      <c r="AG357" s="1397"/>
      <c r="AH357" s="1397"/>
      <c r="AI357" s="1397"/>
      <c r="AJ357" s="1397"/>
      <c r="AK357" s="599"/>
      <c r="AL357" s="599"/>
      <c r="AM357" s="599"/>
      <c r="AN357" s="593"/>
    </row>
    <row r="358" spans="1:44" s="547" customFormat="1" ht="12.75" customHeight="1">
      <c r="A358" s="599"/>
      <c r="B358" s="607"/>
      <c r="C358" s="1397"/>
      <c r="D358" s="1397"/>
      <c r="E358" s="1397"/>
      <c r="F358" s="1397"/>
      <c r="G358" s="1397"/>
      <c r="H358" s="1397"/>
      <c r="I358" s="1397"/>
      <c r="J358" s="1397"/>
      <c r="K358" s="1397"/>
      <c r="L358" s="1397"/>
      <c r="M358" s="1397"/>
      <c r="N358" s="1397"/>
      <c r="O358" s="1397"/>
      <c r="P358" s="1397"/>
      <c r="Q358" s="1397"/>
      <c r="R358" s="1397"/>
      <c r="S358" s="1397"/>
      <c r="T358" s="1397"/>
      <c r="U358" s="1397"/>
      <c r="V358" s="1397"/>
      <c r="W358" s="1397"/>
      <c r="X358" s="1397"/>
      <c r="Y358" s="1397"/>
      <c r="Z358" s="1397"/>
      <c r="AA358" s="1397"/>
      <c r="AB358" s="1397"/>
      <c r="AC358" s="1397"/>
      <c r="AD358" s="1397"/>
      <c r="AE358" s="1397"/>
      <c r="AF358" s="1397"/>
      <c r="AG358" s="1397"/>
      <c r="AH358" s="1397"/>
      <c r="AI358" s="1397"/>
      <c r="AJ358" s="1397"/>
      <c r="AK358" s="599"/>
      <c r="AL358" s="599"/>
      <c r="AM358" s="599"/>
      <c r="AN358" s="593"/>
      <c r="AQ358" s="566"/>
    </row>
    <row r="359" spans="1:44" s="547" customFormat="1" ht="12.75" customHeight="1">
      <c r="A359" s="599"/>
      <c r="B359" s="607"/>
      <c r="C359" s="1397"/>
      <c r="D359" s="1397"/>
      <c r="E359" s="1397"/>
      <c r="F359" s="1397"/>
      <c r="G359" s="1397"/>
      <c r="H359" s="1397"/>
      <c r="I359" s="1397"/>
      <c r="J359" s="1397"/>
      <c r="K359" s="1397"/>
      <c r="L359" s="1397"/>
      <c r="M359" s="1397"/>
      <c r="N359" s="1397"/>
      <c r="O359" s="1397"/>
      <c r="P359" s="1397"/>
      <c r="Q359" s="1397"/>
      <c r="R359" s="1397"/>
      <c r="S359" s="1397"/>
      <c r="T359" s="1397"/>
      <c r="U359" s="1397"/>
      <c r="V359" s="1397"/>
      <c r="W359" s="1397"/>
      <c r="X359" s="1397"/>
      <c r="Y359" s="1397"/>
      <c r="Z359" s="1397"/>
      <c r="AA359" s="1397"/>
      <c r="AB359" s="1397"/>
      <c r="AC359" s="1397"/>
      <c r="AD359" s="1397"/>
      <c r="AE359" s="1397"/>
      <c r="AF359" s="1397"/>
      <c r="AG359" s="1397"/>
      <c r="AH359" s="1397"/>
      <c r="AI359" s="1397"/>
      <c r="AJ359" s="1397"/>
      <c r="AK359" s="599"/>
      <c r="AL359" s="599"/>
      <c r="AM359" s="599"/>
      <c r="AN359" s="593"/>
      <c r="AQ359" s="566"/>
    </row>
    <row r="360" spans="1:44" s="547" customFormat="1" ht="12.6" customHeight="1">
      <c r="A360" s="599"/>
      <c r="B360" s="607"/>
      <c r="C360" s="1397"/>
      <c r="D360" s="1397"/>
      <c r="E360" s="1397"/>
      <c r="F360" s="1397"/>
      <c r="G360" s="1397"/>
      <c r="H360" s="1397"/>
      <c r="I360" s="1397"/>
      <c r="J360" s="1397"/>
      <c r="K360" s="1397"/>
      <c r="L360" s="1397"/>
      <c r="M360" s="1397"/>
      <c r="N360" s="1397"/>
      <c r="O360" s="1397"/>
      <c r="P360" s="1397"/>
      <c r="Q360" s="1397"/>
      <c r="R360" s="1397"/>
      <c r="S360" s="1397"/>
      <c r="T360" s="1397"/>
      <c r="U360" s="1397"/>
      <c r="V360" s="1397"/>
      <c r="W360" s="1397"/>
      <c r="X360" s="1397"/>
      <c r="Y360" s="1397"/>
      <c r="Z360" s="1397"/>
      <c r="AA360" s="1397"/>
      <c r="AB360" s="1397"/>
      <c r="AC360" s="1397"/>
      <c r="AD360" s="1397"/>
      <c r="AE360" s="1397"/>
      <c r="AF360" s="1397"/>
      <c r="AG360" s="1397"/>
      <c r="AH360" s="1397"/>
      <c r="AI360" s="1397"/>
      <c r="AJ360" s="1397"/>
      <c r="AK360" s="599"/>
      <c r="AL360" s="599"/>
      <c r="AM360" s="599"/>
      <c r="AN360" s="593"/>
      <c r="AQ360" s="566"/>
      <c r="AR360" s="566"/>
    </row>
    <row r="361" spans="1:44" s="547" customFormat="1" ht="45.75" customHeight="1">
      <c r="A361" s="599"/>
      <c r="B361" s="607"/>
      <c r="C361" s="1397" t="s">
        <v>2044</v>
      </c>
      <c r="D361" s="1397"/>
      <c r="E361" s="1397"/>
      <c r="F361" s="1397"/>
      <c r="G361" s="1397"/>
      <c r="H361" s="1397"/>
      <c r="I361" s="1397"/>
      <c r="J361" s="1397"/>
      <c r="K361" s="1397"/>
      <c r="L361" s="1397"/>
      <c r="M361" s="1397"/>
      <c r="N361" s="1397"/>
      <c r="O361" s="1397"/>
      <c r="P361" s="1397"/>
      <c r="Q361" s="1397"/>
      <c r="R361" s="1397"/>
      <c r="S361" s="1397"/>
      <c r="T361" s="1397"/>
      <c r="U361" s="1397"/>
      <c r="V361" s="1397"/>
      <c r="W361" s="1397"/>
      <c r="X361" s="1397"/>
      <c r="Y361" s="1397"/>
      <c r="Z361" s="1397"/>
      <c r="AA361" s="1397"/>
      <c r="AB361" s="1397"/>
      <c r="AC361" s="1397"/>
      <c r="AD361" s="1397"/>
      <c r="AE361" s="1397"/>
      <c r="AF361" s="1397"/>
      <c r="AG361" s="1397"/>
      <c r="AH361" s="1397"/>
      <c r="AI361" s="1397"/>
      <c r="AJ361" s="1397"/>
      <c r="AK361" s="599"/>
      <c r="AL361" s="599"/>
      <c r="AM361" s="599"/>
      <c r="AN361" s="593"/>
      <c r="AQ361" s="566"/>
      <c r="AR361" s="566"/>
    </row>
    <row r="362" spans="1:44" s="547" customFormat="1" ht="12.6" customHeight="1">
      <c r="A362" s="599"/>
      <c r="B362" s="607"/>
      <c r="C362" s="687"/>
      <c r="D362" s="687"/>
      <c r="E362" s="687"/>
      <c r="F362" s="687"/>
      <c r="G362" s="687"/>
      <c r="H362" s="687"/>
      <c r="I362" s="687"/>
      <c r="J362" s="687"/>
      <c r="K362" s="687"/>
      <c r="L362" s="687"/>
      <c r="M362" s="687"/>
      <c r="N362" s="687"/>
      <c r="O362" s="687"/>
      <c r="P362" s="687"/>
      <c r="Q362" s="687"/>
      <c r="R362" s="687"/>
      <c r="S362" s="687"/>
      <c r="T362" s="687"/>
      <c r="U362" s="687"/>
      <c r="V362" s="687"/>
      <c r="W362" s="687"/>
      <c r="X362" s="687"/>
      <c r="Y362" s="687"/>
      <c r="Z362" s="687"/>
      <c r="AA362" s="687"/>
      <c r="AB362" s="687"/>
      <c r="AC362" s="687"/>
      <c r="AD362" s="687"/>
      <c r="AE362" s="687"/>
      <c r="AF362" s="687"/>
      <c r="AG362" s="687"/>
      <c r="AH362" s="687"/>
      <c r="AI362" s="687"/>
      <c r="AJ362" s="687"/>
      <c r="AK362" s="599"/>
      <c r="AL362" s="599"/>
      <c r="AM362" s="599"/>
      <c r="AN362" s="593"/>
      <c r="AQ362" s="566"/>
      <c r="AR362" s="566"/>
    </row>
    <row r="363" spans="1:44" s="547" customFormat="1" ht="12.75" customHeight="1">
      <c r="A363" s="599"/>
      <c r="B363" s="607"/>
      <c r="C363" s="1397" t="s">
        <v>2158</v>
      </c>
      <c r="D363" s="1397"/>
      <c r="E363" s="1397"/>
      <c r="F363" s="1397"/>
      <c r="G363" s="1397"/>
      <c r="H363" s="1397"/>
      <c r="I363" s="1397"/>
      <c r="J363" s="1397"/>
      <c r="K363" s="1397"/>
      <c r="L363" s="1397"/>
      <c r="M363" s="1397"/>
      <c r="N363" s="1397"/>
      <c r="O363" s="1397"/>
      <c r="P363" s="1397"/>
      <c r="Q363" s="1397"/>
      <c r="R363" s="1397"/>
      <c r="S363" s="1397"/>
      <c r="T363" s="1397"/>
      <c r="U363" s="1397"/>
      <c r="V363" s="1397"/>
      <c r="W363" s="1397"/>
      <c r="X363" s="1397"/>
      <c r="Y363" s="1397"/>
      <c r="Z363" s="1397"/>
      <c r="AA363" s="1397"/>
      <c r="AB363" s="1397"/>
      <c r="AC363" s="1397"/>
      <c r="AD363" s="1397"/>
      <c r="AE363" s="1397"/>
      <c r="AF363" s="1397"/>
      <c r="AG363" s="1397"/>
      <c r="AH363" s="1397"/>
      <c r="AI363" s="1397"/>
      <c r="AJ363" s="1397"/>
      <c r="AK363" s="599"/>
      <c r="AL363" s="599"/>
      <c r="AM363" s="599"/>
      <c r="AN363" s="593"/>
      <c r="AQ363" s="566"/>
      <c r="AR363" s="566"/>
    </row>
    <row r="364" spans="1:44" s="547" customFormat="1" ht="30" customHeight="1">
      <c r="A364" s="599"/>
      <c r="B364" s="607"/>
      <c r="C364" s="1397"/>
      <c r="D364" s="1397"/>
      <c r="E364" s="1397"/>
      <c r="F364" s="1397"/>
      <c r="G364" s="1397"/>
      <c r="H364" s="1397"/>
      <c r="I364" s="1397"/>
      <c r="J364" s="1397"/>
      <c r="K364" s="1397"/>
      <c r="L364" s="1397"/>
      <c r="M364" s="1397"/>
      <c r="N364" s="1397"/>
      <c r="O364" s="1397"/>
      <c r="P364" s="1397"/>
      <c r="Q364" s="1397"/>
      <c r="R364" s="1397"/>
      <c r="S364" s="1397"/>
      <c r="T364" s="1397"/>
      <c r="U364" s="1397"/>
      <c r="V364" s="1397"/>
      <c r="W364" s="1397"/>
      <c r="X364" s="1397"/>
      <c r="Y364" s="1397"/>
      <c r="Z364" s="1397"/>
      <c r="AA364" s="1397"/>
      <c r="AB364" s="1397"/>
      <c r="AC364" s="1397"/>
      <c r="AD364" s="1397"/>
      <c r="AE364" s="1397"/>
      <c r="AF364" s="1397"/>
      <c r="AG364" s="1397"/>
      <c r="AH364" s="1397"/>
      <c r="AI364" s="1397"/>
      <c r="AJ364" s="1397"/>
      <c r="AK364" s="599"/>
      <c r="AL364" s="599"/>
      <c r="AM364" s="599"/>
      <c r="AN364" s="593"/>
      <c r="AR364" s="566"/>
    </row>
    <row r="365" spans="1:44" s="547" customFormat="1" ht="12.75" customHeight="1">
      <c r="A365" s="599"/>
      <c r="B365" s="607"/>
      <c r="C365" s="1397"/>
      <c r="D365" s="1397"/>
      <c r="E365" s="1397"/>
      <c r="F365" s="1397"/>
      <c r="G365" s="1397"/>
      <c r="H365" s="1397"/>
      <c r="I365" s="1397"/>
      <c r="J365" s="1397"/>
      <c r="K365" s="1397"/>
      <c r="L365" s="1397"/>
      <c r="M365" s="1397"/>
      <c r="N365" s="1397"/>
      <c r="O365" s="1397"/>
      <c r="P365" s="1397"/>
      <c r="Q365" s="1397"/>
      <c r="R365" s="1397"/>
      <c r="S365" s="1397"/>
      <c r="T365" s="1397"/>
      <c r="U365" s="1397"/>
      <c r="V365" s="1397"/>
      <c r="W365" s="1397"/>
      <c r="X365" s="1397"/>
      <c r="Y365" s="1397"/>
      <c r="Z365" s="1397"/>
      <c r="AA365" s="1397"/>
      <c r="AB365" s="1397"/>
      <c r="AC365" s="1397"/>
      <c r="AD365" s="1397"/>
      <c r="AE365" s="1397"/>
      <c r="AF365" s="1397"/>
      <c r="AG365" s="1397"/>
      <c r="AH365" s="1397"/>
      <c r="AI365" s="1397"/>
      <c r="AJ365" s="1397"/>
      <c r="AK365" s="599"/>
      <c r="AL365" s="599"/>
      <c r="AM365" s="599"/>
      <c r="AN365" s="593"/>
      <c r="AR365" s="566"/>
    </row>
    <row r="366" spans="1:44" s="547" customFormat="1" ht="12.75" customHeight="1">
      <c r="A366" s="599"/>
      <c r="B366" s="607"/>
      <c r="C366" s="1397" t="s">
        <v>1443</v>
      </c>
      <c r="D366" s="1397"/>
      <c r="E366" s="1397"/>
      <c r="F366" s="1397"/>
      <c r="G366" s="1397"/>
      <c r="H366" s="1397"/>
      <c r="I366" s="1397"/>
      <c r="J366" s="1397"/>
      <c r="K366" s="1397"/>
      <c r="L366" s="1397"/>
      <c r="M366" s="1397"/>
      <c r="N366" s="1397"/>
      <c r="O366" s="1397"/>
      <c r="P366" s="1397"/>
      <c r="Q366" s="1397"/>
      <c r="R366" s="1397"/>
      <c r="S366" s="1397"/>
      <c r="T366" s="1397"/>
      <c r="U366" s="1397"/>
      <c r="V366" s="1397"/>
      <c r="W366" s="1397"/>
      <c r="X366" s="1397"/>
      <c r="Y366" s="1397"/>
      <c r="Z366" s="1397"/>
      <c r="AA366" s="1397"/>
      <c r="AB366" s="1397"/>
      <c r="AC366" s="1397"/>
      <c r="AD366" s="1397"/>
      <c r="AE366" s="1397"/>
      <c r="AF366" s="1397"/>
      <c r="AG366" s="1397"/>
      <c r="AH366" s="1397"/>
      <c r="AI366" s="1397"/>
      <c r="AJ366" s="1397"/>
      <c r="AK366" s="599"/>
      <c r="AL366" s="599"/>
      <c r="AM366" s="599"/>
      <c r="AN366" s="593"/>
      <c r="AQ366" s="566"/>
      <c r="AR366" s="566"/>
    </row>
    <row r="367" spans="1:44" s="547" customFormat="1" ht="12.75" customHeight="1">
      <c r="A367" s="599"/>
      <c r="B367" s="607"/>
      <c r="C367" s="1397"/>
      <c r="D367" s="1397"/>
      <c r="E367" s="1397"/>
      <c r="F367" s="1397"/>
      <c r="G367" s="1397"/>
      <c r="H367" s="1397"/>
      <c r="I367" s="1397"/>
      <c r="J367" s="1397"/>
      <c r="K367" s="1397"/>
      <c r="L367" s="1397"/>
      <c r="M367" s="1397"/>
      <c r="N367" s="1397"/>
      <c r="O367" s="1397"/>
      <c r="P367" s="1397"/>
      <c r="Q367" s="1397"/>
      <c r="R367" s="1397"/>
      <c r="S367" s="1397"/>
      <c r="T367" s="1397"/>
      <c r="U367" s="1397"/>
      <c r="V367" s="1397"/>
      <c r="W367" s="1397"/>
      <c r="X367" s="1397"/>
      <c r="Y367" s="1397"/>
      <c r="Z367" s="1397"/>
      <c r="AA367" s="1397"/>
      <c r="AB367" s="1397"/>
      <c r="AC367" s="1397"/>
      <c r="AD367" s="1397"/>
      <c r="AE367" s="1397"/>
      <c r="AF367" s="1397"/>
      <c r="AG367" s="1397"/>
      <c r="AH367" s="1397"/>
      <c r="AI367" s="1397"/>
      <c r="AJ367" s="1397"/>
      <c r="AK367" s="599"/>
      <c r="AL367" s="599"/>
      <c r="AM367" s="599"/>
      <c r="AN367" s="593"/>
      <c r="AQ367" s="566"/>
      <c r="AR367" s="566"/>
    </row>
    <row r="368" spans="1:44" s="547" customFormat="1" ht="13.35" customHeight="1">
      <c r="A368" s="599"/>
      <c r="B368" s="607"/>
      <c r="C368" s="1397"/>
      <c r="D368" s="1397"/>
      <c r="E368" s="1397"/>
      <c r="F368" s="1397"/>
      <c r="G368" s="1397"/>
      <c r="H368" s="1397"/>
      <c r="I368" s="1397"/>
      <c r="J368" s="1397"/>
      <c r="K368" s="1397"/>
      <c r="L368" s="1397"/>
      <c r="M368" s="1397"/>
      <c r="N368" s="1397"/>
      <c r="O368" s="1397"/>
      <c r="P368" s="1397"/>
      <c r="Q368" s="1397"/>
      <c r="R368" s="1397"/>
      <c r="S368" s="1397"/>
      <c r="T368" s="1397"/>
      <c r="U368" s="1397"/>
      <c r="V368" s="1397"/>
      <c r="W368" s="1397"/>
      <c r="X368" s="1397"/>
      <c r="Y368" s="1397"/>
      <c r="Z368" s="1397"/>
      <c r="AA368" s="1397"/>
      <c r="AB368" s="1397"/>
      <c r="AC368" s="1397"/>
      <c r="AD368" s="1397"/>
      <c r="AE368" s="1397"/>
      <c r="AF368" s="1397"/>
      <c r="AG368" s="1397"/>
      <c r="AH368" s="1397"/>
      <c r="AI368" s="1397"/>
      <c r="AJ368" s="1397"/>
      <c r="AK368" s="599"/>
      <c r="AL368" s="599"/>
      <c r="AM368" s="599"/>
      <c r="AN368" s="593"/>
      <c r="AQ368" s="566"/>
      <c r="AR368" s="566"/>
    </row>
    <row r="369" spans="1:46" s="547" customFormat="1" ht="12.75" customHeight="1">
      <c r="A369" s="599"/>
      <c r="B369" s="607"/>
      <c r="C369" s="1397"/>
      <c r="D369" s="1397"/>
      <c r="E369" s="1397"/>
      <c r="F369" s="1397"/>
      <c r="G369" s="1397"/>
      <c r="H369" s="1397"/>
      <c r="I369" s="1397"/>
      <c r="J369" s="1397"/>
      <c r="K369" s="1397"/>
      <c r="L369" s="1397"/>
      <c r="M369" s="1397"/>
      <c r="N369" s="1397"/>
      <c r="O369" s="1397"/>
      <c r="P369" s="1397"/>
      <c r="Q369" s="1397"/>
      <c r="R369" s="1397"/>
      <c r="S369" s="1397"/>
      <c r="T369" s="1397"/>
      <c r="U369" s="1397"/>
      <c r="V369" s="1397"/>
      <c r="W369" s="1397"/>
      <c r="X369" s="1397"/>
      <c r="Y369" s="1397"/>
      <c r="Z369" s="1397"/>
      <c r="AA369" s="1397"/>
      <c r="AB369" s="1397"/>
      <c r="AC369" s="1397"/>
      <c r="AD369" s="1397"/>
      <c r="AE369" s="1397"/>
      <c r="AF369" s="1397"/>
      <c r="AG369" s="1397"/>
      <c r="AH369" s="1397"/>
      <c r="AI369" s="1397"/>
      <c r="AJ369" s="1397"/>
      <c r="AK369" s="599"/>
      <c r="AL369" s="599"/>
      <c r="AM369" s="599"/>
      <c r="AN369" s="593"/>
      <c r="AO369" s="688"/>
      <c r="AP369" s="688"/>
      <c r="AQ369" s="566"/>
    </row>
    <row r="370" spans="1:46" s="547" customFormat="1" ht="11.85" customHeight="1">
      <c r="A370" s="599"/>
      <c r="B370" s="607"/>
      <c r="C370" s="1397"/>
      <c r="D370" s="1397"/>
      <c r="E370" s="1397"/>
      <c r="F370" s="1397"/>
      <c r="G370" s="1397"/>
      <c r="H370" s="1397"/>
      <c r="I370" s="1397"/>
      <c r="J370" s="1397"/>
      <c r="K370" s="1397"/>
      <c r="L370" s="1397"/>
      <c r="M370" s="1397"/>
      <c r="N370" s="1397"/>
      <c r="O370" s="1397"/>
      <c r="P370" s="1397"/>
      <c r="Q370" s="1397"/>
      <c r="R370" s="1397"/>
      <c r="S370" s="1397"/>
      <c r="T370" s="1397"/>
      <c r="U370" s="1397"/>
      <c r="V370" s="1397"/>
      <c r="W370" s="1397"/>
      <c r="X370" s="1397"/>
      <c r="Y370" s="1397"/>
      <c r="Z370" s="1397"/>
      <c r="AA370" s="1397"/>
      <c r="AB370" s="1397"/>
      <c r="AC370" s="1397"/>
      <c r="AD370" s="1397"/>
      <c r="AE370" s="1397"/>
      <c r="AF370" s="1397"/>
      <c r="AG370" s="1397"/>
      <c r="AH370" s="1397"/>
      <c r="AI370" s="1397"/>
      <c r="AJ370" s="1397"/>
      <c r="AK370" s="599"/>
      <c r="AL370" s="599"/>
      <c r="AM370" s="599"/>
      <c r="AN370" s="593"/>
      <c r="AO370" s="689" t="s">
        <v>112</v>
      </c>
      <c r="AP370" s="690">
        <f>IF(C394="Yes",5,0)</f>
        <v>0</v>
      </c>
      <c r="AS370" s="537" t="s">
        <v>1444</v>
      </c>
    </row>
    <row r="371" spans="1:46" s="547" customFormat="1" ht="12.75" customHeight="1">
      <c r="A371" s="599"/>
      <c r="B371" s="607"/>
      <c r="C371" s="1397"/>
      <c r="D371" s="1397"/>
      <c r="E371" s="1397"/>
      <c r="F371" s="1397"/>
      <c r="G371" s="1397"/>
      <c r="H371" s="1397"/>
      <c r="I371" s="1397"/>
      <c r="J371" s="1397"/>
      <c r="K371" s="1397"/>
      <c r="L371" s="1397"/>
      <c r="M371" s="1397"/>
      <c r="N371" s="1397"/>
      <c r="O371" s="1397"/>
      <c r="P371" s="1397"/>
      <c r="Q371" s="1397"/>
      <c r="R371" s="1397"/>
      <c r="S371" s="1397"/>
      <c r="T371" s="1397"/>
      <c r="U371" s="1397"/>
      <c r="V371" s="1397"/>
      <c r="W371" s="1397"/>
      <c r="X371" s="1397"/>
      <c r="Y371" s="1397"/>
      <c r="Z371" s="1397"/>
      <c r="AA371" s="1397"/>
      <c r="AB371" s="1397"/>
      <c r="AC371" s="1397"/>
      <c r="AD371" s="1397"/>
      <c r="AE371" s="1397"/>
      <c r="AF371" s="1397"/>
      <c r="AG371" s="1397"/>
      <c r="AH371" s="1397"/>
      <c r="AI371" s="1397"/>
      <c r="AJ371" s="1397"/>
      <c r="AK371" s="599"/>
      <c r="AL371" s="599"/>
      <c r="AM371" s="599"/>
      <c r="AN371" s="593"/>
      <c r="AO371" s="689" t="s">
        <v>113</v>
      </c>
      <c r="AP371" s="690">
        <f>IF(C402="Yes",5,0)</f>
        <v>0</v>
      </c>
      <c r="AS371" s="1427">
        <f>IF(Application!D211="Non-Targeted",(SUM(AQ379+AQ388)),AS375)</f>
        <v>10</v>
      </c>
      <c r="AT371" s="1427"/>
    </row>
    <row r="372" spans="1:46" s="547" customFormat="1" ht="12.75" customHeight="1">
      <c r="A372" s="599"/>
      <c r="B372" s="607"/>
      <c r="C372" s="1397"/>
      <c r="D372" s="1397"/>
      <c r="E372" s="1397"/>
      <c r="F372" s="1397"/>
      <c r="G372" s="1397"/>
      <c r="H372" s="1397"/>
      <c r="I372" s="1397"/>
      <c r="J372" s="1397"/>
      <c r="K372" s="1397"/>
      <c r="L372" s="1397"/>
      <c r="M372" s="1397"/>
      <c r="N372" s="1397"/>
      <c r="O372" s="1397"/>
      <c r="P372" s="1397"/>
      <c r="Q372" s="1397"/>
      <c r="R372" s="1397"/>
      <c r="S372" s="1397"/>
      <c r="T372" s="1397"/>
      <c r="U372" s="1397"/>
      <c r="V372" s="1397"/>
      <c r="W372" s="1397"/>
      <c r="X372" s="1397"/>
      <c r="Y372" s="1397"/>
      <c r="Z372" s="1397"/>
      <c r="AA372" s="1397"/>
      <c r="AB372" s="1397"/>
      <c r="AC372" s="1397"/>
      <c r="AD372" s="1397"/>
      <c r="AE372" s="1397"/>
      <c r="AF372" s="1397"/>
      <c r="AG372" s="1397"/>
      <c r="AH372" s="1397"/>
      <c r="AI372" s="1397"/>
      <c r="AJ372" s="1397"/>
      <c r="AK372" s="599"/>
      <c r="AL372" s="599"/>
      <c r="AM372" s="599"/>
      <c r="AN372" s="593"/>
      <c r="AO372" s="689" t="s">
        <v>119</v>
      </c>
      <c r="AP372" s="690">
        <f>IF(C410="Yes",7,0)</f>
        <v>0</v>
      </c>
      <c r="AS372" s="537" t="s">
        <v>1445</v>
      </c>
    </row>
    <row r="373" spans="1:46" s="547" customFormat="1" ht="12.75" customHeight="1">
      <c r="B373" s="607"/>
      <c r="C373" s="1397"/>
      <c r="D373" s="1397"/>
      <c r="E373" s="1397"/>
      <c r="F373" s="1397"/>
      <c r="G373" s="1397"/>
      <c r="H373" s="1397"/>
      <c r="I373" s="1397"/>
      <c r="J373" s="1397"/>
      <c r="K373" s="1397"/>
      <c r="L373" s="1397"/>
      <c r="M373" s="1397"/>
      <c r="N373" s="1397"/>
      <c r="O373" s="1397"/>
      <c r="P373" s="1397"/>
      <c r="Q373" s="1397"/>
      <c r="R373" s="1397"/>
      <c r="S373" s="1397"/>
      <c r="T373" s="1397"/>
      <c r="U373" s="1397"/>
      <c r="V373" s="1397"/>
      <c r="W373" s="1397"/>
      <c r="X373" s="1397"/>
      <c r="Y373" s="1397"/>
      <c r="Z373" s="1397"/>
      <c r="AA373" s="1397"/>
      <c r="AB373" s="1397"/>
      <c r="AC373" s="1397"/>
      <c r="AD373" s="1397"/>
      <c r="AE373" s="1397"/>
      <c r="AF373" s="1397"/>
      <c r="AG373" s="1397"/>
      <c r="AH373" s="1397"/>
      <c r="AI373" s="1397"/>
      <c r="AJ373" s="1397"/>
      <c r="AK373" s="599"/>
      <c r="AL373" s="599"/>
      <c r="AM373" s="599"/>
      <c r="AN373" s="593"/>
      <c r="AO373" s="593"/>
      <c r="AP373" s="690">
        <f>IF(C412="Yes",5,0)</f>
        <v>5</v>
      </c>
      <c r="AS373" s="1427">
        <f>IF(AND(AQ379&gt;0,AQ388&gt;0),(AQ379+AQ388)/2,0)</f>
        <v>0</v>
      </c>
      <c r="AT373" s="1427"/>
    </row>
    <row r="374" spans="1:46" s="547" customFormat="1" ht="12.75" customHeight="1">
      <c r="A374" s="599"/>
      <c r="B374" s="607"/>
      <c r="C374" s="1397"/>
      <c r="D374" s="1397"/>
      <c r="E374" s="1397"/>
      <c r="F374" s="1397"/>
      <c r="G374" s="1397"/>
      <c r="H374" s="1397"/>
      <c r="I374" s="1397"/>
      <c r="J374" s="1397"/>
      <c r="K374" s="1397"/>
      <c r="L374" s="1397"/>
      <c r="M374" s="1397"/>
      <c r="N374" s="1397"/>
      <c r="O374" s="1397"/>
      <c r="P374" s="1397"/>
      <c r="Q374" s="1397"/>
      <c r="R374" s="1397"/>
      <c r="S374" s="1397"/>
      <c r="T374" s="1397"/>
      <c r="U374" s="1397"/>
      <c r="V374" s="1397"/>
      <c r="W374" s="1397"/>
      <c r="X374" s="1397"/>
      <c r="Y374" s="1397"/>
      <c r="Z374" s="1397"/>
      <c r="AA374" s="1397"/>
      <c r="AB374" s="1397"/>
      <c r="AC374" s="1397"/>
      <c r="AD374" s="1397"/>
      <c r="AE374" s="1397"/>
      <c r="AF374" s="1397"/>
      <c r="AG374" s="1397"/>
      <c r="AH374" s="1397"/>
      <c r="AI374" s="1397"/>
      <c r="AJ374" s="1397"/>
      <c r="AK374" s="599"/>
      <c r="AL374" s="599"/>
      <c r="AM374" s="599"/>
      <c r="AN374" s="593"/>
      <c r="AO374" s="689" t="s">
        <v>580</v>
      </c>
      <c r="AP374" s="690">
        <f>IF(C420="Yes",5,0)</f>
        <v>0</v>
      </c>
      <c r="AS374" s="537" t="s">
        <v>1849</v>
      </c>
    </row>
    <row r="375" spans="1:46" s="547" customFormat="1" ht="12.75" customHeight="1">
      <c r="A375" s="599"/>
      <c r="B375" s="607"/>
      <c r="C375" s="1428" t="s">
        <v>2182</v>
      </c>
      <c r="D375" s="1428"/>
      <c r="E375" s="1428"/>
      <c r="F375" s="1428"/>
      <c r="G375" s="1428"/>
      <c r="H375" s="1428"/>
      <c r="I375" s="1428"/>
      <c r="J375" s="1428"/>
      <c r="K375" s="1428"/>
      <c r="L375" s="1428"/>
      <c r="M375" s="1428"/>
      <c r="N375" s="1428"/>
      <c r="O375" s="1428"/>
      <c r="P375" s="1428"/>
      <c r="Q375" s="1428"/>
      <c r="R375" s="1428"/>
      <c r="S375" s="1428"/>
      <c r="T375" s="1428"/>
      <c r="U375" s="1428"/>
      <c r="V375" s="1428"/>
      <c r="W375" s="1428"/>
      <c r="X375" s="1428"/>
      <c r="Y375" s="1428"/>
      <c r="Z375" s="1428"/>
      <c r="AA375" s="1428"/>
      <c r="AB375" s="1428"/>
      <c r="AC375" s="1428"/>
      <c r="AD375" s="1428"/>
      <c r="AE375" s="1428"/>
      <c r="AF375" s="1428"/>
      <c r="AG375" s="1428"/>
      <c r="AH375" s="1428"/>
      <c r="AI375" s="1428"/>
      <c r="AJ375" s="1428"/>
      <c r="AK375" s="599"/>
      <c r="AL375" s="599"/>
      <c r="AM375" s="599"/>
      <c r="AN375" s="593"/>
      <c r="AO375" s="593"/>
      <c r="AP375" s="690">
        <f>IF(C422="Yes",3,0)</f>
        <v>0</v>
      </c>
      <c r="AS375" s="1427">
        <f>IF(AQ379=0,AQ388,AQ379)</f>
        <v>10</v>
      </c>
      <c r="AT375" s="1427"/>
    </row>
    <row r="376" spans="1:46" s="547" customFormat="1" ht="12.75" customHeight="1">
      <c r="A376" s="599"/>
      <c r="B376" s="607"/>
      <c r="C376" s="1428"/>
      <c r="D376" s="1428"/>
      <c r="E376" s="1428"/>
      <c r="F376" s="1428"/>
      <c r="G376" s="1428"/>
      <c r="H376" s="1428"/>
      <c r="I376" s="1428"/>
      <c r="J376" s="1428"/>
      <c r="K376" s="1428"/>
      <c r="L376" s="1428"/>
      <c r="M376" s="1428"/>
      <c r="N376" s="1428"/>
      <c r="O376" s="1428"/>
      <c r="P376" s="1428"/>
      <c r="Q376" s="1428"/>
      <c r="R376" s="1428"/>
      <c r="S376" s="1428"/>
      <c r="T376" s="1428"/>
      <c r="U376" s="1428"/>
      <c r="V376" s="1428"/>
      <c r="W376" s="1428"/>
      <c r="X376" s="1428"/>
      <c r="Y376" s="1428"/>
      <c r="Z376" s="1428"/>
      <c r="AA376" s="1428"/>
      <c r="AB376" s="1428"/>
      <c r="AC376" s="1428"/>
      <c r="AD376" s="1428"/>
      <c r="AE376" s="1428"/>
      <c r="AF376" s="1428"/>
      <c r="AG376" s="1428"/>
      <c r="AH376" s="1428"/>
      <c r="AI376" s="1428"/>
      <c r="AJ376" s="1428"/>
      <c r="AK376" s="599"/>
      <c r="AL376" s="599"/>
      <c r="AM376" s="599"/>
      <c r="AN376" s="593"/>
      <c r="AO376" s="689" t="s">
        <v>762</v>
      </c>
      <c r="AP376" s="690">
        <f>IF(C425="Yes",5,0)</f>
        <v>0</v>
      </c>
    </row>
    <row r="377" spans="1:46" s="547" customFormat="1" ht="12.75" customHeight="1">
      <c r="A377" s="599"/>
      <c r="B377" s="607"/>
      <c r="C377" s="1428"/>
      <c r="D377" s="1428"/>
      <c r="E377" s="1428"/>
      <c r="F377" s="1428"/>
      <c r="G377" s="1428"/>
      <c r="H377" s="1428"/>
      <c r="I377" s="1428"/>
      <c r="J377" s="1428"/>
      <c r="K377" s="1428"/>
      <c r="L377" s="1428"/>
      <c r="M377" s="1428"/>
      <c r="N377" s="1428"/>
      <c r="O377" s="1428"/>
      <c r="P377" s="1428"/>
      <c r="Q377" s="1428"/>
      <c r="R377" s="1428"/>
      <c r="S377" s="1428"/>
      <c r="T377" s="1428"/>
      <c r="U377" s="1428"/>
      <c r="V377" s="1428"/>
      <c r="W377" s="1428"/>
      <c r="X377" s="1428"/>
      <c r="Y377" s="1428"/>
      <c r="Z377" s="1428"/>
      <c r="AA377" s="1428"/>
      <c r="AB377" s="1428"/>
      <c r="AC377" s="1428"/>
      <c r="AD377" s="1428"/>
      <c r="AE377" s="1428"/>
      <c r="AF377" s="1428"/>
      <c r="AG377" s="1428"/>
      <c r="AH377" s="1428"/>
      <c r="AI377" s="1428"/>
      <c r="AJ377" s="1428"/>
      <c r="AK377" s="599"/>
      <c r="AL377" s="599"/>
      <c r="AM377" s="599"/>
      <c r="AN377" s="593"/>
      <c r="AO377" s="689" t="s">
        <v>583</v>
      </c>
      <c r="AP377" s="690">
        <f>IF(C434="Yes",5,0)</f>
        <v>5</v>
      </c>
    </row>
    <row r="378" spans="1:46" s="547" customFormat="1" ht="11.85" customHeight="1">
      <c r="A378" s="599"/>
      <c r="B378" s="607"/>
      <c r="C378" s="1428"/>
      <c r="D378" s="1428"/>
      <c r="E378" s="1428"/>
      <c r="F378" s="1428"/>
      <c r="G378" s="1428"/>
      <c r="H378" s="1428"/>
      <c r="I378" s="1428"/>
      <c r="J378" s="1428"/>
      <c r="K378" s="1428"/>
      <c r="L378" s="1428"/>
      <c r="M378" s="1428"/>
      <c r="N378" s="1428"/>
      <c r="O378" s="1428"/>
      <c r="P378" s="1428"/>
      <c r="Q378" s="1428"/>
      <c r="R378" s="1428"/>
      <c r="S378" s="1428"/>
      <c r="T378" s="1428"/>
      <c r="U378" s="1428"/>
      <c r="V378" s="1428"/>
      <c r="W378" s="1428"/>
      <c r="X378" s="1428"/>
      <c r="Y378" s="1428"/>
      <c r="Z378" s="1428"/>
      <c r="AA378" s="1428"/>
      <c r="AB378" s="1428"/>
      <c r="AC378" s="1428"/>
      <c r="AD378" s="1428"/>
      <c r="AE378" s="1428"/>
      <c r="AF378" s="1428"/>
      <c r="AG378" s="1428"/>
      <c r="AH378" s="1428"/>
      <c r="AI378" s="1428"/>
      <c r="AJ378" s="1428"/>
      <c r="AK378" s="599"/>
      <c r="AL378" s="599"/>
      <c r="AM378" s="599"/>
      <c r="AN378" s="593"/>
      <c r="AO378" s="691"/>
      <c r="AP378" s="692">
        <f>IF(C436="Yes",3,0)</f>
        <v>0</v>
      </c>
    </row>
    <row r="379" spans="1:46" s="547" customFormat="1" ht="12.6" customHeight="1">
      <c r="A379" s="599"/>
      <c r="B379" s="607"/>
      <c r="C379" s="1428"/>
      <c r="D379" s="1428"/>
      <c r="E379" s="1428"/>
      <c r="F379" s="1428"/>
      <c r="G379" s="1428"/>
      <c r="H379" s="1428"/>
      <c r="I379" s="1428"/>
      <c r="J379" s="1428"/>
      <c r="K379" s="1428"/>
      <c r="L379" s="1428"/>
      <c r="M379" s="1428"/>
      <c r="N379" s="1428"/>
      <c r="O379" s="1428"/>
      <c r="P379" s="1428"/>
      <c r="Q379" s="1428"/>
      <c r="R379" s="1428"/>
      <c r="S379" s="1428"/>
      <c r="T379" s="1428"/>
      <c r="U379" s="1428"/>
      <c r="V379" s="1428"/>
      <c r="W379" s="1428"/>
      <c r="X379" s="1428"/>
      <c r="Y379" s="1428"/>
      <c r="Z379" s="1428"/>
      <c r="AA379" s="1428"/>
      <c r="AB379" s="1428"/>
      <c r="AC379" s="1428"/>
      <c r="AD379" s="1428"/>
      <c r="AE379" s="1428"/>
      <c r="AF379" s="1428"/>
      <c r="AG379" s="1428"/>
      <c r="AH379" s="1428"/>
      <c r="AI379" s="1428"/>
      <c r="AJ379" s="1428"/>
      <c r="AK379" s="599"/>
      <c r="AL379" s="599"/>
      <c r="AM379" s="599"/>
      <c r="AN379" s="593"/>
      <c r="AO379" s="693" t="s">
        <v>226</v>
      </c>
      <c r="AP379" s="694">
        <f>SUM(AP370:AP378)</f>
        <v>10</v>
      </c>
      <c r="AQ379" s="1429">
        <f>IF(AP379&gt;0,AP379,0)</f>
        <v>10</v>
      </c>
      <c r="AR379" s="1429"/>
    </row>
    <row r="380" spans="1:46" s="547" customFormat="1" ht="12.75" customHeight="1">
      <c r="A380" s="599"/>
      <c r="B380" s="607"/>
      <c r="C380" s="1428"/>
      <c r="D380" s="1428"/>
      <c r="E380" s="1428"/>
      <c r="F380" s="1428"/>
      <c r="G380" s="1428"/>
      <c r="H380" s="1428"/>
      <c r="I380" s="1428"/>
      <c r="J380" s="1428"/>
      <c r="K380" s="1428"/>
      <c r="L380" s="1428"/>
      <c r="M380" s="1428"/>
      <c r="N380" s="1428"/>
      <c r="O380" s="1428"/>
      <c r="P380" s="1428"/>
      <c r="Q380" s="1428"/>
      <c r="R380" s="1428"/>
      <c r="S380" s="1428"/>
      <c r="T380" s="1428"/>
      <c r="U380" s="1428"/>
      <c r="V380" s="1428"/>
      <c r="W380" s="1428"/>
      <c r="X380" s="1428"/>
      <c r="Y380" s="1428"/>
      <c r="Z380" s="1428"/>
      <c r="AA380" s="1428"/>
      <c r="AB380" s="1428"/>
      <c r="AC380" s="1428"/>
      <c r="AD380" s="1428"/>
      <c r="AE380" s="1428"/>
      <c r="AF380" s="1428"/>
      <c r="AG380" s="1428"/>
      <c r="AH380" s="1428"/>
      <c r="AI380" s="1428"/>
      <c r="AJ380" s="1428"/>
      <c r="AK380" s="599"/>
      <c r="AL380" s="599"/>
      <c r="AM380" s="599"/>
      <c r="AN380" s="593"/>
      <c r="AP380" s="566"/>
    </row>
    <row r="381" spans="1:46" s="547" customFormat="1" ht="12.75" customHeight="1">
      <c r="A381" s="599"/>
      <c r="B381" s="607"/>
      <c r="C381" s="686"/>
      <c r="D381" s="686"/>
      <c r="E381" s="686"/>
      <c r="F381" s="686"/>
      <c r="G381" s="686"/>
      <c r="H381" s="686"/>
      <c r="I381" s="686"/>
      <c r="J381" s="686"/>
      <c r="K381" s="686"/>
      <c r="L381" s="686"/>
      <c r="M381" s="686"/>
      <c r="N381" s="686"/>
      <c r="O381" s="686"/>
      <c r="P381" s="686"/>
      <c r="Q381" s="686"/>
      <c r="R381" s="686"/>
      <c r="S381" s="686"/>
      <c r="T381" s="686"/>
      <c r="U381" s="686"/>
      <c r="V381" s="686"/>
      <c r="W381" s="686"/>
      <c r="X381" s="686"/>
      <c r="Y381" s="686"/>
      <c r="Z381" s="686"/>
      <c r="AA381" s="686"/>
      <c r="AB381" s="686"/>
      <c r="AC381" s="686"/>
      <c r="AD381" s="686"/>
      <c r="AE381" s="686"/>
      <c r="AF381" s="686"/>
      <c r="AG381" s="686"/>
      <c r="AH381" s="686"/>
      <c r="AI381" s="686"/>
      <c r="AJ381" s="686"/>
      <c r="AK381" s="599"/>
      <c r="AL381" s="599"/>
      <c r="AM381" s="599"/>
      <c r="AN381" s="593"/>
      <c r="AO381" s="689" t="s">
        <v>454</v>
      </c>
      <c r="AP381" s="690">
        <f>IF(C443="Yes",5,0)</f>
        <v>0</v>
      </c>
    </row>
    <row r="382" spans="1:46" s="547" customFormat="1" ht="12.75" customHeight="1">
      <c r="A382" s="599"/>
      <c r="B382" s="607"/>
      <c r="C382" s="1397" t="s">
        <v>1446</v>
      </c>
      <c r="D382" s="1397"/>
      <c r="E382" s="1397"/>
      <c r="F382" s="1397"/>
      <c r="G382" s="1397"/>
      <c r="H382" s="1397"/>
      <c r="I382" s="1397"/>
      <c r="J382" s="1397"/>
      <c r="K382" s="1397"/>
      <c r="L382" s="1397"/>
      <c r="M382" s="1397"/>
      <c r="N382" s="1397"/>
      <c r="O382" s="1397"/>
      <c r="P382" s="1397"/>
      <c r="Q382" s="1397"/>
      <c r="R382" s="1397"/>
      <c r="S382" s="1397"/>
      <c r="T382" s="1397"/>
      <c r="U382" s="1397"/>
      <c r="V382" s="1397"/>
      <c r="W382" s="1397"/>
      <c r="X382" s="1397"/>
      <c r="Y382" s="1397"/>
      <c r="Z382" s="1397"/>
      <c r="AA382" s="1397"/>
      <c r="AB382" s="1397"/>
      <c r="AC382" s="1397"/>
      <c r="AD382" s="1397"/>
      <c r="AE382" s="1397"/>
      <c r="AF382" s="1397"/>
      <c r="AG382" s="1397"/>
      <c r="AH382" s="1397"/>
      <c r="AI382" s="1397"/>
      <c r="AJ382" s="1397"/>
      <c r="AK382" s="599"/>
      <c r="AL382" s="599"/>
      <c r="AM382" s="599"/>
      <c r="AN382" s="593"/>
      <c r="AO382" s="689" t="s">
        <v>455</v>
      </c>
      <c r="AP382" s="690">
        <f>IF(C455="Yes",5,0)</f>
        <v>0</v>
      </c>
    </row>
    <row r="383" spans="1:46" s="547" customFormat="1" ht="12.75" customHeight="1">
      <c r="A383" s="599"/>
      <c r="B383" s="607"/>
      <c r="C383" s="1397"/>
      <c r="D383" s="1397"/>
      <c r="E383" s="1397"/>
      <c r="F383" s="1397"/>
      <c r="G383" s="1397"/>
      <c r="H383" s="1397"/>
      <c r="I383" s="1397"/>
      <c r="J383" s="1397"/>
      <c r="K383" s="1397"/>
      <c r="L383" s="1397"/>
      <c r="M383" s="1397"/>
      <c r="N383" s="1397"/>
      <c r="O383" s="1397"/>
      <c r="P383" s="1397"/>
      <c r="Q383" s="1397"/>
      <c r="R383" s="1397"/>
      <c r="S383" s="1397"/>
      <c r="T383" s="1397"/>
      <c r="U383" s="1397"/>
      <c r="V383" s="1397"/>
      <c r="W383" s="1397"/>
      <c r="X383" s="1397"/>
      <c r="Y383" s="1397"/>
      <c r="Z383" s="1397"/>
      <c r="AA383" s="1397"/>
      <c r="AB383" s="1397"/>
      <c r="AC383" s="1397"/>
      <c r="AD383" s="1397"/>
      <c r="AE383" s="1397"/>
      <c r="AF383" s="1397"/>
      <c r="AG383" s="1397"/>
      <c r="AH383" s="1397"/>
      <c r="AI383" s="1397"/>
      <c r="AJ383" s="1397"/>
      <c r="AK383" s="599"/>
      <c r="AL383" s="599"/>
      <c r="AM383" s="599"/>
      <c r="AN383" s="593"/>
      <c r="AO383" s="689" t="s">
        <v>460</v>
      </c>
      <c r="AP383" s="690">
        <f>IF(C462="Yes",5,0)</f>
        <v>0</v>
      </c>
    </row>
    <row r="384" spans="1:46" s="547" customFormat="1" ht="68.099999999999994" customHeight="1">
      <c r="A384" s="599"/>
      <c r="B384" s="607"/>
      <c r="C384" s="1397"/>
      <c r="D384" s="1397"/>
      <c r="E384" s="1397"/>
      <c r="F384" s="1397"/>
      <c r="G384" s="1397"/>
      <c r="H384" s="1397"/>
      <c r="I384" s="1397"/>
      <c r="J384" s="1397"/>
      <c r="K384" s="1397"/>
      <c r="L384" s="1397"/>
      <c r="M384" s="1397"/>
      <c r="N384" s="1397"/>
      <c r="O384" s="1397"/>
      <c r="P384" s="1397"/>
      <c r="Q384" s="1397"/>
      <c r="R384" s="1397"/>
      <c r="S384" s="1397"/>
      <c r="T384" s="1397"/>
      <c r="U384" s="1397"/>
      <c r="V384" s="1397"/>
      <c r="W384" s="1397"/>
      <c r="X384" s="1397"/>
      <c r="Y384" s="1397"/>
      <c r="Z384" s="1397"/>
      <c r="AA384" s="1397"/>
      <c r="AB384" s="1397"/>
      <c r="AC384" s="1397"/>
      <c r="AD384" s="1397"/>
      <c r="AE384" s="1397"/>
      <c r="AF384" s="1397"/>
      <c r="AG384" s="1397"/>
      <c r="AH384" s="1397"/>
      <c r="AI384" s="1397"/>
      <c r="AJ384" s="1397"/>
      <c r="AK384" s="599"/>
      <c r="AL384" s="599"/>
      <c r="AM384" s="599"/>
      <c r="AN384" s="593"/>
      <c r="AO384" s="689" t="s">
        <v>645</v>
      </c>
      <c r="AP384" s="695">
        <f>IF(C466="Yes",5,0)</f>
        <v>0</v>
      </c>
    </row>
    <row r="385" spans="1:81" s="547" customFormat="1" ht="12.6" customHeight="1">
      <c r="B385" s="607"/>
      <c r="C385" s="547" t="s">
        <v>1447</v>
      </c>
      <c r="AF385" s="599"/>
      <c r="AG385" s="599"/>
      <c r="AH385" s="599"/>
      <c r="AI385" s="599"/>
      <c r="AJ385" s="599"/>
      <c r="AK385" s="599"/>
      <c r="AL385" s="599"/>
      <c r="AM385" s="599"/>
      <c r="AN385" s="593"/>
      <c r="AO385" s="689" t="s">
        <v>361</v>
      </c>
      <c r="AP385" s="690">
        <f>IF(C470="Yes",5,0)</f>
        <v>0</v>
      </c>
    </row>
    <row r="386" spans="1:81" s="547" customFormat="1" ht="12.75" customHeight="1">
      <c r="A386" s="599"/>
      <c r="B386" s="607"/>
      <c r="C386" s="696" t="s">
        <v>2161</v>
      </c>
      <c r="D386" s="697"/>
      <c r="E386" s="697"/>
      <c r="F386" s="697"/>
      <c r="G386" s="697"/>
      <c r="H386" s="697"/>
      <c r="I386" s="697"/>
      <c r="J386" s="697"/>
      <c r="K386" s="697"/>
      <c r="L386" s="697"/>
      <c r="M386" s="661"/>
      <c r="N386" s="661"/>
      <c r="O386" s="698"/>
      <c r="P386" s="697"/>
      <c r="Q386" s="697"/>
      <c r="R386" s="661"/>
      <c r="S386" s="661"/>
      <c r="T386" s="697"/>
      <c r="U386" s="1493">
        <f>Application!DU810-U387</f>
        <v>212</v>
      </c>
      <c r="V386" s="1493"/>
      <c r="W386" s="1493"/>
      <c r="X386" s="697"/>
      <c r="Y386" s="697"/>
      <c r="Z386" s="697"/>
      <c r="AA386" s="699"/>
      <c r="AB386" s="700"/>
      <c r="AC386" s="700"/>
      <c r="AD386" s="700"/>
      <c r="AE386" s="599"/>
      <c r="AF386" s="599"/>
      <c r="AG386" s="599"/>
      <c r="AH386" s="599"/>
      <c r="AI386" s="599"/>
      <c r="AJ386" s="599"/>
      <c r="AK386" s="599"/>
      <c r="AL386" s="599"/>
      <c r="AM386" s="599"/>
      <c r="AN386" s="593"/>
      <c r="AO386" s="689" t="s">
        <v>362</v>
      </c>
      <c r="AP386" s="690">
        <f>IF(C479="Yes",5,0)</f>
        <v>0</v>
      </c>
    </row>
    <row r="387" spans="1:81" s="547" customFormat="1" ht="12.75" customHeight="1">
      <c r="A387" s="599"/>
      <c r="B387" s="607"/>
      <c r="C387" s="701" t="s">
        <v>2162</v>
      </c>
      <c r="D387" s="688"/>
      <c r="E387" s="688"/>
      <c r="F387" s="688"/>
      <c r="G387" s="688"/>
      <c r="H387" s="688"/>
      <c r="I387" s="688"/>
      <c r="J387" s="688"/>
      <c r="K387" s="688"/>
      <c r="L387" s="688"/>
      <c r="M387" s="688"/>
      <c r="N387" s="688"/>
      <c r="O387" s="688"/>
      <c r="P387" s="688"/>
      <c r="Q387" s="688"/>
      <c r="R387" s="688"/>
      <c r="S387" s="688"/>
      <c r="T387" s="688"/>
      <c r="U387" s="1494">
        <f>IF(Application!D211="SRO",Application!DU763,Application!AG764)</f>
        <v>0</v>
      </c>
      <c r="V387" s="1494"/>
      <c r="W387" s="1494"/>
      <c r="X387" s="688"/>
      <c r="Y387" s="688"/>
      <c r="Z387" s="688"/>
      <c r="AA387" s="702"/>
      <c r="AC387" s="703"/>
      <c r="AD387" s="703"/>
      <c r="AE387" s="599"/>
      <c r="AF387" s="599"/>
      <c r="AG387" s="599"/>
      <c r="AH387" s="599"/>
      <c r="AI387" s="599"/>
      <c r="AJ387" s="599"/>
      <c r="AK387" s="599"/>
      <c r="AL387" s="599"/>
      <c r="AM387" s="599"/>
      <c r="AN387" s="593"/>
      <c r="AO387" s="691"/>
      <c r="AP387" s="692"/>
    </row>
    <row r="388" spans="1:81" s="547" customFormat="1" ht="12.75" customHeight="1">
      <c r="A388" s="599"/>
      <c r="B388" s="607"/>
      <c r="C388" s="592"/>
      <c r="U388" s="781"/>
      <c r="V388" s="781"/>
      <c r="W388" s="781"/>
      <c r="AC388" s="703"/>
      <c r="AD388" s="703"/>
      <c r="AE388" s="599"/>
      <c r="AF388" s="599"/>
      <c r="AG388" s="599"/>
      <c r="AH388" s="599"/>
      <c r="AI388" s="599"/>
      <c r="AJ388" s="599"/>
      <c r="AK388" s="599"/>
      <c r="AL388" s="599"/>
      <c r="AM388" s="599"/>
      <c r="AN388" s="593"/>
      <c r="AO388" s="704" t="s">
        <v>226</v>
      </c>
      <c r="AP388" s="705">
        <f>SUM(AP381:AP386)</f>
        <v>0</v>
      </c>
      <c r="AQ388" s="1429">
        <f>IF(AP388&gt;0,AP388,0)</f>
        <v>0</v>
      </c>
      <c r="AR388" s="1429"/>
    </row>
    <row r="389" spans="1:81" s="547" customFormat="1" ht="12.75" customHeight="1">
      <c r="A389" s="599"/>
      <c r="B389" s="14"/>
      <c r="C389" s="706" t="s">
        <v>2159</v>
      </c>
      <c r="D389" s="599"/>
      <c r="E389" s="599"/>
      <c r="F389" s="599"/>
      <c r="G389" s="599"/>
      <c r="H389" s="599"/>
      <c r="I389" s="599"/>
      <c r="J389" s="599"/>
      <c r="K389" s="599"/>
      <c r="L389" s="599"/>
      <c r="M389" s="599"/>
      <c r="N389" s="599"/>
      <c r="O389" s="599"/>
      <c r="P389" s="599"/>
      <c r="Q389" s="599"/>
      <c r="R389" s="599"/>
      <c r="S389" s="599"/>
      <c r="T389" s="599"/>
      <c r="U389" s="599"/>
      <c r="V389" s="599"/>
      <c r="W389" s="599"/>
      <c r="X389" s="599"/>
      <c r="Y389" s="599"/>
      <c r="Z389" s="599"/>
      <c r="AA389" s="599"/>
      <c r="AB389" s="599"/>
      <c r="AC389" s="599"/>
      <c r="AD389" s="599"/>
      <c r="AE389" s="599"/>
      <c r="AF389" s="599"/>
      <c r="AG389" s="599"/>
      <c r="AH389" s="599"/>
      <c r="AI389" s="599"/>
      <c r="AJ389" s="599"/>
      <c r="AK389" s="599"/>
      <c r="AL389" s="599"/>
      <c r="AM389" s="599"/>
      <c r="AN389" s="593"/>
      <c r="BS389" s="30"/>
      <c r="BT389" s="30"/>
      <c r="BU389" s="14"/>
      <c r="BV389" s="14"/>
      <c r="BW389" s="14"/>
    </row>
    <row r="390" spans="1:81" s="547" customFormat="1" ht="12.75" customHeight="1">
      <c r="A390" s="534"/>
      <c r="B390" s="14"/>
      <c r="C390" s="707"/>
      <c r="D390" s="708"/>
      <c r="E390" s="709" t="s">
        <v>1306</v>
      </c>
      <c r="F390" s="1401" t="s">
        <v>1448</v>
      </c>
      <c r="G390" s="1401"/>
      <c r="H390" s="1401"/>
      <c r="I390" s="1401"/>
      <c r="J390" s="1401"/>
      <c r="K390" s="1401"/>
      <c r="L390" s="1401"/>
      <c r="M390" s="1401"/>
      <c r="N390" s="1401"/>
      <c r="O390" s="1401"/>
      <c r="P390" s="1401"/>
      <c r="Q390" s="1401"/>
      <c r="R390" s="1401"/>
      <c r="S390" s="1401"/>
      <c r="T390" s="1401"/>
      <c r="U390" s="1401"/>
      <c r="V390" s="1401"/>
      <c r="W390" s="1401"/>
      <c r="X390" s="1401"/>
      <c r="Y390" s="1401"/>
      <c r="Z390" s="1401"/>
      <c r="AA390" s="1401"/>
      <c r="AB390" s="1401"/>
      <c r="AC390" s="1401"/>
      <c r="AD390" s="1401"/>
      <c r="AE390" s="1401"/>
      <c r="AF390" s="1401"/>
      <c r="AG390" s="710"/>
      <c r="AH390" s="710"/>
      <c r="AI390" s="710"/>
      <c r="AJ390" s="710"/>
      <c r="AK390" s="710"/>
      <c r="AL390" s="711"/>
      <c r="AM390" s="566"/>
      <c r="AN390" s="593"/>
      <c r="AP390" s="566"/>
      <c r="BS390" s="30"/>
      <c r="BT390" s="30"/>
      <c r="BU390" s="14"/>
      <c r="BV390" s="14"/>
      <c r="BW390" s="14"/>
      <c r="BX390" s="14"/>
      <c r="BY390" s="14"/>
      <c r="BZ390" s="14"/>
      <c r="CA390" s="14"/>
      <c r="CB390" s="14"/>
      <c r="CC390" s="14"/>
    </row>
    <row r="391" spans="1:81" s="547" customFormat="1" ht="12.75" customHeight="1">
      <c r="A391" s="534"/>
      <c r="B391" s="14"/>
      <c r="C391" s="712"/>
      <c r="D391" s="534"/>
      <c r="E391" s="713"/>
      <c r="F391" s="1273"/>
      <c r="G391" s="1273"/>
      <c r="H391" s="1273"/>
      <c r="I391" s="1273"/>
      <c r="J391" s="1273"/>
      <c r="K391" s="1273"/>
      <c r="L391" s="1273"/>
      <c r="M391" s="1273"/>
      <c r="N391" s="1273"/>
      <c r="O391" s="1273"/>
      <c r="P391" s="1273"/>
      <c r="Q391" s="1273"/>
      <c r="R391" s="1273"/>
      <c r="S391" s="1273"/>
      <c r="T391" s="1273"/>
      <c r="U391" s="1273"/>
      <c r="V391" s="1273"/>
      <c r="W391" s="1273"/>
      <c r="X391" s="1273"/>
      <c r="Y391" s="1273"/>
      <c r="Z391" s="1273"/>
      <c r="AA391" s="1273"/>
      <c r="AB391" s="1273"/>
      <c r="AC391" s="1273"/>
      <c r="AD391" s="1273"/>
      <c r="AE391" s="1273"/>
      <c r="AF391" s="1273"/>
      <c r="AG391" s="537"/>
      <c r="AH391" s="537"/>
      <c r="AI391" s="537"/>
      <c r="AJ391" s="537"/>
      <c r="AK391" s="537"/>
      <c r="AL391" s="714"/>
      <c r="AM391" s="566"/>
      <c r="AN391" s="593"/>
      <c r="AP391" s="566"/>
      <c r="BS391" s="30"/>
      <c r="BT391" s="30"/>
      <c r="BU391" s="14"/>
      <c r="BV391" s="14"/>
      <c r="BW391" s="14"/>
      <c r="BX391" s="14"/>
      <c r="BY391" s="14"/>
      <c r="BZ391" s="14"/>
      <c r="CA391" s="14"/>
      <c r="CB391" s="14"/>
      <c r="CC391" s="14"/>
    </row>
    <row r="392" spans="1:81" s="547" customFormat="1" ht="12.75" customHeight="1">
      <c r="A392" s="534"/>
      <c r="B392" s="14"/>
      <c r="C392" s="712"/>
      <c r="D392" s="534"/>
      <c r="E392" s="713"/>
      <c r="F392" s="1273"/>
      <c r="G392" s="1273"/>
      <c r="H392" s="1273"/>
      <c r="I392" s="1273"/>
      <c r="J392" s="1273"/>
      <c r="K392" s="1273"/>
      <c r="L392" s="1273"/>
      <c r="M392" s="1273"/>
      <c r="N392" s="1273"/>
      <c r="O392" s="1273"/>
      <c r="P392" s="1273"/>
      <c r="Q392" s="1273"/>
      <c r="R392" s="1273"/>
      <c r="S392" s="1273"/>
      <c r="T392" s="1273"/>
      <c r="U392" s="1273"/>
      <c r="V392" s="1273"/>
      <c r="W392" s="1273"/>
      <c r="X392" s="1273"/>
      <c r="Y392" s="1273"/>
      <c r="Z392" s="1273"/>
      <c r="AA392" s="1273"/>
      <c r="AB392" s="1273"/>
      <c r="AC392" s="1273"/>
      <c r="AD392" s="1273"/>
      <c r="AE392" s="1273"/>
      <c r="AF392" s="1273"/>
      <c r="AG392" s="537"/>
      <c r="AH392" s="537"/>
      <c r="AI392" s="537"/>
      <c r="AJ392" s="537"/>
      <c r="AK392" s="537"/>
      <c r="AL392" s="714"/>
      <c r="AM392" s="566"/>
      <c r="AN392" s="593"/>
      <c r="BS392" s="30"/>
      <c r="BT392" s="30"/>
      <c r="BU392" s="14"/>
      <c r="BV392" s="14"/>
      <c r="BW392" s="14"/>
      <c r="BX392" s="14"/>
      <c r="BY392" s="14"/>
      <c r="BZ392" s="14"/>
      <c r="CA392" s="14"/>
      <c r="CB392" s="14"/>
      <c r="CC392" s="14"/>
    </row>
    <row r="393" spans="1:81" s="547" customFormat="1" ht="12.75" customHeight="1">
      <c r="A393" s="534"/>
      <c r="B393" s="14"/>
      <c r="C393" s="712"/>
      <c r="D393" s="534"/>
      <c r="E393" s="713"/>
      <c r="F393" s="1273"/>
      <c r="G393" s="1273"/>
      <c r="H393" s="1273"/>
      <c r="I393" s="1273"/>
      <c r="J393" s="1273"/>
      <c r="K393" s="1273"/>
      <c r="L393" s="1273"/>
      <c r="M393" s="1273"/>
      <c r="N393" s="1273"/>
      <c r="O393" s="1273"/>
      <c r="P393" s="1273"/>
      <c r="Q393" s="1273"/>
      <c r="R393" s="1273"/>
      <c r="S393" s="1273"/>
      <c r="T393" s="1273"/>
      <c r="U393" s="1273"/>
      <c r="V393" s="1273"/>
      <c r="W393" s="1273"/>
      <c r="X393" s="1273"/>
      <c r="Y393" s="1273"/>
      <c r="Z393" s="1273"/>
      <c r="AA393" s="1273"/>
      <c r="AB393" s="1273"/>
      <c r="AC393" s="1273"/>
      <c r="AD393" s="1273"/>
      <c r="AE393" s="1273"/>
      <c r="AF393" s="1273"/>
      <c r="AG393" s="537"/>
      <c r="AH393" s="537"/>
      <c r="AI393" s="537"/>
      <c r="AJ393" s="537"/>
      <c r="AK393" s="537"/>
      <c r="AL393" s="714"/>
      <c r="AM393" s="566"/>
      <c r="AN393" s="593"/>
      <c r="BS393" s="30"/>
      <c r="BT393" s="30"/>
      <c r="BU393" s="14"/>
      <c r="BV393" s="14"/>
      <c r="BW393" s="14"/>
      <c r="BX393" s="14"/>
      <c r="BY393" s="14"/>
      <c r="BZ393" s="14"/>
      <c r="CA393" s="14"/>
      <c r="CB393" s="14"/>
      <c r="CC393" s="14"/>
    </row>
    <row r="394" spans="1:81" s="547" customFormat="1" ht="12.75" customHeight="1">
      <c r="A394" s="534"/>
      <c r="B394" s="14"/>
      <c r="C394" s="1398" t="s">
        <v>590</v>
      </c>
      <c r="D394" s="1357"/>
      <c r="E394" s="713"/>
      <c r="F394" s="715" t="s">
        <v>1449</v>
      </c>
      <c r="G394" s="599"/>
      <c r="H394" s="599"/>
      <c r="I394" s="599"/>
      <c r="J394" s="599"/>
      <c r="K394" s="599"/>
      <c r="L394" s="599"/>
      <c r="M394" s="599"/>
      <c r="N394" s="599"/>
      <c r="O394" s="599"/>
      <c r="P394" s="599"/>
      <c r="Q394" s="599"/>
      <c r="R394" s="599"/>
      <c r="S394" s="599"/>
      <c r="T394" s="599"/>
      <c r="U394" s="599"/>
      <c r="V394" s="599"/>
      <c r="W394" s="599"/>
      <c r="X394" s="599"/>
      <c r="Y394" s="599"/>
      <c r="Z394" s="599"/>
      <c r="AA394" s="599"/>
      <c r="AB394" s="599"/>
      <c r="AC394" s="599"/>
      <c r="AD394" s="599"/>
      <c r="AF394" s="1399" t="s">
        <v>1450</v>
      </c>
      <c r="AG394" s="1399"/>
      <c r="AH394" s="1399"/>
      <c r="AI394" s="1399"/>
      <c r="AJ394" s="1399"/>
      <c r="AK394" s="1399"/>
      <c r="AL394" s="1400"/>
      <c r="AM394" s="716"/>
      <c r="BS394" s="30"/>
      <c r="BT394" s="30"/>
      <c r="BU394" s="14"/>
      <c r="BV394" s="14"/>
      <c r="BW394" s="14"/>
      <c r="BX394" s="14"/>
      <c r="BY394" s="14"/>
      <c r="BZ394" s="14"/>
      <c r="CA394" s="14"/>
      <c r="CB394" s="14"/>
      <c r="CC394" s="14"/>
    </row>
    <row r="395" spans="1:81" s="547" customFormat="1" ht="12.75" customHeight="1">
      <c r="A395" s="534"/>
      <c r="B395" s="14"/>
      <c r="C395" s="750"/>
      <c r="D395" s="717"/>
      <c r="E395" s="718"/>
      <c r="F395" s="719"/>
      <c r="G395" s="720"/>
      <c r="H395" s="720"/>
      <c r="I395" s="720"/>
      <c r="J395" s="720"/>
      <c r="K395" s="720"/>
      <c r="L395" s="720"/>
      <c r="M395" s="720"/>
      <c r="N395" s="720"/>
      <c r="O395" s="720"/>
      <c r="P395" s="720"/>
      <c r="Q395" s="720"/>
      <c r="R395" s="720"/>
      <c r="S395" s="720"/>
      <c r="T395" s="720"/>
      <c r="U395" s="720"/>
      <c r="V395" s="720"/>
      <c r="W395" s="720"/>
      <c r="X395" s="720"/>
      <c r="Y395" s="720"/>
      <c r="Z395" s="720"/>
      <c r="AA395" s="720"/>
      <c r="AB395" s="720"/>
      <c r="AC395" s="720"/>
      <c r="AD395" s="720"/>
      <c r="AE395" s="721"/>
      <c r="AF395" s="721"/>
      <c r="AG395" s="721"/>
      <c r="AH395" s="721"/>
      <c r="AI395" s="721"/>
      <c r="AJ395" s="721"/>
      <c r="AK395" s="721"/>
      <c r="AL395" s="751"/>
      <c r="AM395" s="723"/>
      <c r="AN395" s="593"/>
      <c r="CC395" s="14"/>
    </row>
    <row r="396" spans="1:81" s="547" customFormat="1" ht="12.75" customHeight="1">
      <c r="A396" s="534"/>
      <c r="B396" s="14"/>
      <c r="C396" s="724"/>
      <c r="D396" s="724"/>
      <c r="E396" s="713"/>
      <c r="F396" s="670"/>
      <c r="G396" s="670"/>
      <c r="H396" s="670"/>
      <c r="I396" s="670"/>
      <c r="J396" s="670"/>
      <c r="K396" s="670"/>
      <c r="L396" s="670"/>
      <c r="M396" s="670"/>
      <c r="N396" s="670"/>
      <c r="O396" s="670"/>
      <c r="P396" s="670"/>
      <c r="Q396" s="670"/>
      <c r="R396" s="670"/>
      <c r="S396" s="670"/>
      <c r="T396" s="670"/>
      <c r="U396" s="670"/>
      <c r="V396" s="670"/>
      <c r="W396" s="670"/>
      <c r="X396" s="670"/>
      <c r="Y396" s="670"/>
      <c r="Z396" s="670"/>
      <c r="AA396" s="670"/>
      <c r="AB396" s="670"/>
      <c r="AC396" s="670"/>
      <c r="AD396" s="670"/>
      <c r="AE396" s="587"/>
      <c r="AF396" s="587"/>
      <c r="AG396" s="587"/>
      <c r="AH396" s="587"/>
      <c r="AI396" s="587"/>
      <c r="AJ396" s="587"/>
      <c r="AK396" s="587"/>
      <c r="AL396" s="587"/>
      <c r="AM396" s="566"/>
      <c r="AN396" s="593"/>
      <c r="BS396" s="30"/>
      <c r="BT396" s="30"/>
      <c r="BU396" s="14"/>
      <c r="BV396" s="14"/>
      <c r="BW396" s="14"/>
      <c r="BX396" s="14"/>
      <c r="BY396" s="14"/>
      <c r="BZ396" s="14"/>
      <c r="CA396" s="14"/>
      <c r="CB396" s="14"/>
      <c r="CC396" s="14"/>
    </row>
    <row r="397" spans="1:81" s="547" customFormat="1" ht="12.75" customHeight="1">
      <c r="A397" s="534"/>
      <c r="B397" s="14"/>
      <c r="C397" s="707"/>
      <c r="D397" s="708"/>
      <c r="E397" s="709" t="s">
        <v>1308</v>
      </c>
      <c r="F397" s="1401" t="s">
        <v>1451</v>
      </c>
      <c r="G397" s="1401"/>
      <c r="H397" s="1401"/>
      <c r="I397" s="1401"/>
      <c r="J397" s="1401"/>
      <c r="K397" s="1401"/>
      <c r="L397" s="1401"/>
      <c r="M397" s="1401"/>
      <c r="N397" s="1401"/>
      <c r="O397" s="1401"/>
      <c r="P397" s="1401"/>
      <c r="Q397" s="1401"/>
      <c r="R397" s="1401"/>
      <c r="S397" s="1401"/>
      <c r="T397" s="1401"/>
      <c r="U397" s="1401"/>
      <c r="V397" s="1401"/>
      <c r="W397" s="1401"/>
      <c r="X397" s="1401"/>
      <c r="Y397" s="1401"/>
      <c r="Z397" s="1401"/>
      <c r="AA397" s="1401"/>
      <c r="AB397" s="1401"/>
      <c r="AC397" s="1401"/>
      <c r="AD397" s="1401"/>
      <c r="AE397" s="1401"/>
      <c r="AF397" s="1401"/>
      <c r="AG397" s="710"/>
      <c r="AH397" s="710"/>
      <c r="AI397" s="710"/>
      <c r="AJ397" s="710"/>
      <c r="AK397" s="710"/>
      <c r="AL397" s="711"/>
      <c r="AM397" s="566"/>
      <c r="AN397" s="593"/>
      <c r="BS397" s="30"/>
      <c r="BT397" s="30"/>
      <c r="BU397" s="14"/>
      <c r="BV397" s="14"/>
      <c r="BW397" s="14"/>
      <c r="BX397" s="14"/>
      <c r="BY397" s="14"/>
      <c r="BZ397" s="14"/>
      <c r="CA397" s="14"/>
      <c r="CB397" s="14"/>
      <c r="CC397" s="14"/>
    </row>
    <row r="398" spans="1:81" s="547" customFormat="1" ht="12.75" customHeight="1">
      <c r="A398" s="534"/>
      <c r="B398" s="14"/>
      <c r="C398" s="725"/>
      <c r="D398" s="14"/>
      <c r="E398" s="685"/>
      <c r="F398" s="1273"/>
      <c r="G398" s="1273"/>
      <c r="H398" s="1273"/>
      <c r="I398" s="1273"/>
      <c r="J398" s="1273"/>
      <c r="K398" s="1273"/>
      <c r="L398" s="1273"/>
      <c r="M398" s="1273"/>
      <c r="N398" s="1273"/>
      <c r="O398" s="1273"/>
      <c r="P398" s="1273"/>
      <c r="Q398" s="1273"/>
      <c r="R398" s="1273"/>
      <c r="S398" s="1273"/>
      <c r="T398" s="1273"/>
      <c r="U398" s="1273"/>
      <c r="V398" s="1273"/>
      <c r="W398" s="1273"/>
      <c r="X398" s="1273"/>
      <c r="Y398" s="1273"/>
      <c r="Z398" s="1273"/>
      <c r="AA398" s="1273"/>
      <c r="AB398" s="1273"/>
      <c r="AC398" s="1273"/>
      <c r="AD398" s="1273"/>
      <c r="AE398" s="1273"/>
      <c r="AF398" s="1273"/>
      <c r="AG398" s="537"/>
      <c r="AH398" s="537"/>
      <c r="AI398" s="537"/>
      <c r="AJ398" s="537"/>
      <c r="AK398" s="537"/>
      <c r="AL398" s="714"/>
      <c r="AM398" s="566"/>
      <c r="AN398" s="593"/>
      <c r="BS398" s="30"/>
      <c r="BT398" s="30"/>
      <c r="BU398" s="14"/>
      <c r="BV398" s="14"/>
      <c r="BW398" s="14"/>
      <c r="BX398" s="14"/>
      <c r="BY398" s="14"/>
      <c r="BZ398" s="14"/>
      <c r="CA398" s="14"/>
      <c r="CB398" s="14"/>
      <c r="CC398" s="14"/>
    </row>
    <row r="399" spans="1:81" s="547" customFormat="1" ht="12.75" customHeight="1">
      <c r="A399" s="534"/>
      <c r="B399" s="14"/>
      <c r="C399" s="725"/>
      <c r="D399" s="14"/>
      <c r="E399" s="685"/>
      <c r="F399" s="1273"/>
      <c r="G399" s="1273"/>
      <c r="H399" s="1273"/>
      <c r="I399" s="1273"/>
      <c r="J399" s="1273"/>
      <c r="K399" s="1273"/>
      <c r="L399" s="1273"/>
      <c r="M399" s="1273"/>
      <c r="N399" s="1273"/>
      <c r="O399" s="1273"/>
      <c r="P399" s="1273"/>
      <c r="Q399" s="1273"/>
      <c r="R399" s="1273"/>
      <c r="S399" s="1273"/>
      <c r="T399" s="1273"/>
      <c r="U399" s="1273"/>
      <c r="V399" s="1273"/>
      <c r="W399" s="1273"/>
      <c r="X399" s="1273"/>
      <c r="Y399" s="1273"/>
      <c r="Z399" s="1273"/>
      <c r="AA399" s="1273"/>
      <c r="AB399" s="1273"/>
      <c r="AC399" s="1273"/>
      <c r="AD399" s="1273"/>
      <c r="AE399" s="1273"/>
      <c r="AF399" s="1273"/>
      <c r="AG399" s="537"/>
      <c r="AH399" s="537"/>
      <c r="AI399" s="537"/>
      <c r="AJ399" s="537"/>
      <c r="AK399" s="537"/>
      <c r="AL399" s="714"/>
      <c r="AM399" s="566"/>
      <c r="AN399" s="593"/>
      <c r="BS399" s="30"/>
      <c r="BT399" s="30"/>
      <c r="BU399" s="14"/>
      <c r="BV399" s="14"/>
      <c r="BW399" s="14"/>
      <c r="BX399" s="14"/>
      <c r="BY399" s="14"/>
      <c r="BZ399" s="14"/>
      <c r="CA399" s="14"/>
      <c r="CB399" s="14"/>
      <c r="CC399" s="14"/>
    </row>
    <row r="400" spans="1:81" s="547" customFormat="1" ht="12.75" customHeight="1">
      <c r="A400" s="534"/>
      <c r="B400" s="14"/>
      <c r="C400" s="725"/>
      <c r="D400" s="14"/>
      <c r="E400" s="685"/>
      <c r="F400" s="1273"/>
      <c r="G400" s="1273"/>
      <c r="H400" s="1273"/>
      <c r="I400" s="1273"/>
      <c r="J400" s="1273"/>
      <c r="K400" s="1273"/>
      <c r="L400" s="1273"/>
      <c r="M400" s="1273"/>
      <c r="N400" s="1273"/>
      <c r="O400" s="1273"/>
      <c r="P400" s="1273"/>
      <c r="Q400" s="1273"/>
      <c r="R400" s="1273"/>
      <c r="S400" s="1273"/>
      <c r="T400" s="1273"/>
      <c r="U400" s="1273"/>
      <c r="V400" s="1273"/>
      <c r="W400" s="1273"/>
      <c r="X400" s="1273"/>
      <c r="Y400" s="1273"/>
      <c r="Z400" s="1273"/>
      <c r="AA400" s="1273"/>
      <c r="AB400" s="1273"/>
      <c r="AC400" s="1273"/>
      <c r="AD400" s="1273"/>
      <c r="AE400" s="1273"/>
      <c r="AF400" s="1273"/>
      <c r="AG400" s="537"/>
      <c r="AH400" s="537"/>
      <c r="AI400" s="537"/>
      <c r="AJ400" s="537"/>
      <c r="AK400" s="537"/>
      <c r="AL400" s="714"/>
      <c r="AM400" s="566"/>
      <c r="AN400" s="593"/>
      <c r="BS400" s="30"/>
      <c r="BT400" s="30"/>
      <c r="BU400" s="14"/>
      <c r="BV400" s="14"/>
      <c r="BW400" s="14"/>
      <c r="BX400" s="14"/>
      <c r="BY400" s="14"/>
      <c r="BZ400" s="14"/>
      <c r="CA400" s="14"/>
      <c r="CB400" s="14"/>
      <c r="CC400" s="14"/>
    </row>
    <row r="401" spans="1:81" s="547" customFormat="1" ht="12.75" customHeight="1">
      <c r="A401" s="534"/>
      <c r="B401" s="14"/>
      <c r="C401" s="725"/>
      <c r="D401" s="14"/>
      <c r="E401" s="685"/>
      <c r="F401" s="1273"/>
      <c r="G401" s="1273"/>
      <c r="H401" s="1273"/>
      <c r="I401" s="1273"/>
      <c r="J401" s="1273"/>
      <c r="K401" s="1273"/>
      <c r="L401" s="1273"/>
      <c r="M401" s="1273"/>
      <c r="N401" s="1273"/>
      <c r="O401" s="1273"/>
      <c r="P401" s="1273"/>
      <c r="Q401" s="1273"/>
      <c r="R401" s="1273"/>
      <c r="S401" s="1273"/>
      <c r="T401" s="1273"/>
      <c r="U401" s="1273"/>
      <c r="V401" s="1273"/>
      <c r="W401" s="1273"/>
      <c r="X401" s="1273"/>
      <c r="Y401" s="1273"/>
      <c r="Z401" s="1273"/>
      <c r="AA401" s="1273"/>
      <c r="AB401" s="1273"/>
      <c r="AC401" s="1273"/>
      <c r="AD401" s="1273"/>
      <c r="AE401" s="1273"/>
      <c r="AF401" s="1273"/>
      <c r="AL401" s="726"/>
      <c r="AN401" s="593"/>
      <c r="BS401" s="30"/>
      <c r="BT401" s="30"/>
      <c r="BU401" s="14"/>
      <c r="BV401" s="14"/>
      <c r="BW401" s="14"/>
      <c r="BX401" s="14"/>
      <c r="BY401" s="14"/>
      <c r="BZ401" s="14"/>
      <c r="CA401" s="14"/>
      <c r="CB401" s="14"/>
      <c r="CC401" s="14"/>
    </row>
    <row r="402" spans="1:81" s="547" customFormat="1" ht="12.75" customHeight="1">
      <c r="A402" s="534"/>
      <c r="B402" s="14"/>
      <c r="C402" s="1398" t="s">
        <v>590</v>
      </c>
      <c r="D402" s="1357"/>
      <c r="E402" s="685"/>
      <c r="F402" s="715" t="s">
        <v>1452</v>
      </c>
      <c r="G402" s="599"/>
      <c r="H402" s="599"/>
      <c r="I402" s="599"/>
      <c r="J402" s="599"/>
      <c r="K402" s="599"/>
      <c r="L402" s="599"/>
      <c r="M402" s="599"/>
      <c r="N402" s="599"/>
      <c r="O402" s="599"/>
      <c r="P402" s="599"/>
      <c r="Q402" s="599"/>
      <c r="R402" s="599"/>
      <c r="S402" s="599"/>
      <c r="T402" s="599"/>
      <c r="U402" s="599"/>
      <c r="V402" s="599"/>
      <c r="W402" s="599"/>
      <c r="X402" s="599"/>
      <c r="Y402" s="599"/>
      <c r="Z402" s="599"/>
      <c r="AA402" s="599"/>
      <c r="AB402" s="599"/>
      <c r="AC402" s="599"/>
      <c r="AD402" s="599"/>
      <c r="AF402" s="1399" t="s">
        <v>1450</v>
      </c>
      <c r="AG402" s="1399"/>
      <c r="AH402" s="1399"/>
      <c r="AI402" s="1399"/>
      <c r="AJ402" s="1399"/>
      <c r="AK402" s="1399"/>
      <c r="AL402" s="1400"/>
      <c r="AM402" s="723"/>
      <c r="AN402" s="593"/>
      <c r="BS402" s="30"/>
      <c r="BT402" s="30"/>
      <c r="BU402" s="14"/>
      <c r="BV402" s="14"/>
      <c r="BW402" s="14"/>
      <c r="BX402" s="14"/>
      <c r="BY402" s="14"/>
      <c r="BZ402" s="14"/>
      <c r="CA402" s="14"/>
      <c r="CB402" s="14"/>
      <c r="CC402" s="14"/>
    </row>
    <row r="403" spans="1:81" s="547" customFormat="1" ht="12.75" customHeight="1">
      <c r="A403" s="534"/>
      <c r="B403" s="14"/>
      <c r="C403" s="734"/>
      <c r="D403" s="727"/>
      <c r="E403" s="728"/>
      <c r="F403" s="729"/>
      <c r="G403" s="730"/>
      <c r="H403" s="730"/>
      <c r="I403" s="730"/>
      <c r="J403" s="730"/>
      <c r="K403" s="730"/>
      <c r="L403" s="730"/>
      <c r="M403" s="730"/>
      <c r="N403" s="730"/>
      <c r="O403" s="730"/>
      <c r="P403" s="730"/>
      <c r="Q403" s="730"/>
      <c r="R403" s="730"/>
      <c r="S403" s="730"/>
      <c r="T403" s="730"/>
      <c r="U403" s="730"/>
      <c r="V403" s="730"/>
      <c r="W403" s="730"/>
      <c r="X403" s="730"/>
      <c r="Y403" s="730"/>
      <c r="Z403" s="730"/>
      <c r="AA403" s="730"/>
      <c r="AB403" s="730"/>
      <c r="AC403" s="730"/>
      <c r="AD403" s="730"/>
      <c r="AE403" s="731"/>
      <c r="AF403" s="579"/>
      <c r="AG403" s="731"/>
      <c r="AH403" s="721"/>
      <c r="AI403" s="721"/>
      <c r="AJ403" s="721"/>
      <c r="AK403" s="721"/>
      <c r="AL403" s="736"/>
      <c r="AM403" s="723"/>
      <c r="AN403" s="593"/>
      <c r="BS403" s="30"/>
      <c r="BT403" s="30"/>
      <c r="BU403" s="14"/>
      <c r="BV403" s="14"/>
      <c r="BW403" s="14"/>
      <c r="BX403" s="14"/>
      <c r="BY403" s="14"/>
      <c r="BZ403" s="14"/>
      <c r="CA403" s="14"/>
      <c r="CB403" s="14"/>
      <c r="CC403" s="14"/>
    </row>
    <row r="404" spans="1:81" s="547" customFormat="1" ht="12.75" customHeight="1">
      <c r="A404" s="534"/>
      <c r="B404" s="14"/>
      <c r="C404" s="14"/>
      <c r="D404" s="14"/>
      <c r="E404" s="685"/>
      <c r="F404" s="670"/>
      <c r="G404" s="670"/>
      <c r="H404" s="670"/>
      <c r="I404" s="670"/>
      <c r="J404" s="670"/>
      <c r="K404" s="670"/>
      <c r="L404" s="670"/>
      <c r="M404" s="670"/>
      <c r="N404" s="670"/>
      <c r="O404" s="670"/>
      <c r="P404" s="670"/>
      <c r="Q404" s="670"/>
      <c r="R404" s="670"/>
      <c r="S404" s="670"/>
      <c r="T404" s="670"/>
      <c r="U404" s="670"/>
      <c r="V404" s="670"/>
      <c r="W404" s="670"/>
      <c r="X404" s="670"/>
      <c r="Y404" s="670"/>
      <c r="Z404" s="670"/>
      <c r="AA404" s="670"/>
      <c r="AB404" s="670"/>
      <c r="AC404" s="670"/>
      <c r="AD404" s="670"/>
      <c r="AE404" s="534"/>
      <c r="AF404" s="537"/>
      <c r="AG404" s="534"/>
      <c r="AM404" s="566"/>
      <c r="AN404" s="593"/>
      <c r="BS404" s="30"/>
      <c r="BT404" s="30"/>
      <c r="BU404" s="14"/>
      <c r="BV404" s="14"/>
      <c r="BW404" s="14"/>
      <c r="BX404" s="14"/>
      <c r="BY404" s="14"/>
      <c r="BZ404" s="14"/>
      <c r="CA404" s="14"/>
      <c r="CB404" s="14"/>
      <c r="CC404" s="14"/>
    </row>
    <row r="405" spans="1:81" s="547" customFormat="1" ht="12.75" customHeight="1">
      <c r="A405" s="534"/>
      <c r="B405" s="14"/>
      <c r="C405" s="707"/>
      <c r="D405" s="708"/>
      <c r="E405" s="709" t="s">
        <v>1311</v>
      </c>
      <c r="F405" s="1401" t="s">
        <v>1453</v>
      </c>
      <c r="G405" s="1401"/>
      <c r="H405" s="1401"/>
      <c r="I405" s="1401"/>
      <c r="J405" s="1401"/>
      <c r="K405" s="1401"/>
      <c r="L405" s="1401"/>
      <c r="M405" s="1401"/>
      <c r="N405" s="1401"/>
      <c r="O405" s="1401"/>
      <c r="P405" s="1401"/>
      <c r="Q405" s="1401"/>
      <c r="R405" s="1401"/>
      <c r="S405" s="1401"/>
      <c r="T405" s="1401"/>
      <c r="U405" s="1401"/>
      <c r="V405" s="1401"/>
      <c r="W405" s="1401"/>
      <c r="X405" s="1401"/>
      <c r="Y405" s="1401"/>
      <c r="Z405" s="1401"/>
      <c r="AA405" s="1401"/>
      <c r="AB405" s="1401"/>
      <c r="AC405" s="1401"/>
      <c r="AD405" s="1401"/>
      <c r="AE405" s="1401"/>
      <c r="AF405" s="1401"/>
      <c r="AG405" s="710"/>
      <c r="AH405" s="710"/>
      <c r="AI405" s="710"/>
      <c r="AJ405" s="710"/>
      <c r="AK405" s="710"/>
      <c r="AL405" s="711"/>
      <c r="AM405" s="566"/>
      <c r="AN405" s="593"/>
      <c r="BS405" s="566"/>
      <c r="BT405" s="566"/>
      <c r="BU405" s="566"/>
      <c r="BV405" s="566"/>
      <c r="BW405" s="566"/>
      <c r="BX405" s="566"/>
      <c r="BY405" s="566"/>
      <c r="BZ405" s="566"/>
      <c r="CA405" s="566"/>
      <c r="CB405" s="566"/>
      <c r="CC405" s="566"/>
    </row>
    <row r="406" spans="1:81" s="547" customFormat="1" ht="12.75" customHeight="1">
      <c r="A406" s="534"/>
      <c r="B406" s="14"/>
      <c r="C406" s="725"/>
      <c r="D406" s="14"/>
      <c r="E406" s="685"/>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537"/>
      <c r="AH406" s="537"/>
      <c r="AI406" s="537"/>
      <c r="AJ406" s="537"/>
      <c r="AK406" s="537"/>
      <c r="AL406" s="714"/>
      <c r="AM406" s="566"/>
      <c r="AN406" s="593"/>
      <c r="BS406" s="566"/>
      <c r="BT406" s="566"/>
      <c r="BU406" s="566"/>
      <c r="BV406" s="566"/>
      <c r="BW406" s="566"/>
      <c r="BX406" s="566"/>
      <c r="BY406" s="566"/>
      <c r="BZ406" s="566"/>
      <c r="CA406" s="566"/>
      <c r="CB406" s="566"/>
      <c r="CC406" s="566"/>
    </row>
    <row r="407" spans="1:81" s="547" customFormat="1" ht="12.75" customHeight="1">
      <c r="A407" s="534"/>
      <c r="B407" s="14"/>
      <c r="C407" s="725"/>
      <c r="D407" s="14"/>
      <c r="E407" s="685"/>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537"/>
      <c r="AH407" s="537"/>
      <c r="AI407" s="537"/>
      <c r="AJ407" s="537"/>
      <c r="AK407" s="537"/>
      <c r="AL407" s="714"/>
      <c r="AM407" s="566"/>
      <c r="AN407" s="593"/>
      <c r="BS407" s="566"/>
      <c r="BT407" s="566"/>
      <c r="BU407" s="566"/>
      <c r="BV407" s="566"/>
      <c r="BW407" s="566"/>
      <c r="BX407" s="566"/>
      <c r="BY407" s="566"/>
      <c r="BZ407" s="566"/>
      <c r="CA407" s="566"/>
      <c r="CB407" s="566"/>
      <c r="CC407" s="566"/>
    </row>
    <row r="408" spans="1:81" s="547" customFormat="1" ht="12.75" customHeight="1">
      <c r="A408" s="534"/>
      <c r="B408" s="14"/>
      <c r="C408" s="725"/>
      <c r="D408" s="14"/>
      <c r="E408" s="685"/>
      <c r="F408" s="1273"/>
      <c r="G408" s="1273"/>
      <c r="H408" s="1273"/>
      <c r="I408" s="1273"/>
      <c r="J408" s="1273"/>
      <c r="K408" s="1273"/>
      <c r="L408" s="1273"/>
      <c r="M408" s="1273"/>
      <c r="N408" s="1273"/>
      <c r="O408" s="1273"/>
      <c r="P408" s="1273"/>
      <c r="Q408" s="1273"/>
      <c r="R408" s="1273"/>
      <c r="S408" s="1273"/>
      <c r="T408" s="1273"/>
      <c r="U408" s="1273"/>
      <c r="V408" s="1273"/>
      <c r="W408" s="1273"/>
      <c r="X408" s="1273"/>
      <c r="Y408" s="1273"/>
      <c r="Z408" s="1273"/>
      <c r="AA408" s="1273"/>
      <c r="AB408" s="1273"/>
      <c r="AC408" s="1273"/>
      <c r="AD408" s="1273"/>
      <c r="AE408" s="1273"/>
      <c r="AF408" s="1273"/>
      <c r="AG408" s="537"/>
      <c r="AH408" s="537"/>
      <c r="AI408" s="537"/>
      <c r="AJ408" s="537"/>
      <c r="AK408" s="537"/>
      <c r="AL408" s="714"/>
      <c r="AM408" s="566"/>
      <c r="AN408" s="593"/>
      <c r="BS408" s="566"/>
      <c r="BT408" s="566"/>
      <c r="BU408" s="566"/>
      <c r="BV408" s="566"/>
      <c r="BW408" s="566"/>
      <c r="BX408" s="566"/>
      <c r="BY408" s="566"/>
      <c r="BZ408" s="566"/>
      <c r="CA408" s="566"/>
      <c r="CB408" s="566"/>
      <c r="CC408" s="566"/>
    </row>
    <row r="409" spans="1:81" s="547" customFormat="1" ht="12.75" customHeight="1">
      <c r="A409" s="534"/>
      <c r="B409" s="14"/>
      <c r="C409" s="725"/>
      <c r="D409" s="14"/>
      <c r="E409" s="685"/>
      <c r="F409" s="1273"/>
      <c r="G409" s="1273"/>
      <c r="H409" s="1273"/>
      <c r="I409" s="1273"/>
      <c r="J409" s="1273"/>
      <c r="K409" s="1273"/>
      <c r="L409" s="1273"/>
      <c r="M409" s="1273"/>
      <c r="N409" s="1273"/>
      <c r="O409" s="1273"/>
      <c r="P409" s="1273"/>
      <c r="Q409" s="1273"/>
      <c r="R409" s="1273"/>
      <c r="S409" s="1273"/>
      <c r="T409" s="1273"/>
      <c r="U409" s="1273"/>
      <c r="V409" s="1273"/>
      <c r="W409" s="1273"/>
      <c r="X409" s="1273"/>
      <c r="Y409" s="1273"/>
      <c r="Z409" s="1273"/>
      <c r="AA409" s="1273"/>
      <c r="AB409" s="1273"/>
      <c r="AC409" s="1273"/>
      <c r="AD409" s="1273"/>
      <c r="AE409" s="1273"/>
      <c r="AF409" s="1273"/>
      <c r="AG409" s="537"/>
      <c r="AH409" s="537"/>
      <c r="AI409" s="537"/>
      <c r="AJ409" s="537"/>
      <c r="AK409" s="537"/>
      <c r="AL409" s="714"/>
      <c r="AM409" s="566"/>
      <c r="AN409" s="593"/>
      <c r="BS409" s="566"/>
      <c r="BT409" s="566"/>
      <c r="BU409" s="566"/>
      <c r="BV409" s="566"/>
      <c r="BW409" s="566"/>
      <c r="BX409" s="566"/>
      <c r="BY409" s="566"/>
      <c r="BZ409" s="566"/>
      <c r="CA409" s="566"/>
      <c r="CB409" s="566"/>
      <c r="CC409" s="566"/>
    </row>
    <row r="410" spans="1:81" s="547" customFormat="1" ht="12.75" customHeight="1">
      <c r="A410" s="534"/>
      <c r="B410" s="14"/>
      <c r="C410" s="1398" t="s">
        <v>590</v>
      </c>
      <c r="D410" s="1357"/>
      <c r="E410" s="685"/>
      <c r="F410" s="715" t="s">
        <v>1454</v>
      </c>
      <c r="G410" s="599"/>
      <c r="H410" s="599"/>
      <c r="I410" s="599"/>
      <c r="J410" s="599"/>
      <c r="K410" s="599"/>
      <c r="L410" s="599"/>
      <c r="M410" s="599"/>
      <c r="N410" s="599"/>
      <c r="O410" s="599"/>
      <c r="P410" s="599"/>
      <c r="Q410" s="599"/>
      <c r="R410" s="599"/>
      <c r="S410" s="599"/>
      <c r="T410" s="599"/>
      <c r="U410" s="599"/>
      <c r="V410" s="599"/>
      <c r="W410" s="599"/>
      <c r="X410" s="599"/>
      <c r="Y410" s="599"/>
      <c r="Z410" s="599"/>
      <c r="AA410" s="599"/>
      <c r="AB410" s="599"/>
      <c r="AC410" s="599"/>
      <c r="AD410" s="599"/>
      <c r="AF410" s="1399" t="s">
        <v>1455</v>
      </c>
      <c r="AG410" s="1399"/>
      <c r="AH410" s="1399"/>
      <c r="AI410" s="1399"/>
      <c r="AJ410" s="1399"/>
      <c r="AK410" s="1399"/>
      <c r="AL410" s="1400"/>
      <c r="AM410" s="716"/>
      <c r="BS410" s="566"/>
      <c r="BT410" s="566"/>
      <c r="BU410" s="566"/>
      <c r="BV410" s="566"/>
      <c r="BW410" s="566"/>
      <c r="BX410" s="566"/>
      <c r="BY410" s="566"/>
      <c r="BZ410" s="566"/>
      <c r="CA410" s="566"/>
      <c r="CB410" s="566"/>
      <c r="CC410" s="566"/>
    </row>
    <row r="411" spans="1:81" s="547" customFormat="1" ht="12.75" customHeight="1">
      <c r="A411" s="534"/>
      <c r="B411" s="14"/>
      <c r="C411" s="725"/>
      <c r="D411" s="14"/>
      <c r="E411" s="685"/>
      <c r="F411" s="569"/>
      <c r="G411" s="569"/>
      <c r="H411" s="569"/>
      <c r="I411" s="569"/>
      <c r="J411" s="569"/>
      <c r="K411" s="569"/>
      <c r="L411" s="569"/>
      <c r="M411" s="569"/>
      <c r="N411" s="569"/>
      <c r="O411" s="569"/>
      <c r="P411" s="569"/>
      <c r="Q411" s="569"/>
      <c r="R411" s="569"/>
      <c r="S411" s="569"/>
      <c r="T411" s="569"/>
      <c r="U411" s="569"/>
      <c r="V411" s="569"/>
      <c r="W411" s="569"/>
      <c r="X411" s="569"/>
      <c r="Y411" s="569"/>
      <c r="Z411" s="569"/>
      <c r="AA411" s="569"/>
      <c r="AB411" s="569"/>
      <c r="AC411" s="569"/>
      <c r="AD411" s="569"/>
      <c r="AL411" s="726"/>
      <c r="AM411" s="566"/>
      <c r="AN411" s="593"/>
      <c r="BS411" s="566"/>
      <c r="BT411" s="566"/>
      <c r="BU411" s="566"/>
      <c r="BV411" s="566"/>
      <c r="BW411" s="566"/>
      <c r="BX411" s="566"/>
      <c r="BY411" s="566"/>
      <c r="BZ411" s="566"/>
      <c r="CA411" s="566"/>
      <c r="CB411" s="566"/>
      <c r="CC411" s="566"/>
    </row>
    <row r="412" spans="1:81" s="547" customFormat="1" ht="12.75" customHeight="1">
      <c r="A412" s="534"/>
      <c r="B412" s="14"/>
      <c r="C412" s="1398" t="s">
        <v>544</v>
      </c>
      <c r="D412" s="1357"/>
      <c r="E412" s="685"/>
      <c r="F412" s="732" t="s">
        <v>1456</v>
      </c>
      <c r="G412" s="569"/>
      <c r="H412" s="569"/>
      <c r="I412" s="569"/>
      <c r="J412" s="569"/>
      <c r="K412" s="569"/>
      <c r="L412" s="569"/>
      <c r="M412" s="569"/>
      <c r="N412" s="569"/>
      <c r="O412" s="569"/>
      <c r="P412" s="569"/>
      <c r="Q412" s="569"/>
      <c r="R412" s="569"/>
      <c r="S412" s="569"/>
      <c r="T412" s="569"/>
      <c r="U412" s="569"/>
      <c r="V412" s="569"/>
      <c r="W412" s="569"/>
      <c r="X412" s="569"/>
      <c r="Y412" s="569"/>
      <c r="Z412" s="569"/>
      <c r="AA412" s="569"/>
      <c r="AB412" s="569"/>
      <c r="AC412" s="569"/>
      <c r="AD412" s="569"/>
      <c r="AF412" s="1399" t="s">
        <v>1450</v>
      </c>
      <c r="AG412" s="1399"/>
      <c r="AH412" s="1399"/>
      <c r="AI412" s="1399"/>
      <c r="AJ412" s="1399"/>
      <c r="AK412" s="1399"/>
      <c r="AL412" s="1400"/>
      <c r="AM412" s="566"/>
      <c r="AN412" s="593"/>
      <c r="BS412" s="566"/>
      <c r="BT412" s="566"/>
      <c r="BU412" s="566"/>
    </row>
    <row r="413" spans="1:81" s="547" customFormat="1" ht="12.75" customHeight="1">
      <c r="A413" s="534"/>
      <c r="B413" s="14"/>
      <c r="C413" s="733"/>
      <c r="E413" s="685"/>
      <c r="G413" s="569"/>
      <c r="H413" s="569"/>
      <c r="I413" s="569"/>
      <c r="J413" s="569"/>
      <c r="K413" s="569"/>
      <c r="L413" s="569"/>
      <c r="M413" s="569"/>
      <c r="N413" s="569"/>
      <c r="O413" s="569"/>
      <c r="P413" s="569"/>
      <c r="Q413" s="569"/>
      <c r="R413" s="569"/>
      <c r="S413" s="569"/>
      <c r="T413" s="569"/>
      <c r="U413" s="569"/>
      <c r="V413" s="569"/>
      <c r="W413" s="569"/>
      <c r="X413" s="569"/>
      <c r="Y413" s="569"/>
      <c r="Z413" s="569"/>
      <c r="AA413" s="569"/>
      <c r="AB413" s="569"/>
      <c r="AC413" s="569"/>
      <c r="AD413" s="569"/>
      <c r="AL413" s="726"/>
      <c r="AM413" s="566"/>
      <c r="AN413" s="593"/>
      <c r="BS413" s="566"/>
      <c r="BT413" s="566"/>
      <c r="BU413" s="566"/>
    </row>
    <row r="414" spans="1:81" s="547" customFormat="1" ht="12.75" customHeight="1">
      <c r="A414" s="534"/>
      <c r="B414" s="14"/>
      <c r="C414" s="734"/>
      <c r="D414" s="727"/>
      <c r="E414" s="728"/>
      <c r="F414" s="735" t="s">
        <v>1457</v>
      </c>
      <c r="G414" s="729"/>
      <c r="H414" s="729"/>
      <c r="I414" s="729"/>
      <c r="J414" s="729"/>
      <c r="K414" s="729"/>
      <c r="L414" s="729"/>
      <c r="M414" s="729"/>
      <c r="N414" s="729"/>
      <c r="O414" s="729"/>
      <c r="P414" s="729"/>
      <c r="Q414" s="729"/>
      <c r="R414" s="729"/>
      <c r="S414" s="729"/>
      <c r="T414" s="729"/>
      <c r="U414" s="729"/>
      <c r="V414" s="729"/>
      <c r="W414" s="729"/>
      <c r="X414" s="729"/>
      <c r="Y414" s="729"/>
      <c r="Z414" s="729"/>
      <c r="AA414" s="729"/>
      <c r="AB414" s="729"/>
      <c r="AC414" s="729"/>
      <c r="AD414" s="729"/>
      <c r="AE414" s="731"/>
      <c r="AF414" s="579"/>
      <c r="AG414" s="731"/>
      <c r="AH414" s="721"/>
      <c r="AI414" s="721"/>
      <c r="AJ414" s="721"/>
      <c r="AK414" s="721"/>
      <c r="AL414" s="736"/>
      <c r="AM414" s="566"/>
      <c r="AN414" s="593"/>
      <c r="BS414" s="566"/>
      <c r="BT414" s="566"/>
      <c r="BU414" s="566"/>
    </row>
    <row r="415" spans="1:81" s="547" customFormat="1" ht="12.75" customHeight="1">
      <c r="A415" s="534"/>
      <c r="B415" s="14"/>
      <c r="C415" s="14"/>
      <c r="D415" s="14"/>
      <c r="E415" s="685"/>
      <c r="F415" s="670"/>
      <c r="G415" s="670"/>
      <c r="H415" s="670"/>
      <c r="I415" s="670"/>
      <c r="J415" s="670"/>
      <c r="K415" s="670"/>
      <c r="L415" s="670"/>
      <c r="M415" s="670"/>
      <c r="N415" s="670"/>
      <c r="O415" s="670"/>
      <c r="P415" s="670"/>
      <c r="Q415" s="670"/>
      <c r="R415" s="670"/>
      <c r="S415" s="670"/>
      <c r="T415" s="670"/>
      <c r="U415" s="670"/>
      <c r="V415" s="670"/>
      <c r="W415" s="670"/>
      <c r="X415" s="670"/>
      <c r="Y415" s="670"/>
      <c r="Z415" s="670"/>
      <c r="AA415" s="670"/>
      <c r="AB415" s="670"/>
      <c r="AC415" s="670"/>
      <c r="AD415" s="670"/>
      <c r="AE415" s="534"/>
      <c r="AF415" s="537"/>
      <c r="AG415" s="534"/>
      <c r="AM415" s="566"/>
      <c r="AN415" s="593"/>
      <c r="BS415" s="566"/>
      <c r="BT415" s="566"/>
      <c r="BU415" s="566"/>
    </row>
    <row r="416" spans="1:81" s="547" customFormat="1" ht="12.75" customHeight="1">
      <c r="A416" s="534"/>
      <c r="B416" s="14"/>
      <c r="C416" s="707"/>
      <c r="D416" s="708"/>
      <c r="E416" s="709" t="s">
        <v>1458</v>
      </c>
      <c r="F416" s="1401" t="s">
        <v>1459</v>
      </c>
      <c r="G416" s="1401"/>
      <c r="H416" s="1401"/>
      <c r="I416" s="1401"/>
      <c r="J416" s="1401"/>
      <c r="K416" s="1401"/>
      <c r="L416" s="1401"/>
      <c r="M416" s="1401"/>
      <c r="N416" s="1401"/>
      <c r="O416" s="1401"/>
      <c r="P416" s="1401"/>
      <c r="Q416" s="1401"/>
      <c r="R416" s="1401"/>
      <c r="S416" s="1401"/>
      <c r="T416" s="1401"/>
      <c r="U416" s="1401"/>
      <c r="V416" s="1401"/>
      <c r="W416" s="1401"/>
      <c r="X416" s="1401"/>
      <c r="Y416" s="1401"/>
      <c r="Z416" s="1401"/>
      <c r="AA416" s="1401"/>
      <c r="AB416" s="1401"/>
      <c r="AC416" s="1401"/>
      <c r="AD416" s="1401"/>
      <c r="AE416" s="1401"/>
      <c r="AF416" s="1401"/>
      <c r="AG416" s="710"/>
      <c r="AH416" s="710"/>
      <c r="AI416" s="710"/>
      <c r="AJ416" s="710"/>
      <c r="AK416" s="710"/>
      <c r="AL416" s="711"/>
      <c r="AM416" s="566"/>
      <c r="AN416" s="593"/>
      <c r="BS416" s="566"/>
      <c r="BT416" s="566"/>
      <c r="BU416" s="566"/>
      <c r="BV416" s="566"/>
      <c r="BW416" s="566"/>
      <c r="BX416" s="566"/>
      <c r="BY416" s="566"/>
      <c r="BZ416" s="566"/>
      <c r="CA416" s="566"/>
      <c r="CB416" s="566"/>
      <c r="CC416" s="566"/>
    </row>
    <row r="417" spans="1:81" s="547" customFormat="1" ht="12.75" customHeight="1">
      <c r="A417" s="534"/>
      <c r="B417" s="14"/>
      <c r="C417" s="725"/>
      <c r="D417" s="14"/>
      <c r="E417" s="685"/>
      <c r="F417" s="1273"/>
      <c r="G417" s="1273"/>
      <c r="H417" s="1273"/>
      <c r="I417" s="1273"/>
      <c r="J417" s="1273"/>
      <c r="K417" s="1273"/>
      <c r="L417" s="1273"/>
      <c r="M417" s="1273"/>
      <c r="N417" s="1273"/>
      <c r="O417" s="1273"/>
      <c r="P417" s="1273"/>
      <c r="Q417" s="1273"/>
      <c r="R417" s="1273"/>
      <c r="S417" s="1273"/>
      <c r="T417" s="1273"/>
      <c r="U417" s="1273"/>
      <c r="V417" s="1273"/>
      <c r="W417" s="1273"/>
      <c r="X417" s="1273"/>
      <c r="Y417" s="1273"/>
      <c r="Z417" s="1273"/>
      <c r="AA417" s="1273"/>
      <c r="AB417" s="1273"/>
      <c r="AC417" s="1273"/>
      <c r="AD417" s="1273"/>
      <c r="AE417" s="1273"/>
      <c r="AF417" s="1273"/>
      <c r="AG417" s="537"/>
      <c r="AH417" s="537"/>
      <c r="AI417" s="537"/>
      <c r="AJ417" s="537"/>
      <c r="AK417" s="537"/>
      <c r="AL417" s="714"/>
      <c r="AM417" s="566"/>
      <c r="AN417" s="593"/>
      <c r="BS417" s="566"/>
      <c r="BT417" s="566"/>
      <c r="BU417" s="566"/>
      <c r="BV417" s="566"/>
      <c r="BW417" s="566"/>
      <c r="BX417" s="566"/>
      <c r="BY417" s="566"/>
      <c r="BZ417" s="566"/>
      <c r="CA417" s="566"/>
      <c r="CB417" s="566"/>
      <c r="CC417" s="566"/>
    </row>
    <row r="418" spans="1:81">
      <c r="A418" s="534"/>
      <c r="C418" s="725"/>
      <c r="E418" s="685"/>
      <c r="F418" s="1273"/>
      <c r="G418" s="1273"/>
      <c r="H418" s="1273"/>
      <c r="I418" s="1273"/>
      <c r="J418" s="1273"/>
      <c r="K418" s="1273"/>
      <c r="L418" s="1273"/>
      <c r="M418" s="1273"/>
      <c r="N418" s="1273"/>
      <c r="O418" s="1273"/>
      <c r="P418" s="1273"/>
      <c r="Q418" s="1273"/>
      <c r="R418" s="1273"/>
      <c r="S418" s="1273"/>
      <c r="T418" s="1273"/>
      <c r="U418" s="1273"/>
      <c r="V418" s="1273"/>
      <c r="W418" s="1273"/>
      <c r="X418" s="1273"/>
      <c r="Y418" s="1273"/>
      <c r="Z418" s="1273"/>
      <c r="AA418" s="1273"/>
      <c r="AB418" s="1273"/>
      <c r="AC418" s="1273"/>
      <c r="AD418" s="1273"/>
      <c r="AE418" s="1273"/>
      <c r="AF418" s="1273"/>
      <c r="AG418" s="537"/>
      <c r="AH418" s="537"/>
      <c r="AI418" s="537"/>
      <c r="AJ418" s="537"/>
      <c r="AK418" s="537"/>
      <c r="AL418" s="714"/>
      <c r="AM418" s="566"/>
      <c r="BS418" s="566"/>
      <c r="BT418" s="566"/>
      <c r="BU418" s="566"/>
      <c r="BV418" s="566"/>
      <c r="BW418" s="566"/>
      <c r="BX418" s="566"/>
      <c r="BY418" s="566"/>
      <c r="BZ418" s="566"/>
      <c r="CA418" s="566"/>
      <c r="CB418" s="566"/>
      <c r="CC418" s="566"/>
    </row>
    <row r="419" spans="1:81" s="547" customFormat="1" ht="12.75" customHeight="1">
      <c r="B419" s="14"/>
      <c r="C419" s="725"/>
      <c r="D419" s="14"/>
      <c r="E419" s="685"/>
      <c r="F419" s="1273"/>
      <c r="G419" s="1273"/>
      <c r="H419" s="1273"/>
      <c r="I419" s="1273"/>
      <c r="J419" s="1273"/>
      <c r="K419" s="1273"/>
      <c r="L419" s="1273"/>
      <c r="M419" s="1273"/>
      <c r="N419" s="1273"/>
      <c r="O419" s="1273"/>
      <c r="P419" s="1273"/>
      <c r="Q419" s="1273"/>
      <c r="R419" s="1273"/>
      <c r="S419" s="1273"/>
      <c r="T419" s="1273"/>
      <c r="U419" s="1273"/>
      <c r="V419" s="1273"/>
      <c r="W419" s="1273"/>
      <c r="X419" s="1273"/>
      <c r="Y419" s="1273"/>
      <c r="Z419" s="1273"/>
      <c r="AA419" s="1273"/>
      <c r="AB419" s="1273"/>
      <c r="AC419" s="1273"/>
      <c r="AD419" s="1273"/>
      <c r="AE419" s="1273"/>
      <c r="AF419" s="1273"/>
      <c r="AG419" s="537"/>
      <c r="AH419" s="537"/>
      <c r="AI419" s="537"/>
      <c r="AJ419" s="537"/>
      <c r="AK419" s="537"/>
      <c r="AL419" s="714"/>
      <c r="AM419" s="566"/>
      <c r="AN419" s="593"/>
      <c r="BS419" s="566"/>
      <c r="BT419" s="566"/>
      <c r="BY419" s="566"/>
      <c r="BZ419" s="566"/>
      <c r="CA419" s="566"/>
      <c r="CB419" s="566"/>
      <c r="CC419" s="566"/>
    </row>
    <row r="420" spans="1:81" s="547" customFormat="1" ht="12.75" customHeight="1">
      <c r="A420" s="534"/>
      <c r="B420" s="14"/>
      <c r="C420" s="1398" t="s">
        <v>590</v>
      </c>
      <c r="D420" s="1357"/>
      <c r="E420" s="685"/>
      <c r="F420" s="715" t="s">
        <v>1460</v>
      </c>
      <c r="G420" s="599"/>
      <c r="H420" s="599"/>
      <c r="I420" s="599"/>
      <c r="J420" s="599"/>
      <c r="K420" s="599"/>
      <c r="L420" s="599"/>
      <c r="M420" s="599"/>
      <c r="N420" s="599"/>
      <c r="O420" s="599"/>
      <c r="P420" s="599"/>
      <c r="Q420" s="599"/>
      <c r="R420" s="599"/>
      <c r="S420" s="599"/>
      <c r="T420" s="599"/>
      <c r="U420" s="599"/>
      <c r="V420" s="599"/>
      <c r="W420" s="599"/>
      <c r="X420" s="599"/>
      <c r="Y420" s="599"/>
      <c r="Z420" s="599"/>
      <c r="AA420" s="599"/>
      <c r="AB420" s="599"/>
      <c r="AC420" s="599"/>
      <c r="AD420" s="599"/>
      <c r="AF420" s="1399" t="s">
        <v>1450</v>
      </c>
      <c r="AG420" s="1399"/>
      <c r="AH420" s="1399"/>
      <c r="AI420" s="1399"/>
      <c r="AJ420" s="1399"/>
      <c r="AK420" s="1399"/>
      <c r="AL420" s="1400"/>
      <c r="AM420" s="566"/>
      <c r="AN420" s="593"/>
      <c r="BS420" s="566"/>
      <c r="BT420" s="566"/>
      <c r="BY420" s="566"/>
      <c r="BZ420" s="566"/>
      <c r="CA420" s="566"/>
      <c r="CB420" s="566"/>
      <c r="CC420" s="566"/>
    </row>
    <row r="421" spans="1:81" s="547" customFormat="1" ht="12.75" customHeight="1">
      <c r="A421" s="534"/>
      <c r="B421" s="14"/>
      <c r="C421" s="725"/>
      <c r="D421" s="14"/>
      <c r="E421" s="685"/>
      <c r="G421" s="599"/>
      <c r="H421" s="599"/>
      <c r="I421" s="599"/>
      <c r="J421" s="599"/>
      <c r="K421" s="599"/>
      <c r="L421" s="599"/>
      <c r="M421" s="599"/>
      <c r="N421" s="599"/>
      <c r="O421" s="599"/>
      <c r="P421" s="599"/>
      <c r="Q421" s="599"/>
      <c r="R421" s="599"/>
      <c r="S421" s="599"/>
      <c r="T421" s="599"/>
      <c r="U421" s="599"/>
      <c r="V421" s="599"/>
      <c r="W421" s="599"/>
      <c r="X421" s="599"/>
      <c r="Y421" s="599"/>
      <c r="Z421" s="599"/>
      <c r="AA421" s="599"/>
      <c r="AB421" s="599"/>
      <c r="AC421" s="599"/>
      <c r="AD421" s="599"/>
      <c r="AL421" s="726"/>
      <c r="AM421" s="566"/>
      <c r="AN421" s="593"/>
      <c r="BS421" s="566"/>
      <c r="BT421" s="566"/>
      <c r="BY421" s="566"/>
      <c r="BZ421" s="566"/>
      <c r="CA421" s="566"/>
      <c r="CB421" s="566"/>
      <c r="CC421" s="566"/>
    </row>
    <row r="422" spans="1:81" s="547" customFormat="1" ht="12.75" customHeight="1">
      <c r="A422" s="534"/>
      <c r="B422" s="14"/>
      <c r="C422" s="1398" t="s">
        <v>590</v>
      </c>
      <c r="D422" s="1357"/>
      <c r="E422" s="713"/>
      <c r="F422" s="715" t="s">
        <v>1461</v>
      </c>
      <c r="G422" s="599"/>
      <c r="H422" s="599"/>
      <c r="I422" s="599"/>
      <c r="J422" s="599"/>
      <c r="K422" s="599"/>
      <c r="L422" s="599"/>
      <c r="M422" s="599"/>
      <c r="N422" s="599"/>
      <c r="O422" s="599"/>
      <c r="P422" s="599"/>
      <c r="Q422" s="599"/>
      <c r="R422" s="599"/>
      <c r="S422" s="599"/>
      <c r="T422" s="599"/>
      <c r="U422" s="599"/>
      <c r="V422" s="599"/>
      <c r="W422" s="599"/>
      <c r="X422" s="599"/>
      <c r="Y422" s="599"/>
      <c r="Z422" s="599"/>
      <c r="AA422" s="599"/>
      <c r="AB422" s="599"/>
      <c r="AC422" s="599"/>
      <c r="AD422" s="599"/>
      <c r="AF422" s="1399" t="s">
        <v>1462</v>
      </c>
      <c r="AG422" s="1399"/>
      <c r="AH422" s="1399"/>
      <c r="AI422" s="1399"/>
      <c r="AJ422" s="1399"/>
      <c r="AK422" s="1399"/>
      <c r="AL422" s="1400"/>
      <c r="AM422" s="566"/>
      <c r="AN422" s="593"/>
      <c r="BS422" s="566"/>
      <c r="BT422" s="566"/>
      <c r="BY422" s="566"/>
      <c r="BZ422" s="566"/>
      <c r="CA422" s="566"/>
      <c r="CB422" s="566"/>
      <c r="CC422" s="566"/>
    </row>
    <row r="423" spans="1:81" s="547" customFormat="1" ht="12.75" customHeight="1">
      <c r="A423" s="534"/>
      <c r="B423" s="14"/>
      <c r="C423" s="737"/>
      <c r="D423" s="721"/>
      <c r="E423" s="718"/>
      <c r="F423" s="721"/>
      <c r="G423" s="720"/>
      <c r="H423" s="720"/>
      <c r="I423" s="720"/>
      <c r="J423" s="720"/>
      <c r="K423" s="720"/>
      <c r="L423" s="720"/>
      <c r="M423" s="720"/>
      <c r="N423" s="720"/>
      <c r="O423" s="720"/>
      <c r="P423" s="720"/>
      <c r="Q423" s="720"/>
      <c r="R423" s="720"/>
      <c r="S423" s="720"/>
      <c r="T423" s="720"/>
      <c r="U423" s="720"/>
      <c r="V423" s="720"/>
      <c r="W423" s="720"/>
      <c r="X423" s="720"/>
      <c r="Y423" s="720"/>
      <c r="Z423" s="720"/>
      <c r="AA423" s="720"/>
      <c r="AB423" s="720"/>
      <c r="AC423" s="720"/>
      <c r="AD423" s="720"/>
      <c r="AE423" s="721"/>
      <c r="AF423" s="721"/>
      <c r="AG423" s="721"/>
      <c r="AH423" s="721"/>
      <c r="AI423" s="721"/>
      <c r="AJ423" s="721"/>
      <c r="AK423" s="721"/>
      <c r="AL423" s="736"/>
      <c r="AM423" s="566"/>
      <c r="AN423" s="593"/>
      <c r="BS423" s="566"/>
      <c r="BT423" s="566"/>
      <c r="BY423" s="566"/>
      <c r="BZ423" s="566"/>
      <c r="CA423" s="566"/>
      <c r="CB423" s="566"/>
      <c r="CC423" s="566"/>
    </row>
    <row r="424" spans="1:81" s="547" customFormat="1" ht="12.75" customHeight="1">
      <c r="A424" s="534"/>
      <c r="B424" s="14"/>
      <c r="C424" s="14"/>
      <c r="D424" s="14"/>
      <c r="E424" s="685"/>
      <c r="G424" s="599"/>
      <c r="H424" s="599"/>
      <c r="I424" s="599"/>
      <c r="J424" s="599"/>
      <c r="K424" s="599"/>
      <c r="L424" s="599"/>
      <c r="M424" s="599"/>
      <c r="N424" s="599"/>
      <c r="O424" s="599"/>
      <c r="P424" s="599"/>
      <c r="Q424" s="599"/>
      <c r="R424" s="599"/>
      <c r="S424" s="599"/>
      <c r="T424" s="599"/>
      <c r="U424" s="599"/>
      <c r="V424" s="599"/>
      <c r="W424" s="599"/>
      <c r="X424" s="599"/>
      <c r="Y424" s="599"/>
      <c r="Z424" s="599"/>
      <c r="AA424" s="599"/>
      <c r="AB424" s="599"/>
      <c r="AC424" s="599"/>
      <c r="AD424" s="599"/>
      <c r="AE424" s="534"/>
      <c r="AF424" s="537"/>
      <c r="AG424" s="534"/>
      <c r="AM424" s="566"/>
      <c r="AN424" s="593"/>
      <c r="BS424" s="566"/>
      <c r="BT424" s="566"/>
      <c r="BY424" s="566"/>
      <c r="BZ424" s="566"/>
      <c r="CA424" s="566"/>
      <c r="CB424" s="566"/>
      <c r="CC424" s="566"/>
    </row>
    <row r="425" spans="1:81" s="547" customFormat="1" ht="12.75" customHeight="1">
      <c r="A425" s="534"/>
      <c r="B425" s="14"/>
      <c r="C425" s="1398" t="s">
        <v>590</v>
      </c>
      <c r="D425" s="1357"/>
      <c r="E425" s="709" t="s">
        <v>1463</v>
      </c>
      <c r="F425" s="1401" t="s">
        <v>1464</v>
      </c>
      <c r="G425" s="1401"/>
      <c r="H425" s="1401"/>
      <c r="I425" s="1401"/>
      <c r="J425" s="1401"/>
      <c r="K425" s="1401"/>
      <c r="L425" s="1401"/>
      <c r="M425" s="1401"/>
      <c r="N425" s="1401"/>
      <c r="O425" s="1401"/>
      <c r="P425" s="1401"/>
      <c r="Q425" s="1401"/>
      <c r="R425" s="1401"/>
      <c r="S425" s="1401"/>
      <c r="T425" s="1401"/>
      <c r="U425" s="1401"/>
      <c r="V425" s="1401"/>
      <c r="W425" s="1401"/>
      <c r="X425" s="1401"/>
      <c r="Y425" s="1401"/>
      <c r="Z425" s="1401"/>
      <c r="AA425" s="1401"/>
      <c r="AB425" s="1401"/>
      <c r="AC425" s="1401"/>
      <c r="AD425" s="1401"/>
      <c r="AE425" s="1401"/>
      <c r="AF425" s="710"/>
      <c r="AG425" s="738"/>
      <c r="AH425" s="708"/>
      <c r="AI425" s="708"/>
      <c r="AJ425" s="708"/>
      <c r="AK425" s="708"/>
      <c r="AL425" s="739"/>
      <c r="AM425" s="566"/>
      <c r="AN425" s="593"/>
      <c r="BS425" s="566"/>
      <c r="BT425" s="566"/>
      <c r="BY425" s="566"/>
      <c r="BZ425" s="566"/>
      <c r="CA425" s="566"/>
      <c r="CB425" s="566"/>
      <c r="CC425" s="566"/>
    </row>
    <row r="426" spans="1:81" s="547" customFormat="1" ht="12.75" customHeight="1">
      <c r="A426" s="534"/>
      <c r="B426" s="14"/>
      <c r="C426" s="733"/>
      <c r="F426" s="1273"/>
      <c r="G426" s="1273"/>
      <c r="H426" s="1273"/>
      <c r="I426" s="1273"/>
      <c r="J426" s="1273"/>
      <c r="K426" s="1273"/>
      <c r="L426" s="1273"/>
      <c r="M426" s="1273"/>
      <c r="N426" s="1273"/>
      <c r="O426" s="1273"/>
      <c r="P426" s="1273"/>
      <c r="Q426" s="1273"/>
      <c r="R426" s="1273"/>
      <c r="S426" s="1273"/>
      <c r="T426" s="1273"/>
      <c r="U426" s="1273"/>
      <c r="V426" s="1273"/>
      <c r="W426" s="1273"/>
      <c r="X426" s="1273"/>
      <c r="Y426" s="1273"/>
      <c r="Z426" s="1273"/>
      <c r="AA426" s="1273"/>
      <c r="AB426" s="1273"/>
      <c r="AC426" s="1273"/>
      <c r="AD426" s="1273"/>
      <c r="AE426" s="1273"/>
      <c r="AF426" s="1335" t="s">
        <v>1450</v>
      </c>
      <c r="AG426" s="1335"/>
      <c r="AH426" s="1335"/>
      <c r="AI426" s="1335"/>
      <c r="AJ426" s="1335"/>
      <c r="AK426" s="1335"/>
      <c r="AL426" s="1402"/>
      <c r="AM426" s="566"/>
      <c r="AN426" s="593"/>
      <c r="BS426" s="566"/>
      <c r="BT426" s="566"/>
      <c r="BY426" s="566"/>
      <c r="BZ426" s="566"/>
      <c r="CA426" s="566"/>
      <c r="CB426" s="566"/>
      <c r="CC426" s="566"/>
    </row>
    <row r="427" spans="1:81" s="547" customFormat="1" ht="12.75" customHeight="1">
      <c r="A427" s="534"/>
      <c r="B427" s="14"/>
      <c r="C427" s="725"/>
      <c r="D427" s="14"/>
      <c r="E427" s="685"/>
      <c r="F427" s="1273"/>
      <c r="G427" s="1273"/>
      <c r="H427" s="1273"/>
      <c r="I427" s="1273"/>
      <c r="J427" s="1273"/>
      <c r="K427" s="1273"/>
      <c r="L427" s="1273"/>
      <c r="M427" s="1273"/>
      <c r="N427" s="1273"/>
      <c r="O427" s="1273"/>
      <c r="P427" s="1273"/>
      <c r="Q427" s="1273"/>
      <c r="R427" s="1273"/>
      <c r="S427" s="1273"/>
      <c r="T427" s="1273"/>
      <c r="U427" s="1273"/>
      <c r="V427" s="1273"/>
      <c r="W427" s="1273"/>
      <c r="X427" s="1273"/>
      <c r="Y427" s="1273"/>
      <c r="Z427" s="1273"/>
      <c r="AA427" s="1273"/>
      <c r="AB427" s="1273"/>
      <c r="AC427" s="1273"/>
      <c r="AD427" s="1273"/>
      <c r="AE427" s="1273"/>
      <c r="AL427" s="726"/>
      <c r="AM427" s="566"/>
      <c r="AN427" s="593"/>
      <c r="BS427" s="566"/>
      <c r="BT427" s="566"/>
      <c r="BU427" s="566"/>
      <c r="BV427" s="566"/>
      <c r="BW427" s="566"/>
      <c r="BX427" s="566"/>
      <c r="BY427" s="566"/>
      <c r="BZ427" s="566"/>
      <c r="CA427" s="566"/>
      <c r="CB427" s="566"/>
      <c r="CC427" s="566"/>
    </row>
    <row r="428" spans="1:81" s="547" customFormat="1" ht="12.75" customHeight="1">
      <c r="A428" s="534"/>
      <c r="B428" s="14"/>
      <c r="C428" s="734"/>
      <c r="D428" s="727"/>
      <c r="E428" s="728"/>
      <c r="F428" s="1430"/>
      <c r="G428" s="1430"/>
      <c r="H428" s="1430"/>
      <c r="I428" s="1430"/>
      <c r="J428" s="1430"/>
      <c r="K428" s="1430"/>
      <c r="L428" s="1430"/>
      <c r="M428" s="1430"/>
      <c r="N428" s="1430"/>
      <c r="O428" s="1430"/>
      <c r="P428" s="1430"/>
      <c r="Q428" s="1430"/>
      <c r="R428" s="1430"/>
      <c r="S428" s="1430"/>
      <c r="T428" s="1430"/>
      <c r="U428" s="1430"/>
      <c r="V428" s="1430"/>
      <c r="W428" s="1430"/>
      <c r="X428" s="1430"/>
      <c r="Y428" s="1430"/>
      <c r="Z428" s="1430"/>
      <c r="AA428" s="1430"/>
      <c r="AB428" s="1430"/>
      <c r="AC428" s="1430"/>
      <c r="AD428" s="1430"/>
      <c r="AE428" s="1430"/>
      <c r="AF428" s="579"/>
      <c r="AG428" s="731"/>
      <c r="AH428" s="721"/>
      <c r="AI428" s="721"/>
      <c r="AJ428" s="721"/>
      <c r="AK428" s="721"/>
      <c r="AL428" s="736"/>
      <c r="AM428" s="566"/>
      <c r="AN428" s="593"/>
    </row>
    <row r="429" spans="1:81">
      <c r="A429" s="534"/>
      <c r="E429" s="685"/>
      <c r="F429" s="599"/>
      <c r="G429" s="599"/>
      <c r="H429" s="599"/>
      <c r="I429" s="599"/>
      <c r="J429" s="599"/>
      <c r="K429" s="599"/>
      <c r="L429" s="599"/>
      <c r="M429" s="599"/>
      <c r="N429" s="599"/>
      <c r="O429" s="599"/>
      <c r="P429" s="599"/>
      <c r="Q429" s="599"/>
      <c r="R429" s="599"/>
      <c r="S429" s="599"/>
      <c r="T429" s="599"/>
      <c r="U429" s="599"/>
      <c r="V429" s="599"/>
      <c r="W429" s="599"/>
      <c r="X429" s="599"/>
      <c r="Y429" s="599"/>
      <c r="Z429" s="599"/>
      <c r="AA429" s="599"/>
      <c r="AB429" s="599"/>
      <c r="AC429" s="599"/>
      <c r="AD429" s="599"/>
      <c r="AE429" s="534"/>
      <c r="AF429" s="537"/>
      <c r="AG429" s="534"/>
      <c r="AH429" s="547"/>
      <c r="AI429" s="547"/>
      <c r="AJ429" s="547"/>
      <c r="AK429" s="547"/>
      <c r="AL429" s="547"/>
      <c r="AM429" s="566"/>
    </row>
    <row r="430" spans="1:81" ht="12.75" customHeight="1">
      <c r="A430" s="534"/>
      <c r="C430" s="740"/>
      <c r="D430" s="741"/>
      <c r="E430" s="709" t="s">
        <v>1465</v>
      </c>
      <c r="F430" s="1401" t="s">
        <v>1466</v>
      </c>
      <c r="G430" s="1401"/>
      <c r="H430" s="1401"/>
      <c r="I430" s="1401"/>
      <c r="J430" s="1401"/>
      <c r="K430" s="1401"/>
      <c r="L430" s="1401"/>
      <c r="M430" s="1401"/>
      <c r="N430" s="1401"/>
      <c r="O430" s="1401"/>
      <c r="P430" s="1401"/>
      <c r="Q430" s="1401"/>
      <c r="R430" s="1401"/>
      <c r="S430" s="1401"/>
      <c r="T430" s="1401"/>
      <c r="U430" s="1401"/>
      <c r="V430" s="1401"/>
      <c r="W430" s="1401"/>
      <c r="X430" s="1401"/>
      <c r="Y430" s="1401"/>
      <c r="Z430" s="1401"/>
      <c r="AA430" s="1401"/>
      <c r="AB430" s="1401"/>
      <c r="AC430" s="1401"/>
      <c r="AD430" s="1401"/>
      <c r="AE430" s="1401"/>
      <c r="AF430" s="741"/>
      <c r="AG430" s="741"/>
      <c r="AH430" s="741"/>
      <c r="AI430" s="741"/>
      <c r="AJ430" s="741"/>
      <c r="AK430" s="741"/>
      <c r="AL430" s="742"/>
      <c r="AM430" s="566"/>
    </row>
    <row r="431" spans="1:81">
      <c r="A431" s="534"/>
      <c r="C431" s="725"/>
      <c r="E431" s="685"/>
      <c r="F431" s="1273"/>
      <c r="G431" s="1273"/>
      <c r="H431" s="1273"/>
      <c r="I431" s="1273"/>
      <c r="J431" s="1273"/>
      <c r="K431" s="1273"/>
      <c r="L431" s="1273"/>
      <c r="M431" s="1273"/>
      <c r="N431" s="1273"/>
      <c r="O431" s="1273"/>
      <c r="P431" s="1273"/>
      <c r="Q431" s="1273"/>
      <c r="R431" s="1273"/>
      <c r="S431" s="1273"/>
      <c r="T431" s="1273"/>
      <c r="U431" s="1273"/>
      <c r="V431" s="1273"/>
      <c r="W431" s="1273"/>
      <c r="X431" s="1273"/>
      <c r="Y431" s="1273"/>
      <c r="Z431" s="1273"/>
      <c r="AA431" s="1273"/>
      <c r="AB431" s="1273"/>
      <c r="AC431" s="1273"/>
      <c r="AD431" s="1273"/>
      <c r="AE431" s="1273"/>
      <c r="AF431" s="537"/>
      <c r="AG431" s="534"/>
      <c r="AH431" s="547"/>
      <c r="AI431" s="547"/>
      <c r="AJ431" s="547"/>
      <c r="AK431" s="547"/>
      <c r="AL431" s="726"/>
      <c r="AM431" s="566"/>
    </row>
    <row r="432" spans="1:81" s="547" customFormat="1" ht="12.75" customHeight="1">
      <c r="A432" s="534"/>
      <c r="B432" s="14"/>
      <c r="C432" s="725"/>
      <c r="D432" s="14"/>
      <c r="E432" s="685"/>
      <c r="F432" s="1273"/>
      <c r="G432" s="1273"/>
      <c r="H432" s="1273"/>
      <c r="I432" s="1273"/>
      <c r="J432" s="1273"/>
      <c r="K432" s="1273"/>
      <c r="L432" s="1273"/>
      <c r="M432" s="1273"/>
      <c r="N432" s="1273"/>
      <c r="O432" s="1273"/>
      <c r="P432" s="1273"/>
      <c r="Q432" s="1273"/>
      <c r="R432" s="1273"/>
      <c r="S432" s="1273"/>
      <c r="T432" s="1273"/>
      <c r="U432" s="1273"/>
      <c r="V432" s="1273"/>
      <c r="W432" s="1273"/>
      <c r="X432" s="1273"/>
      <c r="Y432" s="1273"/>
      <c r="Z432" s="1273"/>
      <c r="AA432" s="1273"/>
      <c r="AB432" s="1273"/>
      <c r="AC432" s="1273"/>
      <c r="AD432" s="1273"/>
      <c r="AE432" s="1273"/>
      <c r="AL432" s="726"/>
      <c r="AM432" s="566"/>
      <c r="AN432" s="593"/>
    </row>
    <row r="433" spans="1:60" s="547" customFormat="1" ht="12.75" customHeight="1">
      <c r="A433" s="534"/>
      <c r="B433" s="14"/>
      <c r="C433" s="733"/>
      <c r="F433" s="1273"/>
      <c r="G433" s="1273"/>
      <c r="H433" s="1273"/>
      <c r="I433" s="1273"/>
      <c r="J433" s="1273"/>
      <c r="K433" s="1273"/>
      <c r="L433" s="1273"/>
      <c r="M433" s="1273"/>
      <c r="N433" s="1273"/>
      <c r="O433" s="1273"/>
      <c r="P433" s="1273"/>
      <c r="Q433" s="1273"/>
      <c r="R433" s="1273"/>
      <c r="S433" s="1273"/>
      <c r="T433" s="1273"/>
      <c r="U433" s="1273"/>
      <c r="V433" s="1273"/>
      <c r="W433" s="1273"/>
      <c r="X433" s="1273"/>
      <c r="Y433" s="1273"/>
      <c r="Z433" s="1273"/>
      <c r="AA433" s="1273"/>
      <c r="AB433" s="1273"/>
      <c r="AC433" s="1273"/>
      <c r="AD433" s="1273"/>
      <c r="AE433" s="1273"/>
      <c r="AL433" s="726"/>
      <c r="AM433" s="566"/>
      <c r="AN433" s="593"/>
    </row>
    <row r="434" spans="1:60" s="547" customFormat="1" ht="12.75" customHeight="1">
      <c r="A434" s="534"/>
      <c r="B434" s="14"/>
      <c r="C434" s="1398" t="s">
        <v>544</v>
      </c>
      <c r="D434" s="1357"/>
      <c r="E434" s="685"/>
      <c r="F434" s="715" t="s">
        <v>1467</v>
      </c>
      <c r="G434" s="599"/>
      <c r="H434" s="599"/>
      <c r="I434" s="599"/>
      <c r="J434" s="599"/>
      <c r="K434" s="599"/>
      <c r="L434" s="599"/>
      <c r="M434" s="599"/>
      <c r="N434" s="599"/>
      <c r="O434" s="599"/>
      <c r="P434" s="599"/>
      <c r="Q434" s="599"/>
      <c r="R434" s="599"/>
      <c r="S434" s="599"/>
      <c r="T434" s="599"/>
      <c r="U434" s="599"/>
      <c r="V434" s="599"/>
      <c r="W434" s="599"/>
      <c r="X434" s="599"/>
      <c r="Y434" s="599"/>
      <c r="Z434" s="599"/>
      <c r="AA434" s="599"/>
      <c r="AB434" s="599"/>
      <c r="AC434" s="599"/>
      <c r="AD434" s="599"/>
      <c r="AF434" s="1335" t="s">
        <v>1450</v>
      </c>
      <c r="AG434" s="1335"/>
      <c r="AH434" s="1335"/>
      <c r="AI434" s="1335"/>
      <c r="AJ434" s="1335"/>
      <c r="AK434" s="1335"/>
      <c r="AL434" s="1402"/>
      <c r="AM434" s="566"/>
      <c r="AN434" s="593"/>
    </row>
    <row r="435" spans="1:60" s="547" customFormat="1" ht="12.75" customHeight="1">
      <c r="A435" s="534"/>
      <c r="B435" s="14"/>
      <c r="C435" s="733"/>
      <c r="AL435" s="726"/>
      <c r="AM435" s="566"/>
      <c r="AN435" s="593"/>
    </row>
    <row r="436" spans="1:60" s="547" customFormat="1" ht="12.75" customHeight="1">
      <c r="A436" s="534"/>
      <c r="B436" s="14"/>
      <c r="C436" s="1398" t="s">
        <v>590</v>
      </c>
      <c r="D436" s="1357"/>
      <c r="E436" s="713"/>
      <c r="F436" s="715" t="s">
        <v>1468</v>
      </c>
      <c r="G436" s="599"/>
      <c r="H436" s="599"/>
      <c r="I436" s="599"/>
      <c r="J436" s="599"/>
      <c r="K436" s="599"/>
      <c r="L436" s="599"/>
      <c r="M436" s="599"/>
      <c r="N436" s="599"/>
      <c r="O436" s="599"/>
      <c r="P436" s="599"/>
      <c r="Q436" s="599"/>
      <c r="R436" s="599"/>
      <c r="S436" s="599"/>
      <c r="T436" s="599"/>
      <c r="U436" s="599"/>
      <c r="V436" s="599"/>
      <c r="W436" s="599"/>
      <c r="X436" s="599"/>
      <c r="Y436" s="599"/>
      <c r="Z436" s="599"/>
      <c r="AA436" s="599"/>
      <c r="AB436" s="599"/>
      <c r="AC436" s="599"/>
      <c r="AD436" s="599"/>
      <c r="AF436" s="1335" t="s">
        <v>1462</v>
      </c>
      <c r="AG436" s="1335"/>
      <c r="AH436" s="1335"/>
      <c r="AI436" s="1335"/>
      <c r="AJ436" s="1335"/>
      <c r="AK436" s="1335"/>
      <c r="AL436" s="1402"/>
      <c r="AM436" s="566"/>
      <c r="AN436" s="593"/>
      <c r="AO436" s="592"/>
      <c r="AP436" s="592"/>
      <c r="BC436" s="14"/>
    </row>
    <row r="437" spans="1:60" s="547" customFormat="1" ht="12.75" customHeight="1">
      <c r="A437" s="534"/>
      <c r="B437" s="14"/>
      <c r="C437" s="727"/>
      <c r="D437" s="727"/>
      <c r="E437" s="728"/>
      <c r="F437" s="719"/>
      <c r="G437" s="720"/>
      <c r="H437" s="720"/>
      <c r="I437" s="720"/>
      <c r="J437" s="720"/>
      <c r="K437" s="720"/>
      <c r="L437" s="720"/>
      <c r="M437" s="720"/>
      <c r="N437" s="720"/>
      <c r="O437" s="720"/>
      <c r="P437" s="720"/>
      <c r="Q437" s="720"/>
      <c r="R437" s="720"/>
      <c r="S437" s="720"/>
      <c r="T437" s="720"/>
      <c r="U437" s="720"/>
      <c r="V437" s="720"/>
      <c r="W437" s="720"/>
      <c r="X437" s="720"/>
      <c r="Y437" s="720"/>
      <c r="Z437" s="720"/>
      <c r="AA437" s="720"/>
      <c r="AB437" s="720"/>
      <c r="AC437" s="720"/>
      <c r="AD437" s="720"/>
      <c r="AE437" s="731"/>
      <c r="AF437" s="579"/>
      <c r="AG437" s="731"/>
      <c r="AH437" s="721"/>
      <c r="AI437" s="721"/>
      <c r="AJ437" s="721"/>
      <c r="AK437" s="721"/>
      <c r="AL437" s="736"/>
      <c r="AM437" s="566"/>
      <c r="AN437" s="593"/>
    </row>
    <row r="438" spans="1:60" s="547" customFormat="1" ht="12.75" customHeight="1">
      <c r="A438" s="534"/>
      <c r="B438" s="14"/>
      <c r="C438" s="14"/>
      <c r="D438" s="14"/>
      <c r="E438" s="685"/>
      <c r="F438" s="715"/>
      <c r="G438" s="599"/>
      <c r="H438" s="599"/>
      <c r="I438" s="599"/>
      <c r="J438" s="599"/>
      <c r="K438" s="599"/>
      <c r="L438" s="599"/>
      <c r="M438" s="599"/>
      <c r="N438" s="599"/>
      <c r="O438" s="599"/>
      <c r="P438" s="599"/>
      <c r="Q438" s="599"/>
      <c r="R438" s="599"/>
      <c r="S438" s="599"/>
      <c r="T438" s="599"/>
      <c r="U438" s="599"/>
      <c r="V438" s="599"/>
      <c r="W438" s="599"/>
      <c r="X438" s="599"/>
      <c r="Y438" s="599"/>
      <c r="Z438" s="599"/>
      <c r="AA438" s="599"/>
      <c r="AB438" s="599"/>
      <c r="AC438" s="599"/>
      <c r="AD438" s="599"/>
      <c r="AE438" s="534"/>
      <c r="AF438" s="537"/>
      <c r="AG438" s="534"/>
      <c r="AM438" s="566"/>
      <c r="AN438" s="593"/>
    </row>
    <row r="439" spans="1:60" s="547" customFormat="1" ht="12.75" customHeight="1">
      <c r="A439" s="534"/>
      <c r="B439" s="14"/>
      <c r="C439" s="706" t="s">
        <v>2160</v>
      </c>
      <c r="D439" s="14"/>
      <c r="E439" s="685"/>
      <c r="F439" s="599"/>
      <c r="G439" s="599"/>
      <c r="H439" s="599"/>
      <c r="I439" s="599"/>
      <c r="J439" s="599"/>
      <c r="K439" s="599"/>
      <c r="L439" s="599"/>
      <c r="M439" s="599"/>
      <c r="N439" s="599"/>
      <c r="O439" s="599"/>
      <c r="P439" s="599"/>
      <c r="Q439" s="599"/>
      <c r="R439" s="599"/>
      <c r="S439" s="599"/>
      <c r="T439" s="599"/>
      <c r="U439" s="599"/>
      <c r="V439" s="599"/>
      <c r="W439" s="599"/>
      <c r="X439" s="599"/>
      <c r="Y439" s="599"/>
      <c r="Z439" s="599"/>
      <c r="AA439" s="599"/>
      <c r="AB439" s="599"/>
      <c r="AC439" s="599"/>
      <c r="AD439" s="599"/>
      <c r="AE439" s="534"/>
      <c r="AF439" s="537"/>
      <c r="AG439" s="534"/>
      <c r="AM439" s="566"/>
      <c r="AN439" s="593"/>
    </row>
    <row r="440" spans="1:60" s="547" customFormat="1" ht="12.75" customHeight="1">
      <c r="A440" s="534"/>
      <c r="B440" s="14"/>
      <c r="C440" s="707"/>
      <c r="D440" s="708"/>
      <c r="E440" s="709" t="s">
        <v>1469</v>
      </c>
      <c r="F440" s="1401" t="s">
        <v>1470</v>
      </c>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708"/>
      <c r="AG440" s="708"/>
      <c r="AH440" s="708"/>
      <c r="AI440" s="708"/>
      <c r="AJ440" s="708"/>
      <c r="AK440" s="708"/>
      <c r="AL440" s="739"/>
      <c r="AM440" s="566"/>
      <c r="AN440" s="593"/>
    </row>
    <row r="441" spans="1:60" s="547" customFormat="1" ht="12.75" customHeight="1">
      <c r="A441" s="534"/>
      <c r="B441" s="14"/>
      <c r="C441" s="725"/>
      <c r="D441" s="14"/>
      <c r="E441" s="685"/>
      <c r="F441" s="1273"/>
      <c r="G441" s="1273"/>
      <c r="H441" s="1273"/>
      <c r="I441" s="1273"/>
      <c r="J441" s="1273"/>
      <c r="K441" s="1273"/>
      <c r="L441" s="1273"/>
      <c r="M441" s="1273"/>
      <c r="N441" s="1273"/>
      <c r="O441" s="1273"/>
      <c r="P441" s="1273"/>
      <c r="Q441" s="1273"/>
      <c r="R441" s="1273"/>
      <c r="S441" s="1273"/>
      <c r="T441" s="1273"/>
      <c r="U441" s="1273"/>
      <c r="V441" s="1273"/>
      <c r="W441" s="1273"/>
      <c r="X441" s="1273"/>
      <c r="Y441" s="1273"/>
      <c r="Z441" s="1273"/>
      <c r="AA441" s="1273"/>
      <c r="AB441" s="1273"/>
      <c r="AC441" s="1273"/>
      <c r="AD441" s="1273"/>
      <c r="AE441" s="1273"/>
      <c r="AF441" s="537"/>
      <c r="AG441" s="534"/>
      <c r="AL441" s="726"/>
      <c r="AM441" s="566"/>
      <c r="AN441" s="593"/>
    </row>
    <row r="442" spans="1:60" s="547" customFormat="1" ht="12.6" customHeight="1">
      <c r="A442" s="534"/>
      <c r="B442" s="14"/>
      <c r="C442" s="725"/>
      <c r="D442" s="14"/>
      <c r="E442" s="685"/>
      <c r="F442" s="1273"/>
      <c r="G442" s="1273"/>
      <c r="H442" s="1273"/>
      <c r="I442" s="1273"/>
      <c r="J442" s="1273"/>
      <c r="K442" s="1273"/>
      <c r="L442" s="1273"/>
      <c r="M442" s="1273"/>
      <c r="N442" s="1273"/>
      <c r="O442" s="1273"/>
      <c r="P442" s="1273"/>
      <c r="Q442" s="1273"/>
      <c r="R442" s="1273"/>
      <c r="S442" s="1273"/>
      <c r="T442" s="1273"/>
      <c r="U442" s="1273"/>
      <c r="V442" s="1273"/>
      <c r="W442" s="1273"/>
      <c r="X442" s="1273"/>
      <c r="Y442" s="1273"/>
      <c r="Z442" s="1273"/>
      <c r="AA442" s="1273"/>
      <c r="AB442" s="1273"/>
      <c r="AC442" s="1273"/>
      <c r="AD442" s="1273"/>
      <c r="AE442" s="1273"/>
      <c r="AL442" s="726"/>
      <c r="AM442" s="566"/>
      <c r="AN442" s="593"/>
    </row>
    <row r="443" spans="1:60" s="547" customFormat="1" ht="12.75" customHeight="1">
      <c r="A443" s="534"/>
      <c r="B443" s="14"/>
      <c r="C443" s="1398" t="s">
        <v>590</v>
      </c>
      <c r="D443" s="1357"/>
      <c r="E443" s="685"/>
      <c r="F443" s="715" t="s">
        <v>1471</v>
      </c>
      <c r="G443" s="743"/>
      <c r="H443" s="743"/>
      <c r="I443" s="743"/>
      <c r="J443" s="743"/>
      <c r="K443" s="743"/>
      <c r="L443" s="743"/>
      <c r="M443" s="743"/>
      <c r="N443" s="743"/>
      <c r="O443" s="743"/>
      <c r="P443" s="743"/>
      <c r="Q443" s="743"/>
      <c r="R443" s="743"/>
      <c r="S443" s="743"/>
      <c r="T443" s="743"/>
      <c r="U443" s="743"/>
      <c r="V443" s="743"/>
      <c r="W443" s="743"/>
      <c r="X443" s="743"/>
      <c r="Y443" s="743"/>
      <c r="Z443" s="743"/>
      <c r="AA443" s="743"/>
      <c r="AB443" s="743"/>
      <c r="AC443" s="743"/>
      <c r="AD443" s="743"/>
      <c r="AF443" s="1335" t="s">
        <v>1450</v>
      </c>
      <c r="AG443" s="1335"/>
      <c r="AH443" s="1335"/>
      <c r="AI443" s="1335"/>
      <c r="AJ443" s="1335"/>
      <c r="AK443" s="1335"/>
      <c r="AL443" s="1402"/>
      <c r="AM443" s="566"/>
      <c r="AN443" s="593"/>
    </row>
    <row r="444" spans="1:60" s="547" customFormat="1" ht="12.75" customHeight="1">
      <c r="A444" s="534"/>
      <c r="B444" s="14"/>
      <c r="C444" s="737"/>
      <c r="D444" s="721"/>
      <c r="E444" s="718"/>
      <c r="F444" s="735"/>
      <c r="G444" s="720"/>
      <c r="H444" s="720"/>
      <c r="I444" s="720"/>
      <c r="J444" s="720"/>
      <c r="K444" s="720"/>
      <c r="L444" s="720"/>
      <c r="M444" s="720"/>
      <c r="N444" s="720"/>
      <c r="O444" s="720"/>
      <c r="P444" s="720"/>
      <c r="Q444" s="720"/>
      <c r="R444" s="720"/>
      <c r="S444" s="720"/>
      <c r="T444" s="720"/>
      <c r="U444" s="720"/>
      <c r="V444" s="720"/>
      <c r="W444" s="720"/>
      <c r="X444" s="720"/>
      <c r="Y444" s="720"/>
      <c r="Z444" s="720"/>
      <c r="AA444" s="720"/>
      <c r="AB444" s="720"/>
      <c r="AC444" s="720"/>
      <c r="AD444" s="720"/>
      <c r="AE444" s="721"/>
      <c r="AF444" s="721"/>
      <c r="AG444" s="721"/>
      <c r="AH444" s="721"/>
      <c r="AI444" s="721"/>
      <c r="AJ444" s="721"/>
      <c r="AK444" s="721"/>
      <c r="AL444" s="736"/>
      <c r="AM444" s="566"/>
      <c r="AN444" s="593"/>
    </row>
    <row r="445" spans="1:60" s="547" customFormat="1" ht="12.75" customHeight="1">
      <c r="A445" s="534"/>
      <c r="B445" s="14"/>
      <c r="C445" s="724"/>
      <c r="D445" s="724"/>
      <c r="E445" s="713"/>
      <c r="F445" s="715"/>
      <c r="G445" s="599"/>
      <c r="H445" s="599"/>
      <c r="I445" s="599"/>
      <c r="J445" s="599"/>
      <c r="K445" s="599"/>
      <c r="L445" s="599"/>
      <c r="M445" s="599"/>
      <c r="N445" s="599"/>
      <c r="O445" s="599"/>
      <c r="P445" s="599"/>
      <c r="Q445" s="599"/>
      <c r="R445" s="599"/>
      <c r="S445" s="599"/>
      <c r="T445" s="599"/>
      <c r="U445" s="599"/>
      <c r="V445" s="599"/>
      <c r="W445" s="599"/>
      <c r="X445" s="599"/>
      <c r="Y445" s="599"/>
      <c r="Z445" s="599"/>
      <c r="AA445" s="599"/>
      <c r="AB445" s="599"/>
      <c r="AC445" s="599"/>
      <c r="AD445" s="599"/>
      <c r="AE445" s="534"/>
      <c r="AM445" s="566"/>
      <c r="AN445" s="593"/>
    </row>
    <row r="446" spans="1:60" ht="13.35" customHeight="1">
      <c r="A446" s="534"/>
      <c r="C446" s="740"/>
      <c r="D446" s="741"/>
      <c r="E446" s="709" t="s">
        <v>1472</v>
      </c>
      <c r="F446" s="1401" t="s">
        <v>1473</v>
      </c>
      <c r="G446" s="1401"/>
      <c r="H446" s="1401"/>
      <c r="I446" s="1401"/>
      <c r="J446" s="1401"/>
      <c r="K446" s="1401"/>
      <c r="L446" s="1401"/>
      <c r="M446" s="1401"/>
      <c r="N446" s="1401"/>
      <c r="O446" s="1401"/>
      <c r="P446" s="1401"/>
      <c r="Q446" s="1401"/>
      <c r="R446" s="1401"/>
      <c r="S446" s="1401"/>
      <c r="T446" s="1401"/>
      <c r="U446" s="1401"/>
      <c r="V446" s="1401"/>
      <c r="W446" s="1401"/>
      <c r="X446" s="1401"/>
      <c r="Y446" s="1401"/>
      <c r="Z446" s="1401"/>
      <c r="AA446" s="1401"/>
      <c r="AB446" s="1401"/>
      <c r="AC446" s="1401"/>
      <c r="AD446" s="1401"/>
      <c r="AE446" s="1401"/>
      <c r="AF446" s="741"/>
      <c r="AG446" s="741"/>
      <c r="AH446" s="741"/>
      <c r="AI446" s="741"/>
      <c r="AJ446" s="741"/>
      <c r="AK446" s="741"/>
      <c r="AL446" s="742"/>
      <c r="AM446" s="566"/>
      <c r="AO446" s="547"/>
      <c r="AP446" s="547"/>
      <c r="BD446" s="14"/>
      <c r="BE446" s="14"/>
      <c r="BF446" s="14"/>
      <c r="BG446" s="14"/>
      <c r="BH446" s="14"/>
    </row>
    <row r="447" spans="1:60">
      <c r="A447" s="534"/>
      <c r="C447" s="725"/>
      <c r="E447" s="685"/>
      <c r="F447" s="1273"/>
      <c r="G447" s="1273"/>
      <c r="H447" s="1273"/>
      <c r="I447" s="1273"/>
      <c r="J447" s="1273"/>
      <c r="K447" s="1273"/>
      <c r="L447" s="1273"/>
      <c r="M447" s="1273"/>
      <c r="N447" s="1273"/>
      <c r="O447" s="1273"/>
      <c r="P447" s="1273"/>
      <c r="Q447" s="1273"/>
      <c r="R447" s="1273"/>
      <c r="S447" s="1273"/>
      <c r="T447" s="1273"/>
      <c r="U447" s="1273"/>
      <c r="V447" s="1273"/>
      <c r="W447" s="1273"/>
      <c r="X447" s="1273"/>
      <c r="Y447" s="1273"/>
      <c r="Z447" s="1273"/>
      <c r="AA447" s="1273"/>
      <c r="AB447" s="1273"/>
      <c r="AC447" s="1273"/>
      <c r="AD447" s="1273"/>
      <c r="AE447" s="1273"/>
      <c r="AF447" s="590"/>
      <c r="AG447" s="590"/>
      <c r="AH447" s="590"/>
      <c r="AI447" s="590"/>
      <c r="AJ447" s="590"/>
      <c r="AK447" s="590"/>
      <c r="AL447" s="744"/>
      <c r="AM447" s="566"/>
      <c r="AO447" s="547"/>
      <c r="AP447" s="547"/>
    </row>
    <row r="448" spans="1:60" s="547" customFormat="1" ht="12.75" customHeight="1">
      <c r="A448" s="534"/>
      <c r="B448" s="14"/>
      <c r="C448" s="725"/>
      <c r="D448" s="14"/>
      <c r="E448" s="685"/>
      <c r="F448" s="1273"/>
      <c r="G448" s="1273"/>
      <c r="H448" s="1273"/>
      <c r="I448" s="1273"/>
      <c r="J448" s="1273"/>
      <c r="K448" s="1273"/>
      <c r="L448" s="1273"/>
      <c r="M448" s="1273"/>
      <c r="N448" s="1273"/>
      <c r="O448" s="1273"/>
      <c r="P448" s="1273"/>
      <c r="Q448" s="1273"/>
      <c r="R448" s="1273"/>
      <c r="S448" s="1273"/>
      <c r="T448" s="1273"/>
      <c r="U448" s="1273"/>
      <c r="V448" s="1273"/>
      <c r="W448" s="1273"/>
      <c r="X448" s="1273"/>
      <c r="Y448" s="1273"/>
      <c r="Z448" s="1273"/>
      <c r="AA448" s="1273"/>
      <c r="AB448" s="1273"/>
      <c r="AC448" s="1273"/>
      <c r="AD448" s="1273"/>
      <c r="AE448" s="1273"/>
      <c r="AF448" s="590"/>
      <c r="AG448" s="590"/>
      <c r="AH448" s="590"/>
      <c r="AI448" s="590"/>
      <c r="AJ448" s="590"/>
      <c r="AK448" s="590"/>
      <c r="AL448" s="744"/>
      <c r="AM448" s="566"/>
      <c r="AN448" s="593"/>
    </row>
    <row r="449" spans="1:42" s="547" customFormat="1" ht="12.75" customHeight="1">
      <c r="A449" s="534"/>
      <c r="B449" s="14"/>
      <c r="C449" s="745"/>
      <c r="D449" s="724"/>
      <c r="E449" s="713"/>
      <c r="F449" s="1273"/>
      <c r="G449" s="1273"/>
      <c r="H449" s="1273"/>
      <c r="I449" s="1273"/>
      <c r="J449" s="1273"/>
      <c r="K449" s="1273"/>
      <c r="L449" s="1273"/>
      <c r="M449" s="1273"/>
      <c r="N449" s="1273"/>
      <c r="O449" s="1273"/>
      <c r="P449" s="1273"/>
      <c r="Q449" s="1273"/>
      <c r="R449" s="1273"/>
      <c r="S449" s="1273"/>
      <c r="T449" s="1273"/>
      <c r="U449" s="1273"/>
      <c r="V449" s="1273"/>
      <c r="W449" s="1273"/>
      <c r="X449" s="1273"/>
      <c r="Y449" s="1273"/>
      <c r="Z449" s="1273"/>
      <c r="AA449" s="1273"/>
      <c r="AB449" s="1273"/>
      <c r="AC449" s="1273"/>
      <c r="AD449" s="1273"/>
      <c r="AE449" s="1273"/>
      <c r="AF449" s="590"/>
      <c r="AG449" s="590"/>
      <c r="AH449" s="590"/>
      <c r="AI449" s="590"/>
      <c r="AJ449" s="590"/>
      <c r="AK449" s="590"/>
      <c r="AL449" s="744"/>
      <c r="AM449" s="566"/>
      <c r="AN449" s="593"/>
      <c r="AO449" s="30"/>
      <c r="AP449" s="14"/>
    </row>
    <row r="450" spans="1:42" s="547" customFormat="1" ht="12.75" customHeight="1">
      <c r="A450" s="534"/>
      <c r="B450" s="14"/>
      <c r="C450" s="745"/>
      <c r="D450" s="724"/>
      <c r="E450" s="713"/>
      <c r="F450" s="1273"/>
      <c r="G450" s="1273"/>
      <c r="H450" s="1273"/>
      <c r="I450" s="1273"/>
      <c r="J450" s="1273"/>
      <c r="K450" s="1273"/>
      <c r="L450" s="1273"/>
      <c r="M450" s="1273"/>
      <c r="N450" s="1273"/>
      <c r="O450" s="1273"/>
      <c r="P450" s="1273"/>
      <c r="Q450" s="1273"/>
      <c r="R450" s="1273"/>
      <c r="S450" s="1273"/>
      <c r="T450" s="1273"/>
      <c r="U450" s="1273"/>
      <c r="V450" s="1273"/>
      <c r="W450" s="1273"/>
      <c r="X450" s="1273"/>
      <c r="Y450" s="1273"/>
      <c r="Z450" s="1273"/>
      <c r="AA450" s="1273"/>
      <c r="AB450" s="1273"/>
      <c r="AC450" s="1273"/>
      <c r="AD450" s="1273"/>
      <c r="AE450" s="1273"/>
      <c r="AF450" s="590"/>
      <c r="AG450" s="590"/>
      <c r="AH450" s="590"/>
      <c r="AI450" s="590"/>
      <c r="AJ450" s="590"/>
      <c r="AK450" s="590"/>
      <c r="AL450" s="744"/>
      <c r="AM450" s="566"/>
      <c r="AN450" s="593"/>
    </row>
    <row r="451" spans="1:42" s="547" customFormat="1" ht="12.75" customHeight="1">
      <c r="A451" s="534"/>
      <c r="B451" s="14"/>
      <c r="C451" s="745"/>
      <c r="D451" s="724"/>
      <c r="E451" s="713"/>
      <c r="F451" s="1273"/>
      <c r="G451" s="1273"/>
      <c r="H451" s="1273"/>
      <c r="I451" s="1273"/>
      <c r="J451" s="1273"/>
      <c r="K451" s="1273"/>
      <c r="L451" s="1273"/>
      <c r="M451" s="1273"/>
      <c r="N451" s="1273"/>
      <c r="O451" s="1273"/>
      <c r="P451" s="1273"/>
      <c r="Q451" s="1273"/>
      <c r="R451" s="1273"/>
      <c r="S451" s="1273"/>
      <c r="T451" s="1273"/>
      <c r="U451" s="1273"/>
      <c r="V451" s="1273"/>
      <c r="W451" s="1273"/>
      <c r="X451" s="1273"/>
      <c r="Y451" s="1273"/>
      <c r="Z451" s="1273"/>
      <c r="AA451" s="1273"/>
      <c r="AB451" s="1273"/>
      <c r="AC451" s="1273"/>
      <c r="AD451" s="1273"/>
      <c r="AE451" s="1273"/>
      <c r="AF451" s="590"/>
      <c r="AG451" s="590"/>
      <c r="AH451" s="590"/>
      <c r="AI451" s="590"/>
      <c r="AJ451" s="590"/>
      <c r="AK451" s="590"/>
      <c r="AL451" s="744"/>
      <c r="AM451" s="566"/>
      <c r="AN451" s="593"/>
    </row>
    <row r="452" spans="1:42" s="547" customFormat="1" ht="12.75" customHeight="1">
      <c r="A452" s="534"/>
      <c r="B452" s="14"/>
      <c r="C452" s="745"/>
      <c r="D452" s="724"/>
      <c r="E452" s="713"/>
      <c r="F452" s="1273"/>
      <c r="G452" s="1273"/>
      <c r="H452" s="1273"/>
      <c r="I452" s="1273"/>
      <c r="J452" s="1273"/>
      <c r="K452" s="1273"/>
      <c r="L452" s="1273"/>
      <c r="M452" s="1273"/>
      <c r="N452" s="1273"/>
      <c r="O452" s="1273"/>
      <c r="P452" s="1273"/>
      <c r="Q452" s="1273"/>
      <c r="R452" s="1273"/>
      <c r="S452" s="1273"/>
      <c r="T452" s="1273"/>
      <c r="U452" s="1273"/>
      <c r="V452" s="1273"/>
      <c r="W452" s="1273"/>
      <c r="X452" s="1273"/>
      <c r="Y452" s="1273"/>
      <c r="Z452" s="1273"/>
      <c r="AA452" s="1273"/>
      <c r="AB452" s="1273"/>
      <c r="AC452" s="1273"/>
      <c r="AD452" s="1273"/>
      <c r="AE452" s="1273"/>
      <c r="AF452" s="590"/>
      <c r="AG452" s="590"/>
      <c r="AH452" s="590"/>
      <c r="AI452" s="590"/>
      <c r="AJ452" s="590"/>
      <c r="AK452" s="590"/>
      <c r="AL452" s="744"/>
      <c r="AM452" s="566"/>
      <c r="AN452" s="593"/>
    </row>
    <row r="453" spans="1:42" s="547" customFormat="1" ht="12.75" customHeight="1">
      <c r="A453" s="534"/>
      <c r="B453" s="14"/>
      <c r="C453" s="745"/>
      <c r="D453" s="724"/>
      <c r="E453" s="713"/>
      <c r="F453" s="1273"/>
      <c r="G453" s="1273"/>
      <c r="H453" s="1273"/>
      <c r="I453" s="1273"/>
      <c r="J453" s="1273"/>
      <c r="K453" s="1273"/>
      <c r="L453" s="1273"/>
      <c r="M453" s="1273"/>
      <c r="N453" s="1273"/>
      <c r="O453" s="1273"/>
      <c r="P453" s="1273"/>
      <c r="Q453" s="1273"/>
      <c r="R453" s="1273"/>
      <c r="S453" s="1273"/>
      <c r="T453" s="1273"/>
      <c r="U453" s="1273"/>
      <c r="V453" s="1273"/>
      <c r="W453" s="1273"/>
      <c r="X453" s="1273"/>
      <c r="Y453" s="1273"/>
      <c r="Z453" s="1273"/>
      <c r="AA453" s="1273"/>
      <c r="AB453" s="1273"/>
      <c r="AC453" s="1273"/>
      <c r="AD453" s="1273"/>
      <c r="AE453" s="1273"/>
      <c r="AF453" s="590"/>
      <c r="AG453" s="590"/>
      <c r="AH453" s="590"/>
      <c r="AI453" s="590"/>
      <c r="AJ453" s="590"/>
      <c r="AK453" s="590"/>
      <c r="AL453" s="744"/>
      <c r="AM453" s="566"/>
      <c r="AN453" s="593"/>
    </row>
    <row r="454" spans="1:42" s="547" customFormat="1" ht="17.25" customHeight="1">
      <c r="A454" s="534"/>
      <c r="B454" s="14"/>
      <c r="C454" s="745"/>
      <c r="D454" s="724"/>
      <c r="E454" s="713"/>
      <c r="F454" s="1273"/>
      <c r="G454" s="1273"/>
      <c r="H454" s="1273"/>
      <c r="I454" s="1273"/>
      <c r="J454" s="1273"/>
      <c r="K454" s="1273"/>
      <c r="L454" s="1273"/>
      <c r="M454" s="1273"/>
      <c r="N454" s="1273"/>
      <c r="O454" s="1273"/>
      <c r="P454" s="1273"/>
      <c r="Q454" s="1273"/>
      <c r="R454" s="1273"/>
      <c r="S454" s="1273"/>
      <c r="T454" s="1273"/>
      <c r="U454" s="1273"/>
      <c r="V454" s="1273"/>
      <c r="W454" s="1273"/>
      <c r="X454" s="1273"/>
      <c r="Y454" s="1273"/>
      <c r="Z454" s="1273"/>
      <c r="AA454" s="1273"/>
      <c r="AB454" s="1273"/>
      <c r="AC454" s="1273"/>
      <c r="AD454" s="1273"/>
      <c r="AE454" s="1273"/>
      <c r="AL454" s="726"/>
      <c r="AM454" s="566"/>
      <c r="AN454" s="593"/>
    </row>
    <row r="455" spans="1:42" s="547" customFormat="1" ht="12.75" customHeight="1">
      <c r="A455" s="534"/>
      <c r="B455" s="14"/>
      <c r="C455" s="1398" t="s">
        <v>590</v>
      </c>
      <c r="D455" s="1357"/>
      <c r="E455" s="713"/>
      <c r="F455" s="592" t="s">
        <v>1474</v>
      </c>
      <c r="G455" s="670"/>
      <c r="H455" s="670"/>
      <c r="I455" s="670"/>
      <c r="J455" s="670"/>
      <c r="K455" s="670"/>
      <c r="L455" s="670"/>
      <c r="M455" s="670"/>
      <c r="N455" s="670"/>
      <c r="O455" s="670"/>
      <c r="P455" s="670"/>
      <c r="Q455" s="670"/>
      <c r="R455" s="670"/>
      <c r="S455" s="670"/>
      <c r="T455" s="670"/>
      <c r="U455" s="670"/>
      <c r="V455" s="670"/>
      <c r="W455" s="670"/>
      <c r="X455" s="670"/>
      <c r="Y455" s="670"/>
      <c r="Z455" s="670"/>
      <c r="AA455" s="670"/>
      <c r="AB455" s="670"/>
      <c r="AC455" s="670"/>
      <c r="AD455" s="670"/>
      <c r="AF455" s="1335" t="s">
        <v>1450</v>
      </c>
      <c r="AG455" s="1335"/>
      <c r="AH455" s="1335"/>
      <c r="AI455" s="1335"/>
      <c r="AJ455" s="1335"/>
      <c r="AK455" s="1335"/>
      <c r="AL455" s="1402"/>
      <c r="AM455" s="566"/>
      <c r="AN455" s="593"/>
    </row>
    <row r="456" spans="1:42" s="547" customFormat="1" ht="12.75" customHeight="1">
      <c r="A456" s="534"/>
      <c r="B456" s="14"/>
      <c r="C456" s="737"/>
      <c r="D456" s="721"/>
      <c r="E456" s="718"/>
      <c r="F456" s="735"/>
      <c r="G456" s="720"/>
      <c r="H456" s="720"/>
      <c r="I456" s="720"/>
      <c r="J456" s="720"/>
      <c r="K456" s="720"/>
      <c r="L456" s="720"/>
      <c r="M456" s="720"/>
      <c r="N456" s="720"/>
      <c r="O456" s="720"/>
      <c r="P456" s="720"/>
      <c r="Q456" s="720"/>
      <c r="R456" s="720"/>
      <c r="S456" s="720"/>
      <c r="T456" s="720"/>
      <c r="U456" s="720"/>
      <c r="V456" s="720"/>
      <c r="W456" s="720"/>
      <c r="X456" s="720"/>
      <c r="Y456" s="720"/>
      <c r="Z456" s="720"/>
      <c r="AA456" s="720"/>
      <c r="AB456" s="720"/>
      <c r="AC456" s="720"/>
      <c r="AD456" s="720"/>
      <c r="AE456" s="721"/>
      <c r="AF456" s="721"/>
      <c r="AG456" s="721"/>
      <c r="AH456" s="721"/>
      <c r="AI456" s="721"/>
      <c r="AJ456" s="721"/>
      <c r="AK456" s="721"/>
      <c r="AL456" s="736"/>
      <c r="AM456" s="566"/>
      <c r="AN456" s="593"/>
    </row>
    <row r="457" spans="1:42" s="547" customFormat="1" ht="12.75" customHeight="1">
      <c r="A457" s="534"/>
      <c r="B457" s="14"/>
      <c r="C457" s="724"/>
      <c r="D457" s="724"/>
      <c r="E457" s="713"/>
      <c r="F457" s="715"/>
      <c r="G457" s="599"/>
      <c r="H457" s="599"/>
      <c r="I457" s="599"/>
      <c r="J457" s="599"/>
      <c r="K457" s="599"/>
      <c r="L457" s="599"/>
      <c r="M457" s="599"/>
      <c r="N457" s="599"/>
      <c r="O457" s="599"/>
      <c r="P457" s="599"/>
      <c r="Q457" s="599"/>
      <c r="R457" s="599"/>
      <c r="S457" s="599"/>
      <c r="T457" s="599"/>
      <c r="U457" s="599"/>
      <c r="V457" s="599"/>
      <c r="W457" s="599"/>
      <c r="X457" s="599"/>
      <c r="Y457" s="599"/>
      <c r="Z457" s="599"/>
      <c r="AA457" s="599"/>
      <c r="AB457" s="599"/>
      <c r="AC457" s="599"/>
      <c r="AD457" s="599"/>
      <c r="AE457" s="587"/>
      <c r="AF457" s="587"/>
      <c r="AG457" s="587"/>
      <c r="AH457" s="587"/>
      <c r="AI457" s="587"/>
      <c r="AJ457" s="587"/>
      <c r="AK457" s="587"/>
      <c r="AL457" s="587"/>
      <c r="AM457" s="566"/>
      <c r="AN457" s="593"/>
    </row>
    <row r="458" spans="1:42" s="547" customFormat="1" ht="12.75" customHeight="1">
      <c r="A458" s="534"/>
      <c r="B458" s="14"/>
      <c r="C458" s="707"/>
      <c r="D458" s="708"/>
      <c r="E458" s="709" t="s">
        <v>1475</v>
      </c>
      <c r="F458" s="1401" t="s">
        <v>1476</v>
      </c>
      <c r="G458" s="1401"/>
      <c r="H458" s="1401"/>
      <c r="I458" s="1401"/>
      <c r="J458" s="1401"/>
      <c r="K458" s="1401"/>
      <c r="L458" s="1401"/>
      <c r="M458" s="1401"/>
      <c r="N458" s="1401"/>
      <c r="O458" s="1401"/>
      <c r="P458" s="1401"/>
      <c r="Q458" s="1401"/>
      <c r="R458" s="1401"/>
      <c r="S458" s="1401"/>
      <c r="T458" s="1401"/>
      <c r="U458" s="1401"/>
      <c r="V458" s="1401"/>
      <c r="W458" s="1401"/>
      <c r="X458" s="1401"/>
      <c r="Y458" s="1401"/>
      <c r="Z458" s="1401"/>
      <c r="AA458" s="1401"/>
      <c r="AB458" s="1401"/>
      <c r="AC458" s="1401"/>
      <c r="AD458" s="1401"/>
      <c r="AE458" s="1401"/>
      <c r="AF458" s="708"/>
      <c r="AG458" s="708"/>
      <c r="AH458" s="708"/>
      <c r="AI458" s="708"/>
      <c r="AJ458" s="708"/>
      <c r="AK458" s="708"/>
      <c r="AL458" s="739"/>
      <c r="AM458" s="566"/>
      <c r="AN458" s="593"/>
    </row>
    <row r="459" spans="1:42" s="547" customFormat="1" ht="12.75" customHeight="1">
      <c r="A459" s="534"/>
      <c r="B459" s="14"/>
      <c r="C459" s="745"/>
      <c r="D459" s="724"/>
      <c r="E459" s="713"/>
      <c r="F459" s="1273"/>
      <c r="G459" s="1273"/>
      <c r="H459" s="1273"/>
      <c r="I459" s="1273"/>
      <c r="J459" s="1273"/>
      <c r="K459" s="1273"/>
      <c r="L459" s="1273"/>
      <c r="M459" s="1273"/>
      <c r="N459" s="1273"/>
      <c r="O459" s="1273"/>
      <c r="P459" s="1273"/>
      <c r="Q459" s="1273"/>
      <c r="R459" s="1273"/>
      <c r="S459" s="1273"/>
      <c r="T459" s="1273"/>
      <c r="U459" s="1273"/>
      <c r="V459" s="1273"/>
      <c r="W459" s="1273"/>
      <c r="X459" s="1273"/>
      <c r="Y459" s="1273"/>
      <c r="Z459" s="1273"/>
      <c r="AA459" s="1273"/>
      <c r="AB459" s="1273"/>
      <c r="AC459" s="1273"/>
      <c r="AD459" s="1273"/>
      <c r="AE459" s="1273"/>
      <c r="AF459" s="587"/>
      <c r="AG459" s="587"/>
      <c r="AH459" s="587"/>
      <c r="AI459" s="587"/>
      <c r="AJ459" s="587"/>
      <c r="AK459" s="587"/>
      <c r="AL459" s="714"/>
      <c r="AM459" s="566"/>
      <c r="AN459" s="593"/>
    </row>
    <row r="460" spans="1:42" s="547" customFormat="1" ht="12.75" customHeight="1">
      <c r="A460" s="534"/>
      <c r="B460" s="14"/>
      <c r="C460" s="745"/>
      <c r="D460" s="724"/>
      <c r="E460" s="713"/>
      <c r="F460" s="1273"/>
      <c r="G460" s="1273"/>
      <c r="H460" s="1273"/>
      <c r="I460" s="1273"/>
      <c r="J460" s="1273"/>
      <c r="K460" s="1273"/>
      <c r="L460" s="1273"/>
      <c r="M460" s="1273"/>
      <c r="N460" s="1273"/>
      <c r="O460" s="1273"/>
      <c r="P460" s="1273"/>
      <c r="Q460" s="1273"/>
      <c r="R460" s="1273"/>
      <c r="S460" s="1273"/>
      <c r="T460" s="1273"/>
      <c r="U460" s="1273"/>
      <c r="V460" s="1273"/>
      <c r="W460" s="1273"/>
      <c r="X460" s="1273"/>
      <c r="Y460" s="1273"/>
      <c r="Z460" s="1273"/>
      <c r="AA460" s="1273"/>
      <c r="AB460" s="1273"/>
      <c r="AC460" s="1273"/>
      <c r="AD460" s="1273"/>
      <c r="AE460" s="1273"/>
      <c r="AF460" s="587"/>
      <c r="AG460" s="587"/>
      <c r="AH460" s="587"/>
      <c r="AI460" s="587"/>
      <c r="AJ460" s="587"/>
      <c r="AK460" s="587"/>
      <c r="AL460" s="714"/>
      <c r="AM460" s="566"/>
      <c r="AN460" s="593"/>
    </row>
    <row r="461" spans="1:42" s="547" customFormat="1" ht="12.75" customHeight="1">
      <c r="A461" s="534"/>
      <c r="B461" s="14"/>
      <c r="C461" s="745"/>
      <c r="D461" s="724"/>
      <c r="E461" s="713"/>
      <c r="F461" s="1273"/>
      <c r="G461" s="1273"/>
      <c r="H461" s="1273"/>
      <c r="I461" s="1273"/>
      <c r="J461" s="1273"/>
      <c r="K461" s="1273"/>
      <c r="L461" s="1273"/>
      <c r="M461" s="1273"/>
      <c r="N461" s="1273"/>
      <c r="O461" s="1273"/>
      <c r="P461" s="1273"/>
      <c r="Q461" s="1273"/>
      <c r="R461" s="1273"/>
      <c r="S461" s="1273"/>
      <c r="T461" s="1273"/>
      <c r="U461" s="1273"/>
      <c r="V461" s="1273"/>
      <c r="W461" s="1273"/>
      <c r="X461" s="1273"/>
      <c r="Y461" s="1273"/>
      <c r="Z461" s="1273"/>
      <c r="AA461" s="1273"/>
      <c r="AB461" s="1273"/>
      <c r="AC461" s="1273"/>
      <c r="AD461" s="1273"/>
      <c r="AE461" s="1273"/>
      <c r="AL461" s="726"/>
      <c r="AM461" s="566"/>
      <c r="AN461" s="593"/>
    </row>
    <row r="462" spans="1:42" s="547" customFormat="1" ht="12.75" customHeight="1">
      <c r="A462" s="534"/>
      <c r="B462" s="14"/>
      <c r="C462" s="1398" t="s">
        <v>590</v>
      </c>
      <c r="D462" s="1357"/>
      <c r="E462" s="713"/>
      <c r="F462" s="715" t="s">
        <v>1480</v>
      </c>
      <c r="G462" s="599"/>
      <c r="H462" s="599"/>
      <c r="I462" s="599"/>
      <c r="J462" s="599"/>
      <c r="K462" s="599"/>
      <c r="L462" s="599"/>
      <c r="M462" s="599"/>
      <c r="N462" s="599"/>
      <c r="O462" s="599"/>
      <c r="P462" s="599"/>
      <c r="Q462" s="599"/>
      <c r="R462" s="599"/>
      <c r="S462" s="599"/>
      <c r="T462" s="599"/>
      <c r="U462" s="599"/>
      <c r="V462" s="599"/>
      <c r="W462" s="599"/>
      <c r="X462" s="599"/>
      <c r="Y462" s="599"/>
      <c r="Z462" s="599"/>
      <c r="AA462" s="599"/>
      <c r="AB462" s="599"/>
      <c r="AC462" s="599"/>
      <c r="AD462" s="599"/>
      <c r="AF462" s="1335" t="s">
        <v>1450</v>
      </c>
      <c r="AG462" s="1335"/>
      <c r="AH462" s="1335"/>
      <c r="AI462" s="1335"/>
      <c r="AJ462" s="1335"/>
      <c r="AK462" s="1335"/>
      <c r="AL462" s="1402"/>
      <c r="AM462" s="566"/>
      <c r="AN462" s="747"/>
    </row>
    <row r="463" spans="1:42" s="547" customFormat="1" ht="12.75" customHeight="1">
      <c r="A463" s="534"/>
      <c r="B463" s="14"/>
      <c r="C463" s="745"/>
      <c r="D463" s="724"/>
      <c r="E463" s="713"/>
      <c r="F463" s="715"/>
      <c r="G463" s="599"/>
      <c r="H463" s="599"/>
      <c r="I463" s="599"/>
      <c r="J463" s="599"/>
      <c r="K463" s="599"/>
      <c r="L463" s="599"/>
      <c r="M463" s="599"/>
      <c r="N463" s="599"/>
      <c r="O463" s="599"/>
      <c r="P463" s="599"/>
      <c r="Q463" s="599"/>
      <c r="R463" s="599"/>
      <c r="S463" s="599"/>
      <c r="T463" s="599"/>
      <c r="U463" s="599"/>
      <c r="V463" s="599"/>
      <c r="W463" s="599"/>
      <c r="X463" s="599"/>
      <c r="Y463" s="599"/>
      <c r="Z463" s="599"/>
      <c r="AA463" s="599"/>
      <c r="AB463" s="599"/>
      <c r="AC463" s="599"/>
      <c r="AD463" s="599"/>
      <c r="AE463" s="587"/>
      <c r="AL463" s="726"/>
      <c r="AM463" s="566"/>
      <c r="AN463" s="747"/>
    </row>
    <row r="464" spans="1:42" s="547" customFormat="1" ht="12.75" customHeight="1">
      <c r="A464" s="534"/>
      <c r="B464" s="14"/>
      <c r="C464" s="734"/>
      <c r="D464" s="727"/>
      <c r="E464" s="728"/>
      <c r="F464" s="721" t="s">
        <v>1457</v>
      </c>
      <c r="G464" s="729"/>
      <c r="H464" s="729"/>
      <c r="I464" s="729"/>
      <c r="J464" s="729"/>
      <c r="K464" s="729"/>
      <c r="L464" s="729"/>
      <c r="M464" s="729"/>
      <c r="N464" s="729"/>
      <c r="O464" s="729"/>
      <c r="P464" s="729"/>
      <c r="Q464" s="729"/>
      <c r="R464" s="729"/>
      <c r="S464" s="729"/>
      <c r="T464" s="729"/>
      <c r="U464" s="729"/>
      <c r="V464" s="729"/>
      <c r="W464" s="729"/>
      <c r="X464" s="729"/>
      <c r="Y464" s="729"/>
      <c r="Z464" s="729"/>
      <c r="AA464" s="729"/>
      <c r="AB464" s="729"/>
      <c r="AC464" s="729"/>
      <c r="AD464" s="729"/>
      <c r="AE464" s="731"/>
      <c r="AF464" s="579"/>
      <c r="AG464" s="731"/>
      <c r="AH464" s="721"/>
      <c r="AI464" s="721"/>
      <c r="AJ464" s="721"/>
      <c r="AK464" s="721"/>
      <c r="AL464" s="736"/>
      <c r="AM464" s="566"/>
      <c r="AN464" s="747"/>
    </row>
    <row r="465" spans="1:40" s="547" customFormat="1" ht="12.75" customHeight="1">
      <c r="A465" s="534"/>
      <c r="B465" s="14"/>
      <c r="C465" s="724"/>
      <c r="D465" s="724"/>
      <c r="E465" s="713"/>
      <c r="F465" s="715"/>
      <c r="G465" s="599"/>
      <c r="H465" s="599"/>
      <c r="I465" s="599"/>
      <c r="J465" s="599"/>
      <c r="K465" s="599"/>
      <c r="L465" s="599"/>
      <c r="M465" s="599"/>
      <c r="N465" s="599"/>
      <c r="O465" s="599"/>
      <c r="P465" s="599"/>
      <c r="Q465" s="599"/>
      <c r="R465" s="599"/>
      <c r="S465" s="599"/>
      <c r="T465" s="599"/>
      <c r="U465" s="599"/>
      <c r="V465" s="599"/>
      <c r="W465" s="599"/>
      <c r="X465" s="599"/>
      <c r="Y465" s="599"/>
      <c r="Z465" s="599"/>
      <c r="AA465" s="599"/>
      <c r="AB465" s="599"/>
      <c r="AC465" s="599"/>
      <c r="AD465" s="599"/>
      <c r="AE465" s="587"/>
      <c r="AM465" s="566"/>
      <c r="AN465" s="747"/>
    </row>
    <row r="466" spans="1:40" s="547" customFormat="1" ht="12.75" customHeight="1">
      <c r="A466" s="534"/>
      <c r="B466" s="14"/>
      <c r="C466" s="1403" t="s">
        <v>590</v>
      </c>
      <c r="D466" s="1404"/>
      <c r="E466" s="709" t="s">
        <v>1485</v>
      </c>
      <c r="F466" s="1401" t="s">
        <v>1486</v>
      </c>
      <c r="G466" s="1401"/>
      <c r="H466" s="1401"/>
      <c r="I466" s="1401"/>
      <c r="J466" s="1401"/>
      <c r="K466" s="1401"/>
      <c r="L466" s="1401"/>
      <c r="M466" s="1401"/>
      <c r="N466" s="1401"/>
      <c r="O466" s="1401"/>
      <c r="P466" s="1401"/>
      <c r="Q466" s="1401"/>
      <c r="R466" s="1401"/>
      <c r="S466" s="1401"/>
      <c r="T466" s="1401"/>
      <c r="U466" s="1401"/>
      <c r="V466" s="1401"/>
      <c r="W466" s="1401"/>
      <c r="X466" s="1401"/>
      <c r="Y466" s="1401"/>
      <c r="Z466" s="1401"/>
      <c r="AA466" s="1401"/>
      <c r="AB466" s="1401"/>
      <c r="AC466" s="1401"/>
      <c r="AD466" s="1401"/>
      <c r="AE466" s="1401"/>
      <c r="AF466" s="1486" t="s">
        <v>1450</v>
      </c>
      <c r="AG466" s="1486"/>
      <c r="AH466" s="1486"/>
      <c r="AI466" s="1486"/>
      <c r="AJ466" s="1486"/>
      <c r="AK466" s="1486"/>
      <c r="AL466" s="1487"/>
      <c r="AM466" s="566"/>
      <c r="AN466" s="747"/>
    </row>
    <row r="467" spans="1:40" s="547" customFormat="1" ht="12.75" customHeight="1">
      <c r="A467" s="534"/>
      <c r="B467" s="14"/>
      <c r="C467" s="745"/>
      <c r="D467" s="724"/>
      <c r="E467" s="713"/>
      <c r="F467" s="1273"/>
      <c r="G467" s="1273"/>
      <c r="H467" s="1273"/>
      <c r="I467" s="1273"/>
      <c r="J467" s="1273"/>
      <c r="K467" s="1273"/>
      <c r="L467" s="1273"/>
      <c r="M467" s="1273"/>
      <c r="N467" s="1273"/>
      <c r="O467" s="1273"/>
      <c r="P467" s="1273"/>
      <c r="Q467" s="1273"/>
      <c r="R467" s="1273"/>
      <c r="S467" s="1273"/>
      <c r="T467" s="1273"/>
      <c r="U467" s="1273"/>
      <c r="V467" s="1273"/>
      <c r="W467" s="1273"/>
      <c r="X467" s="1273"/>
      <c r="Y467" s="1273"/>
      <c r="Z467" s="1273"/>
      <c r="AA467" s="1273"/>
      <c r="AB467" s="1273"/>
      <c r="AC467" s="1273"/>
      <c r="AD467" s="1273"/>
      <c r="AE467" s="1273"/>
      <c r="AF467" s="587"/>
      <c r="AG467" s="587"/>
      <c r="AH467" s="587"/>
      <c r="AI467" s="587"/>
      <c r="AJ467" s="587"/>
      <c r="AK467" s="587"/>
      <c r="AL467" s="714"/>
      <c r="AM467" s="566"/>
      <c r="AN467" s="748"/>
    </row>
    <row r="468" spans="1:40" s="547" customFormat="1" ht="17.850000000000001" customHeight="1">
      <c r="A468" s="534"/>
      <c r="B468" s="14"/>
      <c r="C468" s="750"/>
      <c r="D468" s="717"/>
      <c r="E468" s="718"/>
      <c r="F468" s="1430"/>
      <c r="G468" s="1430"/>
      <c r="H468" s="1430"/>
      <c r="I468" s="1430"/>
      <c r="J468" s="1430"/>
      <c r="K468" s="1430"/>
      <c r="L468" s="1430"/>
      <c r="M468" s="1430"/>
      <c r="N468" s="1430"/>
      <c r="O468" s="1430"/>
      <c r="P468" s="1430"/>
      <c r="Q468" s="1430"/>
      <c r="R468" s="1430"/>
      <c r="S468" s="1430"/>
      <c r="T468" s="1430"/>
      <c r="U468" s="1430"/>
      <c r="V468" s="1430"/>
      <c r="W468" s="1430"/>
      <c r="X468" s="1430"/>
      <c r="Y468" s="1430"/>
      <c r="Z468" s="1430"/>
      <c r="AA468" s="1430"/>
      <c r="AB468" s="1430"/>
      <c r="AC468" s="1430"/>
      <c r="AD468" s="1430"/>
      <c r="AE468" s="1430"/>
      <c r="AF468" s="722"/>
      <c r="AG468" s="722"/>
      <c r="AH468" s="722"/>
      <c r="AI468" s="722"/>
      <c r="AJ468" s="722"/>
      <c r="AK468" s="722"/>
      <c r="AL468" s="751"/>
      <c r="AM468" s="566"/>
      <c r="AN468" s="533"/>
    </row>
    <row r="469" spans="1:40" s="547" customFormat="1" ht="12.75" customHeight="1">
      <c r="A469" s="534"/>
      <c r="B469" s="14"/>
      <c r="C469" s="724"/>
      <c r="D469" s="724"/>
      <c r="E469" s="713"/>
      <c r="F469" s="715"/>
      <c r="G469" s="599"/>
      <c r="H469" s="599"/>
      <c r="I469" s="599"/>
      <c r="J469" s="599"/>
      <c r="K469" s="599"/>
      <c r="L469" s="599"/>
      <c r="M469" s="599"/>
      <c r="N469" s="599"/>
      <c r="O469" s="599"/>
      <c r="P469" s="599"/>
      <c r="Q469" s="599"/>
      <c r="R469" s="599"/>
      <c r="S469" s="599"/>
      <c r="T469" s="599"/>
      <c r="U469" s="599"/>
      <c r="V469" s="599"/>
      <c r="W469" s="599"/>
      <c r="X469" s="599"/>
      <c r="Y469" s="599"/>
      <c r="Z469" s="599"/>
      <c r="AA469" s="599"/>
      <c r="AB469" s="599"/>
      <c r="AC469" s="599"/>
      <c r="AD469" s="599"/>
      <c r="AE469" s="587"/>
      <c r="AM469" s="566"/>
      <c r="AN469" s="533"/>
    </row>
    <row r="470" spans="1:40" s="547" customFormat="1" ht="12.75" customHeight="1">
      <c r="A470" s="534"/>
      <c r="B470" s="14"/>
      <c r="C470" s="1398" t="s">
        <v>590</v>
      </c>
      <c r="D470" s="1357"/>
      <c r="E470" s="709" t="s">
        <v>1491</v>
      </c>
      <c r="F470" s="1401" t="s">
        <v>1492</v>
      </c>
      <c r="G470" s="1401"/>
      <c r="H470" s="1401"/>
      <c r="I470" s="1401"/>
      <c r="J470" s="1401"/>
      <c r="K470" s="1401"/>
      <c r="L470" s="1401"/>
      <c r="M470" s="1401"/>
      <c r="N470" s="1401"/>
      <c r="O470" s="1401"/>
      <c r="P470" s="1401"/>
      <c r="Q470" s="1401"/>
      <c r="R470" s="1401"/>
      <c r="S470" s="1401"/>
      <c r="T470" s="1401"/>
      <c r="U470" s="1401"/>
      <c r="V470" s="1401"/>
      <c r="W470" s="1401"/>
      <c r="X470" s="1401"/>
      <c r="Y470" s="1401"/>
      <c r="Z470" s="1401"/>
      <c r="AA470" s="1401"/>
      <c r="AB470" s="1401"/>
      <c r="AC470" s="1401"/>
      <c r="AD470" s="1401"/>
      <c r="AE470" s="1401"/>
      <c r="AF470" s="1486" t="s">
        <v>1450</v>
      </c>
      <c r="AG470" s="1486"/>
      <c r="AH470" s="1486"/>
      <c r="AI470" s="1486"/>
      <c r="AJ470" s="1486"/>
      <c r="AK470" s="1486"/>
      <c r="AL470" s="1487"/>
      <c r="AM470" s="566"/>
      <c r="AN470" s="533"/>
    </row>
    <row r="471" spans="1:40" s="547" customFormat="1" ht="12.75" customHeight="1">
      <c r="A471" s="534"/>
      <c r="B471" s="14"/>
      <c r="C471" s="725"/>
      <c r="D471" s="14"/>
      <c r="E471" s="685"/>
      <c r="F471" s="1273"/>
      <c r="G471" s="1273"/>
      <c r="H471" s="1273"/>
      <c r="I471" s="1273"/>
      <c r="J471" s="1273"/>
      <c r="K471" s="1273"/>
      <c r="L471" s="1273"/>
      <c r="M471" s="1273"/>
      <c r="N471" s="1273"/>
      <c r="O471" s="1273"/>
      <c r="P471" s="1273"/>
      <c r="Q471" s="1273"/>
      <c r="R471" s="1273"/>
      <c r="S471" s="1273"/>
      <c r="T471" s="1273"/>
      <c r="U471" s="1273"/>
      <c r="V471" s="1273"/>
      <c r="W471" s="1273"/>
      <c r="X471" s="1273"/>
      <c r="Y471" s="1273"/>
      <c r="Z471" s="1273"/>
      <c r="AA471" s="1273"/>
      <c r="AB471" s="1273"/>
      <c r="AC471" s="1273"/>
      <c r="AD471" s="1273"/>
      <c r="AE471" s="1273"/>
      <c r="AF471" s="537"/>
      <c r="AG471" s="534"/>
      <c r="AL471" s="726"/>
      <c r="AM471" s="566"/>
      <c r="AN471" s="533"/>
    </row>
    <row r="472" spans="1:40" s="547" customFormat="1" ht="12.75" customHeight="1">
      <c r="A472" s="534"/>
      <c r="B472" s="14"/>
      <c r="C472" s="725"/>
      <c r="D472" s="14"/>
      <c r="E472" s="685"/>
      <c r="F472" s="1273"/>
      <c r="G472" s="1273"/>
      <c r="H472" s="1273"/>
      <c r="I472" s="1273"/>
      <c r="J472" s="1273"/>
      <c r="K472" s="1273"/>
      <c r="L472" s="1273"/>
      <c r="M472" s="1273"/>
      <c r="N472" s="1273"/>
      <c r="O472" s="1273"/>
      <c r="P472" s="1273"/>
      <c r="Q472" s="1273"/>
      <c r="R472" s="1273"/>
      <c r="S472" s="1273"/>
      <c r="T472" s="1273"/>
      <c r="U472" s="1273"/>
      <c r="V472" s="1273"/>
      <c r="W472" s="1273"/>
      <c r="X472" s="1273"/>
      <c r="Y472" s="1273"/>
      <c r="Z472" s="1273"/>
      <c r="AA472" s="1273"/>
      <c r="AB472" s="1273"/>
      <c r="AC472" s="1273"/>
      <c r="AD472" s="1273"/>
      <c r="AE472" s="1273"/>
      <c r="AF472" s="537"/>
      <c r="AG472" s="534"/>
      <c r="AL472" s="726"/>
      <c r="AM472" s="566"/>
      <c r="AN472" s="533"/>
    </row>
    <row r="473" spans="1:40" s="547" customFormat="1" ht="12.75" customHeight="1">
      <c r="A473" s="534"/>
      <c r="B473" s="14"/>
      <c r="C473" s="750"/>
      <c r="D473" s="717"/>
      <c r="E473" s="718"/>
      <c r="F473" s="1430"/>
      <c r="G473" s="1430"/>
      <c r="H473" s="1430"/>
      <c r="I473" s="1430"/>
      <c r="J473" s="1430"/>
      <c r="K473" s="1430"/>
      <c r="L473" s="1430"/>
      <c r="M473" s="1430"/>
      <c r="N473" s="1430"/>
      <c r="O473" s="1430"/>
      <c r="P473" s="1430"/>
      <c r="Q473" s="1430"/>
      <c r="R473" s="1430"/>
      <c r="S473" s="1430"/>
      <c r="T473" s="1430"/>
      <c r="U473" s="1430"/>
      <c r="V473" s="1430"/>
      <c r="W473" s="1430"/>
      <c r="X473" s="1430"/>
      <c r="Y473" s="1430"/>
      <c r="Z473" s="1430"/>
      <c r="AA473" s="1430"/>
      <c r="AB473" s="1430"/>
      <c r="AC473" s="1430"/>
      <c r="AD473" s="1430"/>
      <c r="AE473" s="1430"/>
      <c r="AF473" s="722"/>
      <c r="AG473" s="722"/>
      <c r="AH473" s="722"/>
      <c r="AI473" s="722"/>
      <c r="AJ473" s="722"/>
      <c r="AK473" s="722"/>
      <c r="AL473" s="751"/>
      <c r="AM473" s="566"/>
      <c r="AN473" s="593"/>
    </row>
    <row r="474" spans="1:40" s="547" customFormat="1" ht="12.75" customHeight="1">
      <c r="A474" s="534"/>
      <c r="B474" s="14"/>
      <c r="G474" s="599"/>
      <c r="H474" s="599"/>
      <c r="I474" s="599"/>
      <c r="J474" s="599"/>
      <c r="K474" s="599"/>
      <c r="L474" s="599"/>
      <c r="M474" s="599"/>
      <c r="N474" s="599"/>
      <c r="O474" s="599"/>
      <c r="P474" s="599"/>
      <c r="Q474" s="599"/>
      <c r="R474" s="599"/>
      <c r="S474" s="599"/>
      <c r="T474" s="599"/>
      <c r="U474" s="599"/>
      <c r="V474" s="599"/>
      <c r="W474" s="599"/>
      <c r="X474" s="599"/>
      <c r="Y474" s="599"/>
      <c r="Z474" s="599"/>
      <c r="AA474" s="599"/>
      <c r="AB474" s="599"/>
      <c r="AC474" s="599"/>
      <c r="AD474" s="599"/>
      <c r="AM474" s="566"/>
      <c r="AN474" s="593"/>
    </row>
    <row r="475" spans="1:40" s="547" customFormat="1" ht="12.75" customHeight="1">
      <c r="A475" s="534"/>
      <c r="B475" s="14"/>
      <c r="C475" s="707"/>
      <c r="D475" s="708"/>
      <c r="E475" s="709" t="s">
        <v>1494</v>
      </c>
      <c r="F475" s="1401" t="s">
        <v>1495</v>
      </c>
      <c r="G475" s="1401"/>
      <c r="H475" s="1401"/>
      <c r="I475" s="1401"/>
      <c r="J475" s="1401"/>
      <c r="K475" s="1401"/>
      <c r="L475" s="1401"/>
      <c r="M475" s="1401"/>
      <c r="N475" s="1401"/>
      <c r="O475" s="1401"/>
      <c r="P475" s="1401"/>
      <c r="Q475" s="1401"/>
      <c r="R475" s="1401"/>
      <c r="S475" s="1401"/>
      <c r="T475" s="1401"/>
      <c r="U475" s="1401"/>
      <c r="V475" s="1401"/>
      <c r="W475" s="1401"/>
      <c r="X475" s="1401"/>
      <c r="Y475" s="1401"/>
      <c r="Z475" s="1401"/>
      <c r="AA475" s="1401"/>
      <c r="AB475" s="1401"/>
      <c r="AC475" s="1401"/>
      <c r="AD475" s="1401"/>
      <c r="AE475" s="1401"/>
      <c r="AF475" s="1401"/>
      <c r="AG475" s="738"/>
      <c r="AH475" s="708"/>
      <c r="AI475" s="708"/>
      <c r="AJ475" s="708"/>
      <c r="AK475" s="708"/>
      <c r="AL475" s="739"/>
      <c r="AM475" s="566"/>
      <c r="AN475" s="593"/>
    </row>
    <row r="476" spans="1:40" s="547" customFormat="1" ht="12.75" customHeight="1">
      <c r="A476" s="534"/>
      <c r="B476" s="14"/>
      <c r="C476" s="725"/>
      <c r="D476" s="14"/>
      <c r="E476" s="685"/>
      <c r="F476" s="1273"/>
      <c r="G476" s="1273"/>
      <c r="H476" s="1273"/>
      <c r="I476" s="1273"/>
      <c r="J476" s="1273"/>
      <c r="K476" s="1273"/>
      <c r="L476" s="1273"/>
      <c r="M476" s="1273"/>
      <c r="N476" s="1273"/>
      <c r="O476" s="1273"/>
      <c r="P476" s="1273"/>
      <c r="Q476" s="1273"/>
      <c r="R476" s="1273"/>
      <c r="S476" s="1273"/>
      <c r="T476" s="1273"/>
      <c r="U476" s="1273"/>
      <c r="V476" s="1273"/>
      <c r="W476" s="1273"/>
      <c r="X476" s="1273"/>
      <c r="Y476" s="1273"/>
      <c r="Z476" s="1273"/>
      <c r="AA476" s="1273"/>
      <c r="AB476" s="1273"/>
      <c r="AC476" s="1273"/>
      <c r="AD476" s="1273"/>
      <c r="AE476" s="1273"/>
      <c r="AF476" s="1273"/>
      <c r="AL476" s="726"/>
      <c r="AM476" s="566"/>
      <c r="AN476" s="593"/>
    </row>
    <row r="477" spans="1:40" s="547" customFormat="1" ht="12.75" customHeight="1">
      <c r="A477" s="534"/>
      <c r="B477" s="14"/>
      <c r="C477" s="733"/>
      <c r="F477" s="1273"/>
      <c r="G477" s="1273"/>
      <c r="H477" s="1273"/>
      <c r="I477" s="1273"/>
      <c r="J477" s="1273"/>
      <c r="K477" s="1273"/>
      <c r="L477" s="1273"/>
      <c r="M477" s="1273"/>
      <c r="N477" s="1273"/>
      <c r="O477" s="1273"/>
      <c r="P477" s="1273"/>
      <c r="Q477" s="1273"/>
      <c r="R477" s="1273"/>
      <c r="S477" s="1273"/>
      <c r="T477" s="1273"/>
      <c r="U477" s="1273"/>
      <c r="V477" s="1273"/>
      <c r="W477" s="1273"/>
      <c r="X477" s="1273"/>
      <c r="Y477" s="1273"/>
      <c r="Z477" s="1273"/>
      <c r="AA477" s="1273"/>
      <c r="AB477" s="1273"/>
      <c r="AC477" s="1273"/>
      <c r="AD477" s="1273"/>
      <c r="AE477" s="1273"/>
      <c r="AF477" s="1273"/>
      <c r="AL477" s="726"/>
      <c r="AM477" s="566"/>
      <c r="AN477" s="593"/>
    </row>
    <row r="478" spans="1:40" s="547" customFormat="1" ht="12.75" customHeight="1">
      <c r="A478" s="534"/>
      <c r="B478" s="14"/>
      <c r="C478" s="733"/>
      <c r="F478" s="1273"/>
      <c r="G478" s="1273"/>
      <c r="H478" s="1273"/>
      <c r="I478" s="1273"/>
      <c r="J478" s="1273"/>
      <c r="K478" s="1273"/>
      <c r="L478" s="1273"/>
      <c r="M478" s="1273"/>
      <c r="N478" s="1273"/>
      <c r="O478" s="1273"/>
      <c r="P478" s="1273"/>
      <c r="Q478" s="1273"/>
      <c r="R478" s="1273"/>
      <c r="S478" s="1273"/>
      <c r="T478" s="1273"/>
      <c r="U478" s="1273"/>
      <c r="V478" s="1273"/>
      <c r="W478" s="1273"/>
      <c r="X478" s="1273"/>
      <c r="Y478" s="1273"/>
      <c r="Z478" s="1273"/>
      <c r="AA478" s="1273"/>
      <c r="AB478" s="1273"/>
      <c r="AC478" s="1273"/>
      <c r="AD478" s="1273"/>
      <c r="AE478" s="1273"/>
      <c r="AF478" s="1273"/>
      <c r="AL478" s="726"/>
      <c r="AM478" s="566"/>
      <c r="AN478" s="593"/>
    </row>
    <row r="479" spans="1:40" s="547" customFormat="1" ht="12.75" customHeight="1">
      <c r="A479" s="534"/>
      <c r="B479" s="14"/>
      <c r="C479" s="1398" t="s">
        <v>590</v>
      </c>
      <c r="D479" s="1357"/>
      <c r="E479" s="713"/>
      <c r="F479" s="715" t="s">
        <v>1467</v>
      </c>
      <c r="G479" s="599"/>
      <c r="H479" s="599"/>
      <c r="I479" s="599"/>
      <c r="J479" s="599"/>
      <c r="K479" s="599"/>
      <c r="L479" s="599"/>
      <c r="M479" s="599"/>
      <c r="N479" s="599"/>
      <c r="O479" s="599"/>
      <c r="P479" s="599"/>
      <c r="Q479" s="599"/>
      <c r="R479" s="599"/>
      <c r="S479" s="599"/>
      <c r="T479" s="599"/>
      <c r="U479" s="599"/>
      <c r="V479" s="599"/>
      <c r="W479" s="599"/>
      <c r="X479" s="599"/>
      <c r="Y479" s="599"/>
      <c r="Z479" s="599"/>
      <c r="AA479" s="599"/>
      <c r="AB479" s="599"/>
      <c r="AC479" s="599"/>
      <c r="AD479" s="599"/>
      <c r="AF479" s="1399" t="s">
        <v>1450</v>
      </c>
      <c r="AG479" s="1399"/>
      <c r="AH479" s="1399"/>
      <c r="AI479" s="1399"/>
      <c r="AJ479" s="1399"/>
      <c r="AK479" s="1399"/>
      <c r="AL479" s="1400"/>
      <c r="AM479" s="566"/>
      <c r="AN479" s="593"/>
    </row>
    <row r="480" spans="1:40" s="547" customFormat="1" ht="12.75" customHeight="1">
      <c r="A480" s="534"/>
      <c r="B480" s="14"/>
      <c r="C480" s="734"/>
      <c r="D480" s="727"/>
      <c r="E480" s="728"/>
      <c r="F480" s="721"/>
      <c r="G480" s="721"/>
      <c r="H480" s="721"/>
      <c r="I480" s="721"/>
      <c r="J480" s="721"/>
      <c r="K480" s="721"/>
      <c r="L480" s="721"/>
      <c r="M480" s="721"/>
      <c r="N480" s="721"/>
      <c r="O480" s="721"/>
      <c r="P480" s="721"/>
      <c r="Q480" s="721"/>
      <c r="R480" s="721"/>
      <c r="S480" s="721"/>
      <c r="T480" s="721"/>
      <c r="U480" s="721"/>
      <c r="V480" s="721"/>
      <c r="W480" s="721"/>
      <c r="X480" s="721"/>
      <c r="Y480" s="721"/>
      <c r="Z480" s="721"/>
      <c r="AA480" s="721"/>
      <c r="AB480" s="721"/>
      <c r="AC480" s="721"/>
      <c r="AD480" s="721"/>
      <c r="AE480" s="721"/>
      <c r="AF480" s="721"/>
      <c r="AG480" s="721"/>
      <c r="AH480" s="721"/>
      <c r="AI480" s="721"/>
      <c r="AJ480" s="721"/>
      <c r="AK480" s="721"/>
      <c r="AL480" s="736"/>
      <c r="AN480" s="593"/>
    </row>
    <row r="481" spans="1:59" s="547" customFormat="1" ht="12.75" customHeight="1">
      <c r="A481" s="534"/>
      <c r="B481" s="14"/>
      <c r="C481" s="1008"/>
      <c r="D481" s="566"/>
      <c r="F481" s="715"/>
      <c r="G481" s="599"/>
      <c r="H481" s="599"/>
      <c r="I481" s="599"/>
      <c r="J481" s="599"/>
      <c r="K481" s="599"/>
      <c r="L481" s="599"/>
      <c r="M481" s="599"/>
      <c r="N481" s="599"/>
      <c r="O481" s="599"/>
      <c r="P481" s="599"/>
      <c r="Q481" s="599"/>
      <c r="R481" s="599"/>
      <c r="S481" s="599"/>
      <c r="T481" s="599"/>
      <c r="U481" s="599"/>
      <c r="V481" s="599"/>
      <c r="W481" s="599"/>
      <c r="X481" s="599"/>
      <c r="Y481" s="599"/>
      <c r="Z481" s="599"/>
      <c r="AA481" s="599"/>
      <c r="AB481" s="599"/>
      <c r="AC481" s="599"/>
      <c r="AD481" s="599"/>
      <c r="AF481" s="609"/>
      <c r="AG481" s="609"/>
      <c r="AH481" s="609"/>
      <c r="AI481" s="609"/>
      <c r="AJ481" s="609"/>
      <c r="AK481" s="609"/>
      <c r="AL481" s="609"/>
      <c r="AN481" s="593"/>
    </row>
    <row r="482" spans="1:59" s="547" customFormat="1" ht="12.75" customHeight="1">
      <c r="A482" s="596"/>
      <c r="B482" s="851" t="s">
        <v>1496</v>
      </c>
      <c r="D482" s="671"/>
      <c r="E482" s="597"/>
      <c r="F482" s="597"/>
      <c r="G482" s="597"/>
      <c r="H482" s="597"/>
      <c r="I482" s="597"/>
      <c r="J482" s="597"/>
      <c r="K482" s="597"/>
      <c r="L482" s="597"/>
      <c r="M482" s="597"/>
      <c r="N482" s="597"/>
      <c r="O482" s="597"/>
      <c r="P482" s="597"/>
      <c r="Q482" s="597"/>
      <c r="R482" s="597"/>
      <c r="S482" s="597"/>
      <c r="T482" s="597"/>
      <c r="U482" s="597"/>
      <c r="V482" s="597"/>
      <c r="W482" s="597"/>
      <c r="X482" s="597"/>
      <c r="Y482" s="597"/>
      <c r="Z482" s="597"/>
      <c r="AA482" s="597"/>
      <c r="AB482" s="597"/>
      <c r="AC482" s="597"/>
      <c r="AD482" s="597"/>
      <c r="AE482" s="560"/>
      <c r="AF482" s="560"/>
      <c r="AG482" s="560"/>
      <c r="AH482" s="560"/>
      <c r="AI482" s="561"/>
      <c r="AJ482" s="561" t="s">
        <v>1497</v>
      </c>
      <c r="AK482" s="1360">
        <f>IF(Application!D214="N/A",AS371,AS373)</f>
        <v>10</v>
      </c>
      <c r="AL482" s="1361"/>
      <c r="AM482" s="1362"/>
      <c r="AN482" s="593"/>
    </row>
    <row r="483" spans="1:59" s="547" customFormat="1" ht="12.75" customHeight="1" thickBot="1">
      <c r="A483" s="753"/>
      <c r="B483" s="753"/>
      <c r="C483" s="753"/>
      <c r="D483" s="753"/>
      <c r="E483" s="753"/>
      <c r="F483" s="753"/>
      <c r="G483" s="753"/>
      <c r="H483" s="753"/>
      <c r="I483" s="753"/>
      <c r="J483" s="753"/>
      <c r="K483" s="753"/>
      <c r="L483" s="753"/>
      <c r="M483" s="753"/>
      <c r="N483" s="753"/>
      <c r="O483" s="753"/>
      <c r="P483" s="753"/>
      <c r="Q483" s="753"/>
      <c r="R483" s="753"/>
      <c r="S483" s="753"/>
      <c r="T483" s="753"/>
      <c r="U483" s="753"/>
      <c r="V483" s="753"/>
      <c r="W483" s="753"/>
      <c r="X483" s="753"/>
      <c r="Y483" s="753"/>
      <c r="Z483" s="753"/>
      <c r="AA483" s="753"/>
      <c r="AB483" s="753"/>
      <c r="AC483" s="753"/>
      <c r="AD483" s="753"/>
      <c r="AE483" s="753"/>
      <c r="AF483" s="753"/>
      <c r="AG483" s="753"/>
      <c r="AH483" s="753"/>
      <c r="AI483" s="753"/>
      <c r="AJ483" s="753"/>
      <c r="AK483" s="753"/>
      <c r="AL483" s="753"/>
      <c r="AM483" s="754"/>
      <c r="AN483" s="593"/>
    </row>
    <row r="484" spans="1:59" s="547" customFormat="1" ht="12.75" hidden="1" customHeight="1" thickTop="1">
      <c r="A484" s="86"/>
      <c r="B484" s="567"/>
      <c r="C484" s="568"/>
      <c r="D484" s="568"/>
      <c r="E484" s="568"/>
      <c r="F484" s="568"/>
      <c r="G484" s="568"/>
      <c r="H484" s="568"/>
      <c r="I484" s="569"/>
      <c r="J484" s="569"/>
      <c r="K484" s="569"/>
      <c r="L484" s="569"/>
      <c r="M484" s="569"/>
      <c r="N484" s="569"/>
      <c r="O484" s="569"/>
      <c r="P484" s="569"/>
      <c r="Q484" s="569"/>
      <c r="R484" s="566"/>
      <c r="S484" s="537"/>
      <c r="T484" s="537"/>
      <c r="U484" s="537"/>
      <c r="V484" s="537"/>
      <c r="W484" s="537"/>
      <c r="X484" s="537"/>
      <c r="Y484" s="537"/>
      <c r="Z484" s="537"/>
      <c r="AA484" s="537"/>
      <c r="AB484" s="537"/>
      <c r="AC484" s="537"/>
      <c r="AD484" s="537"/>
      <c r="AE484" s="537"/>
      <c r="AF484" s="566"/>
      <c r="AG484" s="537"/>
      <c r="AH484" s="537"/>
      <c r="AI484" s="537"/>
      <c r="AJ484" s="537"/>
      <c r="AM484" s="14"/>
      <c r="AN484" s="593"/>
      <c r="AO484" s="547" t="s">
        <v>590</v>
      </c>
      <c r="AP484" s="547">
        <v>0</v>
      </c>
      <c r="AT484" s="547" t="s">
        <v>590</v>
      </c>
      <c r="AU484" s="547">
        <v>0</v>
      </c>
      <c r="AV484" s="746"/>
    </row>
    <row r="485" spans="1:59" s="547" customFormat="1" ht="12.75" hidden="1" customHeight="1">
      <c r="A485" s="537" t="s">
        <v>1498</v>
      </c>
      <c r="C485" s="537"/>
      <c r="E485" s="592"/>
      <c r="AE485" s="1399" t="s">
        <v>1499</v>
      </c>
      <c r="AF485" s="1399"/>
      <c r="AG485" s="1399"/>
      <c r="AH485" s="1399"/>
      <c r="AI485" s="1399"/>
      <c r="AJ485" s="1399"/>
      <c r="AK485" s="1399"/>
      <c r="AL485" s="587"/>
      <c r="AN485" s="593"/>
      <c r="AO485" s="547" t="s">
        <v>1477</v>
      </c>
      <c r="AP485" s="547">
        <v>5</v>
      </c>
      <c r="AT485" s="547" t="s">
        <v>1477</v>
      </c>
      <c r="AU485" s="547">
        <v>5</v>
      </c>
      <c r="AV485" s="746"/>
    </row>
    <row r="486" spans="1:59" s="547" customFormat="1" ht="12.75" hidden="1" customHeight="1">
      <c r="A486" s="537"/>
      <c r="B486" s="534" t="s">
        <v>1500</v>
      </c>
      <c r="C486" s="537"/>
      <c r="E486" s="592"/>
      <c r="AE486" s="587"/>
      <c r="AF486" s="587"/>
      <c r="AG486" s="587"/>
      <c r="AH486" s="587"/>
      <c r="AI486" s="587"/>
      <c r="AJ486" s="587"/>
      <c r="AK486" s="587"/>
      <c r="AL486" s="587"/>
      <c r="AN486" s="593"/>
      <c r="AO486" s="547" t="s">
        <v>1501</v>
      </c>
      <c r="AP486" s="547">
        <v>5</v>
      </c>
      <c r="AT486" s="547" t="s">
        <v>1478</v>
      </c>
      <c r="AU486" s="547">
        <v>5</v>
      </c>
      <c r="AV486" s="746"/>
    </row>
    <row r="487" spans="1:59" s="547" customFormat="1" ht="12.75" hidden="1" customHeight="1">
      <c r="A487" s="537"/>
      <c r="B487" s="537" t="s">
        <v>1502</v>
      </c>
      <c r="C487" s="537"/>
      <c r="E487" s="592"/>
      <c r="AE487" s="587"/>
      <c r="AF487" s="587"/>
      <c r="AG487" s="587"/>
      <c r="AH487" s="587"/>
      <c r="AI487" s="587"/>
      <c r="AJ487" s="587"/>
      <c r="AK487" s="587"/>
      <c r="AL487" s="587"/>
      <c r="AN487" s="593"/>
      <c r="AO487" s="547" t="s">
        <v>1479</v>
      </c>
      <c r="AP487" s="547">
        <v>5</v>
      </c>
      <c r="AQ487" s="537"/>
      <c r="AR487" s="537"/>
      <c r="AS487" s="749"/>
      <c r="AT487" s="547" t="s">
        <v>1479</v>
      </c>
      <c r="AU487" s="547">
        <v>5</v>
      </c>
      <c r="AV487" s="534"/>
    </row>
    <row r="488" spans="1:59" s="547" customFormat="1" ht="12.75" hidden="1" customHeight="1">
      <c r="A488" s="537"/>
      <c r="B488" s="537" t="s">
        <v>1503</v>
      </c>
      <c r="C488" s="537"/>
      <c r="E488" s="592"/>
      <c r="AE488" s="587"/>
      <c r="AF488" s="587"/>
      <c r="AG488" s="587"/>
      <c r="AH488" s="587"/>
      <c r="AI488" s="587"/>
      <c r="AJ488" s="587"/>
      <c r="AK488" s="587"/>
      <c r="AL488" s="587"/>
      <c r="AN488" s="593"/>
      <c r="AO488" s="547" t="s">
        <v>1481</v>
      </c>
      <c r="AP488" s="547">
        <v>5</v>
      </c>
      <c r="AQ488" s="537"/>
      <c r="AR488" s="537"/>
      <c r="AT488" s="547" t="s">
        <v>1481</v>
      </c>
      <c r="AU488" s="547">
        <v>5</v>
      </c>
    </row>
    <row r="489" spans="1:59" s="547" customFormat="1" ht="12.75" hidden="1" customHeight="1">
      <c r="A489" s="537"/>
      <c r="C489" s="537"/>
      <c r="E489" s="592"/>
      <c r="AE489" s="587"/>
      <c r="AF489" s="587"/>
      <c r="AG489" s="587"/>
      <c r="AH489" s="587"/>
      <c r="AI489" s="587"/>
      <c r="AJ489" s="587"/>
      <c r="AK489" s="587"/>
      <c r="AL489" s="587"/>
      <c r="AN489" s="593"/>
      <c r="AO489" s="547" t="s">
        <v>1482</v>
      </c>
      <c r="AP489" s="547">
        <v>5</v>
      </c>
      <c r="AQ489" s="537"/>
      <c r="AR489" s="537"/>
      <c r="AT489" s="547" t="s">
        <v>1482</v>
      </c>
      <c r="AU489" s="547">
        <v>5</v>
      </c>
    </row>
    <row r="490" spans="1:59" s="547" customFormat="1" ht="12.75" hidden="1" customHeight="1">
      <c r="A490" s="537"/>
      <c r="C490" s="706" t="s">
        <v>1504</v>
      </c>
      <c r="D490" s="566"/>
      <c r="AE490" s="587"/>
      <c r="AF490" s="587"/>
      <c r="AG490" s="592"/>
      <c r="AH490" s="592"/>
      <c r="AI490" s="592"/>
      <c r="AJ490" s="592"/>
      <c r="AK490" s="592"/>
      <c r="AL490" s="592"/>
      <c r="AN490" s="593"/>
      <c r="AO490" s="547" t="s">
        <v>1483</v>
      </c>
      <c r="AP490" s="547">
        <v>5</v>
      </c>
      <c r="AT490" s="547" t="s">
        <v>1483</v>
      </c>
      <c r="AU490" s="547">
        <v>5</v>
      </c>
    </row>
    <row r="491" spans="1:59" s="547" customFormat="1" ht="12.75" hidden="1" customHeight="1">
      <c r="A491" s="537"/>
      <c r="C491" s="1405" t="s">
        <v>590</v>
      </c>
      <c r="D491" s="1406"/>
      <c r="E491" s="755" t="s">
        <v>506</v>
      </c>
      <c r="F491" s="1407" t="s">
        <v>1505</v>
      </c>
      <c r="G491" s="1407"/>
      <c r="H491" s="1407"/>
      <c r="I491" s="1407"/>
      <c r="J491" s="1407"/>
      <c r="K491" s="1407"/>
      <c r="L491" s="1407"/>
      <c r="M491" s="1407"/>
      <c r="N491" s="1407"/>
      <c r="O491" s="1407"/>
      <c r="P491" s="1407"/>
      <c r="Q491" s="1407"/>
      <c r="R491" s="1407"/>
      <c r="S491" s="1407"/>
      <c r="T491" s="1407"/>
      <c r="U491" s="1407"/>
      <c r="V491" s="1407"/>
      <c r="W491" s="1407"/>
      <c r="X491" s="1407"/>
      <c r="Y491" s="1407"/>
      <c r="Z491" s="1407"/>
      <c r="AA491" s="1407"/>
      <c r="AB491" s="1407"/>
      <c r="AC491" s="1407"/>
      <c r="AD491" s="1407"/>
      <c r="AE491" s="1407"/>
      <c r="AF491" s="708"/>
      <c r="AG491" s="708"/>
      <c r="AH491" s="708"/>
      <c r="AI491" s="708"/>
      <c r="AJ491" s="708"/>
      <c r="AK491" s="739"/>
      <c r="AN491" s="593"/>
      <c r="AO491" s="547" t="s">
        <v>1506</v>
      </c>
      <c r="AP491" s="547">
        <v>5</v>
      </c>
      <c r="AS491" s="752"/>
      <c r="AT491" s="547" t="s">
        <v>1484</v>
      </c>
      <c r="AU491" s="547">
        <v>5</v>
      </c>
    </row>
    <row r="492" spans="1:59" s="547" customFormat="1" ht="12.75" hidden="1" customHeight="1">
      <c r="C492" s="756"/>
      <c r="E492" s="757"/>
      <c r="F492" s="1408"/>
      <c r="G492" s="1408"/>
      <c r="H492" s="1408"/>
      <c r="I492" s="1408"/>
      <c r="J492" s="1408"/>
      <c r="K492" s="1408"/>
      <c r="L492" s="1408"/>
      <c r="M492" s="1408"/>
      <c r="N492" s="1408"/>
      <c r="O492" s="1408"/>
      <c r="P492" s="1408"/>
      <c r="Q492" s="1408"/>
      <c r="R492" s="1408"/>
      <c r="S492" s="1408"/>
      <c r="T492" s="1408"/>
      <c r="U492" s="1408"/>
      <c r="V492" s="1408"/>
      <c r="W492" s="1408"/>
      <c r="X492" s="1408"/>
      <c r="Y492" s="1408"/>
      <c r="Z492" s="1408"/>
      <c r="AA492" s="1408"/>
      <c r="AB492" s="1408"/>
      <c r="AC492" s="1408"/>
      <c r="AD492" s="1408"/>
      <c r="AE492" s="1408"/>
      <c r="AG492" s="548"/>
      <c r="AH492" s="548"/>
      <c r="AI492" s="548"/>
      <c r="AJ492" s="548"/>
      <c r="AK492" s="726"/>
      <c r="AN492" s="593"/>
      <c r="AO492" s="547" t="s">
        <v>1487</v>
      </c>
      <c r="AP492" s="547">
        <v>1</v>
      </c>
      <c r="AT492" s="547" t="s">
        <v>1487</v>
      </c>
      <c r="AU492" s="547">
        <v>1</v>
      </c>
    </row>
    <row r="493" spans="1:59" s="547" customFormat="1" ht="12.75" hidden="1" customHeight="1">
      <c r="C493" s="758"/>
      <c r="D493" s="721"/>
      <c r="E493" s="759"/>
      <c r="F493" s="1503" t="s">
        <v>590</v>
      </c>
      <c r="G493" s="1503"/>
      <c r="H493" s="1503"/>
      <c r="I493" s="1503"/>
      <c r="J493" s="1503"/>
      <c r="K493" s="1503"/>
      <c r="L493" s="1503"/>
      <c r="M493" s="1503"/>
      <c r="N493" s="1503"/>
      <c r="O493" s="1503"/>
      <c r="P493" s="1503"/>
      <c r="Q493" s="1503"/>
      <c r="R493" s="1503"/>
      <c r="S493" s="1503"/>
      <c r="T493" s="1503"/>
      <c r="U493" s="1503"/>
      <c r="V493" s="1503"/>
      <c r="W493" s="1503"/>
      <c r="X493" s="1503"/>
      <c r="Y493" s="1503"/>
      <c r="Z493" s="1503"/>
      <c r="AA493" s="760"/>
      <c r="AB493" s="652"/>
      <c r="AC493" s="652"/>
      <c r="AD493" s="721"/>
      <c r="AE493" s="721"/>
      <c r="AF493" s="721"/>
      <c r="AG493" s="761">
        <f>IF($C$491="Yes",(VLOOKUP($F$493,$AT$484:$AU$492,2,FALSE)),0)</f>
        <v>0</v>
      </c>
      <c r="AH493" s="762" t="s">
        <v>1319</v>
      </c>
      <c r="AI493" s="761"/>
      <c r="AJ493" s="761"/>
      <c r="AK493" s="736"/>
      <c r="AN493" s="593"/>
      <c r="AS493" s="749"/>
      <c r="AX493" s="749"/>
      <c r="BB493" s="749" t="s">
        <v>1488</v>
      </c>
      <c r="BF493" s="749" t="s">
        <v>1489</v>
      </c>
    </row>
    <row r="494" spans="1:59" s="547" customFormat="1" ht="12.75" hidden="1" customHeight="1">
      <c r="C494" s="548"/>
      <c r="E494" s="757"/>
      <c r="F494" s="589"/>
      <c r="G494" s="589"/>
      <c r="H494" s="589"/>
      <c r="I494" s="589"/>
      <c r="J494" s="589"/>
      <c r="K494" s="589"/>
      <c r="L494" s="589"/>
      <c r="M494" s="589"/>
      <c r="N494" s="589"/>
      <c r="O494" s="589"/>
      <c r="P494" s="589"/>
      <c r="Q494" s="589"/>
      <c r="R494" s="589"/>
      <c r="S494" s="589"/>
      <c r="T494" s="589"/>
      <c r="U494" s="589"/>
      <c r="V494" s="589"/>
      <c r="W494" s="589"/>
      <c r="X494" s="589"/>
      <c r="Y494" s="589"/>
      <c r="Z494" s="589"/>
      <c r="AA494" s="566"/>
      <c r="AB494" s="548"/>
      <c r="AC494" s="548"/>
      <c r="AG494" s="548"/>
      <c r="AH494" s="548"/>
      <c r="AI494" s="548"/>
      <c r="AJ494" s="548"/>
      <c r="AN494" s="593"/>
      <c r="AO494" s="547" t="s">
        <v>590</v>
      </c>
      <c r="AP494" s="633">
        <v>0</v>
      </c>
      <c r="AT494" s="547" t="s">
        <v>590</v>
      </c>
      <c r="AU494" s="633">
        <v>0</v>
      </c>
      <c r="AW494" s="547" t="s">
        <v>590</v>
      </c>
      <c r="AX494" s="633">
        <v>0</v>
      </c>
      <c r="AY494" s="589"/>
      <c r="BB494" s="547" t="s">
        <v>590</v>
      </c>
      <c r="BC494" s="589">
        <v>0</v>
      </c>
      <c r="BF494" s="547" t="s">
        <v>590</v>
      </c>
      <c r="BG494" s="589">
        <v>0</v>
      </c>
    </row>
    <row r="495" spans="1:59" s="547" customFormat="1" ht="12.75" hidden="1" customHeight="1">
      <c r="C495" s="1524" t="s">
        <v>544</v>
      </c>
      <c r="D495" s="1525"/>
      <c r="E495" s="755" t="s">
        <v>756</v>
      </c>
      <c r="F495" s="763" t="s">
        <v>1507</v>
      </c>
      <c r="G495" s="643"/>
      <c r="H495" s="643"/>
      <c r="I495" s="643"/>
      <c r="J495" s="643"/>
      <c r="K495" s="643"/>
      <c r="L495" s="643"/>
      <c r="M495" s="643"/>
      <c r="N495" s="643"/>
      <c r="O495" s="643"/>
      <c r="P495" s="643"/>
      <c r="Q495" s="643"/>
      <c r="R495" s="643"/>
      <c r="S495" s="643"/>
      <c r="T495" s="643"/>
      <c r="U495" s="643"/>
      <c r="V495" s="643"/>
      <c r="W495" s="643"/>
      <c r="X495" s="643"/>
      <c r="Y495" s="643"/>
      <c r="Z495" s="643"/>
      <c r="AA495" s="643"/>
      <c r="AB495" s="643"/>
      <c r="AC495" s="643"/>
      <c r="AD495" s="708"/>
      <c r="AE495" s="708"/>
      <c r="AF495" s="708"/>
      <c r="AG495" s="643"/>
      <c r="AH495" s="643"/>
      <c r="AI495" s="643"/>
      <c r="AJ495" s="643"/>
      <c r="AK495" s="739"/>
      <c r="AN495" s="593"/>
      <c r="AO495" s="752">
        <v>0.15</v>
      </c>
      <c r="AP495" s="633">
        <v>3</v>
      </c>
      <c r="AT495" s="752">
        <v>7.0000000000000007E-2</v>
      </c>
      <c r="AU495" s="633">
        <v>3</v>
      </c>
      <c r="AW495" s="547" t="s">
        <v>1490</v>
      </c>
      <c r="AX495" s="633">
        <v>3</v>
      </c>
      <c r="AY495" s="589"/>
      <c r="BB495" s="752">
        <v>0.4</v>
      </c>
      <c r="BC495" s="589">
        <v>3</v>
      </c>
      <c r="BF495" s="752">
        <v>0.4</v>
      </c>
      <c r="BG495" s="589">
        <v>4</v>
      </c>
    </row>
    <row r="496" spans="1:59" s="547" customFormat="1" ht="12.75" hidden="1" customHeight="1">
      <c r="C496" s="764" t="s">
        <v>1508</v>
      </c>
      <c r="F496" s="765" t="s">
        <v>1509</v>
      </c>
      <c r="G496" s="548"/>
      <c r="H496" s="548"/>
      <c r="I496" s="548"/>
      <c r="J496" s="548"/>
      <c r="K496" s="548"/>
      <c r="L496" s="548"/>
      <c r="M496" s="548"/>
      <c r="N496" s="548"/>
      <c r="O496" s="548"/>
      <c r="P496" s="548"/>
      <c r="Q496" s="548"/>
      <c r="R496" s="548"/>
      <c r="S496" s="548"/>
      <c r="T496" s="548"/>
      <c r="U496" s="548"/>
      <c r="V496" s="548"/>
      <c r="W496" s="548"/>
      <c r="X496" s="548"/>
      <c r="Y496" s="548"/>
      <c r="Z496" s="548"/>
      <c r="AA496" s="548"/>
      <c r="AB496" s="548"/>
      <c r="AC496" s="587"/>
      <c r="AG496" s="609"/>
      <c r="AH496" s="609"/>
      <c r="AI496" s="609"/>
      <c r="AJ496" s="609"/>
      <c r="AK496" s="726"/>
      <c r="AN496" s="593"/>
      <c r="AO496" s="752">
        <v>0.2</v>
      </c>
      <c r="AP496" s="633">
        <v>5</v>
      </c>
      <c r="AT496" s="752">
        <v>0.12</v>
      </c>
      <c r="AU496" s="633">
        <v>5</v>
      </c>
      <c r="AW496" s="547" t="s">
        <v>1493</v>
      </c>
      <c r="AX496" s="633">
        <v>5</v>
      </c>
      <c r="AY496" s="589"/>
      <c r="BB496" s="752">
        <v>0.6</v>
      </c>
      <c r="BC496" s="589">
        <v>4</v>
      </c>
      <c r="BF496" s="752">
        <v>0.6</v>
      </c>
      <c r="BG496" s="589">
        <v>5</v>
      </c>
    </row>
    <row r="497" spans="1:81" s="547" customFormat="1" ht="12.75" hidden="1" customHeight="1">
      <c r="C497" s="745"/>
      <c r="D497" s="724"/>
      <c r="E497" s="766"/>
      <c r="F497" s="765" t="s">
        <v>1510</v>
      </c>
      <c r="G497" s="765"/>
      <c r="H497" s="765"/>
      <c r="I497" s="765"/>
      <c r="J497" s="765"/>
      <c r="K497" s="765"/>
      <c r="L497" s="765"/>
      <c r="M497" s="765"/>
      <c r="N497" s="765"/>
      <c r="O497" s="765"/>
      <c r="P497" s="765"/>
      <c r="Q497" s="765"/>
      <c r="R497" s="765"/>
      <c r="S497" s="765"/>
      <c r="T497" s="765"/>
      <c r="U497" s="765"/>
      <c r="V497" s="765"/>
      <c r="W497" s="765"/>
      <c r="X497" s="765"/>
      <c r="Y497" s="765"/>
      <c r="Z497" s="765"/>
      <c r="AA497" s="765"/>
      <c r="AB497" s="765"/>
      <c r="AC497" s="767"/>
      <c r="AD497" s="605"/>
      <c r="AE497" s="605"/>
      <c r="AF497" s="605"/>
      <c r="AG497" s="768"/>
      <c r="AH497" s="609"/>
      <c r="AI497" s="609"/>
      <c r="AJ497" s="609"/>
      <c r="AK497" s="726"/>
      <c r="AN497" s="672"/>
      <c r="AO497" s="752"/>
      <c r="AP497" s="589"/>
      <c r="AT497" s="752"/>
      <c r="AU497" s="589"/>
      <c r="AX497" s="752"/>
      <c r="AY497" s="589"/>
      <c r="BB497" s="752">
        <v>0.8</v>
      </c>
      <c r="BC497" s="589">
        <v>5</v>
      </c>
      <c r="BF497" s="752"/>
      <c r="BG497" s="589"/>
    </row>
    <row r="498" spans="1:81" s="592" customFormat="1" ht="12.75" hidden="1" customHeight="1">
      <c r="A498" s="633"/>
      <c r="B498" s="547"/>
      <c r="C498" s="756"/>
      <c r="D498" s="547"/>
      <c r="E498" s="757"/>
      <c r="F498" s="769" t="s">
        <v>1511</v>
      </c>
      <c r="G498" s="547"/>
      <c r="H498" s="547"/>
      <c r="I498" s="765"/>
      <c r="J498" s="765"/>
      <c r="K498" s="765"/>
      <c r="L498" s="765"/>
      <c r="M498" s="765"/>
      <c r="N498" s="765"/>
      <c r="O498" s="765"/>
      <c r="P498" s="765"/>
      <c r="Q498" s="765"/>
      <c r="R498" s="765"/>
      <c r="S498" s="765"/>
      <c r="T498" s="765"/>
      <c r="U498" s="765"/>
      <c r="V498" s="1492" t="s">
        <v>590</v>
      </c>
      <c r="W498" s="1492"/>
      <c r="X498" s="1492"/>
      <c r="Y498" s="765"/>
      <c r="Z498" s="765"/>
      <c r="AA498" s="765"/>
      <c r="AB498" s="765"/>
      <c r="AC498" s="765"/>
      <c r="AD498" s="605"/>
      <c r="AE498" s="605"/>
      <c r="AF498" s="605"/>
      <c r="AG498" s="609">
        <f>IF(AND($C$495="Yes",$V$500="N/A",$V$505="N/A",$V$509="N/A",$V$511="N/A"),(VLOOKUP(V498,$AW$494:$AX$496,2,FALSE)),0)</f>
        <v>0</v>
      </c>
      <c r="AH498" s="636" t="s">
        <v>1319</v>
      </c>
      <c r="AI498" s="548"/>
      <c r="AJ498" s="548"/>
      <c r="AK498" s="726"/>
      <c r="AL498" s="547"/>
      <c r="AM498" s="547"/>
      <c r="AN498" s="593"/>
      <c r="AT498" s="547" t="s">
        <v>590</v>
      </c>
      <c r="AU498" s="633">
        <v>0</v>
      </c>
      <c r="AV498" s="547"/>
      <c r="AW498" s="547"/>
      <c r="AX498" s="547"/>
      <c r="AY498" s="547"/>
      <c r="AZ498" s="547"/>
      <c r="BA498" s="547"/>
      <c r="BB498" s="752"/>
      <c r="BC498" s="589"/>
      <c r="BD498" s="547"/>
      <c r="BE498" s="547"/>
      <c r="BF498" s="547"/>
      <c r="BG498" s="547"/>
    </row>
    <row r="499" spans="1:81" s="592" customFormat="1" ht="12.75" hidden="1" customHeight="1">
      <c r="A499" s="633"/>
      <c r="B499" s="547"/>
      <c r="C499" s="756"/>
      <c r="D499" s="547"/>
      <c r="E499" s="757"/>
      <c r="F499" s="769"/>
      <c r="G499" s="547"/>
      <c r="H499" s="547"/>
      <c r="I499" s="765"/>
      <c r="J499" s="765"/>
      <c r="K499" s="765"/>
      <c r="L499" s="765"/>
      <c r="M499" s="765"/>
      <c r="N499" s="765"/>
      <c r="O499" s="765"/>
      <c r="P499" s="765"/>
      <c r="Q499" s="765"/>
      <c r="R499" s="765"/>
      <c r="S499" s="765"/>
      <c r="T499" s="765"/>
      <c r="U499" s="765"/>
      <c r="V499" s="765"/>
      <c r="W499" s="765"/>
      <c r="X499" s="765"/>
      <c r="Y499" s="765"/>
      <c r="Z499" s="765"/>
      <c r="AA499" s="765"/>
      <c r="AB499" s="765"/>
      <c r="AC499" s="765"/>
      <c r="AD499" s="605"/>
      <c r="AE499" s="605"/>
      <c r="AF499" s="605"/>
      <c r="AG499" s="609"/>
      <c r="AH499" s="636"/>
      <c r="AI499" s="548"/>
      <c r="AJ499" s="548"/>
      <c r="AK499" s="726"/>
      <c r="AL499" s="547"/>
      <c r="AM499" s="547"/>
      <c r="AN499" s="593"/>
      <c r="AT499" s="752">
        <v>0.09</v>
      </c>
      <c r="AU499" s="633">
        <v>3</v>
      </c>
      <c r="AV499" s="547"/>
      <c r="AW499" s="547"/>
      <c r="AX499" s="749"/>
      <c r="AY499" s="547"/>
      <c r="AZ499" s="547"/>
      <c r="BA499" s="547"/>
      <c r="BB499" s="547"/>
      <c r="BC499" s="547"/>
      <c r="BD499" s="547"/>
      <c r="BE499" s="547"/>
      <c r="BF499" s="547"/>
      <c r="BG499" s="547"/>
    </row>
    <row r="500" spans="1:81" s="592" customFormat="1" ht="12.75" hidden="1" customHeight="1">
      <c r="A500" s="633"/>
      <c r="B500" s="547"/>
      <c r="C500" s="756"/>
      <c r="D500" s="547"/>
      <c r="E500" s="757"/>
      <c r="F500" s="769" t="s">
        <v>1512</v>
      </c>
      <c r="G500" s="547"/>
      <c r="H500" s="547"/>
      <c r="I500" s="765"/>
      <c r="J500" s="765"/>
      <c r="K500" s="765"/>
      <c r="L500" s="765"/>
      <c r="M500" s="765"/>
      <c r="N500" s="765"/>
      <c r="O500" s="765"/>
      <c r="P500" s="765"/>
      <c r="Q500" s="765"/>
      <c r="R500" s="765"/>
      <c r="S500" s="765"/>
      <c r="T500" s="765"/>
      <c r="U500" s="765"/>
      <c r="V500" s="1492" t="s">
        <v>590</v>
      </c>
      <c r="W500" s="1492"/>
      <c r="X500" s="1492"/>
      <c r="Y500" s="765"/>
      <c r="Z500" s="765"/>
      <c r="AA500" s="765"/>
      <c r="AB500" s="765"/>
      <c r="AC500" s="765"/>
      <c r="AD500" s="605"/>
      <c r="AE500" s="605"/>
      <c r="AF500" s="605"/>
      <c r="AG500" s="609">
        <f>IF(AND($C$495="Yes",$V$498="N/A", $V$505="N/A",$V$509="N/A",$V$511="N/A"),(VLOOKUP(V500,$AT$494:$AU$496,2,FALSE)),0)</f>
        <v>0</v>
      </c>
      <c r="AH500" s="636" t="s">
        <v>1319</v>
      </c>
      <c r="AI500" s="548"/>
      <c r="AJ500" s="548"/>
      <c r="AK500" s="726"/>
      <c r="AL500" s="547"/>
      <c r="AM500" s="547"/>
      <c r="AN500" s="593"/>
      <c r="AT500" s="752">
        <v>0.15</v>
      </c>
      <c r="AU500" s="633">
        <v>5</v>
      </c>
      <c r="AV500" s="547"/>
      <c r="AW500" s="547"/>
      <c r="AX500" s="547"/>
      <c r="AY500" s="547"/>
      <c r="AZ500" s="547"/>
      <c r="BA500" s="547"/>
      <c r="BB500" s="547"/>
      <c r="BC500" s="547"/>
      <c r="BD500" s="547"/>
      <c r="BE500" s="547"/>
      <c r="BF500" s="547"/>
      <c r="BG500" s="547"/>
    </row>
    <row r="501" spans="1:81" s="547" customFormat="1" ht="12.75" hidden="1" customHeight="1">
      <c r="C501" s="756"/>
      <c r="E501" s="757"/>
      <c r="F501" s="592"/>
      <c r="G501" s="770"/>
      <c r="H501" s="770"/>
      <c r="I501" s="770"/>
      <c r="J501" s="770"/>
      <c r="K501" s="770"/>
      <c r="L501" s="770"/>
      <c r="M501" s="770"/>
      <c r="N501" s="770"/>
      <c r="O501" s="770"/>
      <c r="P501" s="770"/>
      <c r="Q501" s="548"/>
      <c r="R501" s="548"/>
      <c r="S501" s="548"/>
      <c r="T501" s="548"/>
      <c r="U501" s="548"/>
      <c r="V501" s="548"/>
      <c r="W501" s="548"/>
      <c r="X501" s="548"/>
      <c r="Y501" s="548"/>
      <c r="Z501" s="548"/>
      <c r="AA501" s="548"/>
      <c r="AB501" s="548"/>
      <c r="AC501" s="548"/>
      <c r="AG501" s="592"/>
      <c r="AH501" s="592"/>
      <c r="AI501" s="592"/>
      <c r="AJ501" s="592"/>
      <c r="AK501" s="726"/>
      <c r="AN501" s="593"/>
      <c r="AO501" s="547" t="s">
        <v>590</v>
      </c>
      <c r="AP501" s="547">
        <v>0</v>
      </c>
    </row>
    <row r="502" spans="1:81" s="547" customFormat="1" ht="12.75" hidden="1" customHeight="1">
      <c r="C502" s="756"/>
      <c r="E502" s="757"/>
      <c r="F502" s="770" t="s">
        <v>1513</v>
      </c>
      <c r="I502" s="757"/>
      <c r="J502" s="757"/>
      <c r="K502" s="757"/>
      <c r="L502" s="757"/>
      <c r="M502" s="757"/>
      <c r="N502" s="757"/>
      <c r="O502" s="757"/>
      <c r="P502" s="757"/>
      <c r="Q502" s="548"/>
      <c r="R502" s="548"/>
      <c r="S502" s="548"/>
      <c r="T502" s="548"/>
      <c r="U502" s="548"/>
      <c r="V502" s="548"/>
      <c r="W502" s="548"/>
      <c r="X502" s="548"/>
      <c r="Y502" s="548"/>
      <c r="Z502" s="548"/>
      <c r="AA502" s="548"/>
      <c r="AB502" s="548"/>
      <c r="AC502" s="548"/>
      <c r="AJ502" s="548"/>
      <c r="AK502" s="726"/>
      <c r="AN502" s="593"/>
      <c r="AO502" s="547" t="s">
        <v>1514</v>
      </c>
      <c r="AP502" s="633">
        <v>2</v>
      </c>
    </row>
    <row r="503" spans="1:81" s="547" customFormat="1" ht="12.75" hidden="1" customHeight="1">
      <c r="C503" s="756"/>
      <c r="F503" s="605" t="s">
        <v>1515</v>
      </c>
      <c r="M503" s="757"/>
      <c r="N503" s="757"/>
      <c r="O503" s="757"/>
      <c r="P503" s="757"/>
      <c r="Q503" s="548"/>
      <c r="R503" s="548"/>
      <c r="S503" s="548"/>
      <c r="T503" s="548"/>
      <c r="U503" s="548"/>
      <c r="V503" s="548"/>
      <c r="W503" s="548"/>
      <c r="X503" s="548"/>
      <c r="Y503" s="548"/>
      <c r="Z503" s="548"/>
      <c r="AA503" s="548"/>
      <c r="AB503" s="548"/>
      <c r="AC503" s="548"/>
      <c r="AG503" s="609"/>
      <c r="AH503" s="636"/>
      <c r="AI503" s="548"/>
      <c r="AJ503" s="548"/>
      <c r="AK503" s="726"/>
      <c r="AN503" s="593"/>
      <c r="AO503" s="547" t="s">
        <v>1516</v>
      </c>
      <c r="AP503" s="547">
        <v>2</v>
      </c>
    </row>
    <row r="504" spans="1:81" s="592" customFormat="1" ht="12.75" hidden="1" customHeight="1">
      <c r="A504" s="547"/>
      <c r="B504" s="547"/>
      <c r="C504" s="733"/>
      <c r="D504" s="566"/>
      <c r="E504" s="566"/>
      <c r="F504" s="605" t="s">
        <v>1517</v>
      </c>
      <c r="G504" s="547"/>
      <c r="H504" s="547"/>
      <c r="I504" s="547"/>
      <c r="J504" s="547"/>
      <c r="K504" s="547"/>
      <c r="L504" s="547"/>
      <c r="M504" s="757"/>
      <c r="N504" s="757"/>
      <c r="O504" s="757"/>
      <c r="P504" s="757"/>
      <c r="Q504" s="548"/>
      <c r="R504" s="548"/>
      <c r="S504" s="548"/>
      <c r="T504" s="548"/>
      <c r="U504" s="548"/>
      <c r="V504" s="548"/>
      <c r="W504" s="548"/>
      <c r="X504" s="548"/>
      <c r="Y504" s="548"/>
      <c r="Z504" s="548"/>
      <c r="AA504" s="548"/>
      <c r="AB504" s="548"/>
      <c r="AC504" s="548"/>
      <c r="AD504" s="547"/>
      <c r="AE504" s="547"/>
      <c r="AF504" s="547"/>
      <c r="AG504" s="609"/>
      <c r="AH504" s="636"/>
      <c r="AI504" s="548"/>
      <c r="AJ504" s="548"/>
      <c r="AK504" s="726"/>
      <c r="AL504" s="547"/>
      <c r="AM504" s="547"/>
      <c r="AN504" s="672"/>
      <c r="AO504" s="547" t="s">
        <v>1518</v>
      </c>
      <c r="AP504" s="547">
        <v>2</v>
      </c>
    </row>
    <row r="505" spans="1:81" s="547" customFormat="1" ht="12.75" hidden="1" customHeight="1">
      <c r="C505" s="771"/>
      <c r="F505" s="769" t="s">
        <v>1519</v>
      </c>
      <c r="M505" s="757"/>
      <c r="N505" s="757"/>
      <c r="O505" s="757"/>
      <c r="P505" s="757"/>
      <c r="Q505" s="548"/>
      <c r="R505" s="548"/>
      <c r="S505" s="548"/>
      <c r="T505" s="548"/>
      <c r="U505" s="548"/>
      <c r="V505" s="1492" t="s">
        <v>590</v>
      </c>
      <c r="W505" s="1492"/>
      <c r="X505" s="1492"/>
      <c r="Y505" s="548"/>
      <c r="Z505" s="548"/>
      <c r="AA505" s="548"/>
      <c r="AB505" s="548"/>
      <c r="AC505" s="548"/>
      <c r="AG505" s="609">
        <f>IF(AND($C$495="Yes",$V$498="N/A",$V$500="N/A", $V$509="N/A",$V$511="N/A"),(VLOOKUP($V$505,$AT$498:$AU$500,2,FALSE)),0)</f>
        <v>0</v>
      </c>
      <c r="AH505" s="636" t="s">
        <v>1319</v>
      </c>
      <c r="AI505" s="548"/>
      <c r="AJ505" s="548"/>
      <c r="AK505" s="726"/>
      <c r="AN505" s="533"/>
    </row>
    <row r="506" spans="1:81" s="547" customFormat="1" ht="12.75" hidden="1" customHeight="1">
      <c r="C506" s="756"/>
      <c r="M506" s="757"/>
      <c r="N506" s="757"/>
      <c r="O506" s="757"/>
      <c r="P506" s="757"/>
      <c r="Q506" s="548"/>
      <c r="R506" s="548"/>
      <c r="S506" s="548"/>
      <c r="T506" s="548"/>
      <c r="U506" s="548"/>
      <c r="V506" s="548"/>
      <c r="W506" s="548"/>
      <c r="X506" s="548"/>
      <c r="Y506" s="548"/>
      <c r="Z506" s="548"/>
      <c r="AA506" s="548"/>
      <c r="AB506" s="548"/>
      <c r="AC506" s="548"/>
      <c r="AJ506" s="548"/>
      <c r="AK506" s="726"/>
      <c r="AN506" s="772"/>
    </row>
    <row r="507" spans="1:81" s="592" customFormat="1" ht="12.75" hidden="1" customHeight="1">
      <c r="A507" s="547"/>
      <c r="B507" s="547"/>
      <c r="C507" s="773" t="s">
        <v>1520</v>
      </c>
      <c r="D507" s="708"/>
      <c r="E507" s="708"/>
      <c r="F507" s="774" t="s">
        <v>1521</v>
      </c>
      <c r="G507" s="708"/>
      <c r="H507" s="708"/>
      <c r="I507" s="708"/>
      <c r="J507" s="708"/>
      <c r="K507" s="708"/>
      <c r="L507" s="708"/>
      <c r="M507" s="708"/>
      <c r="N507" s="708"/>
      <c r="O507" s="708"/>
      <c r="P507" s="708"/>
      <c r="Q507" s="708"/>
      <c r="R507" s="708"/>
      <c r="S507" s="708"/>
      <c r="T507" s="708"/>
      <c r="U507" s="708"/>
      <c r="V507" s="708"/>
      <c r="W507" s="708"/>
      <c r="X507" s="708"/>
      <c r="Y507" s="708"/>
      <c r="Z507" s="708"/>
      <c r="AA507" s="708"/>
      <c r="AB507" s="708"/>
      <c r="AC507" s="708"/>
      <c r="AD507" s="708"/>
      <c r="AE507" s="708"/>
      <c r="AF507" s="708"/>
      <c r="AG507" s="708"/>
      <c r="AH507" s="708"/>
      <c r="AI507" s="708"/>
      <c r="AJ507" s="708"/>
      <c r="AK507" s="739"/>
      <c r="AL507" s="547"/>
      <c r="AM507" s="547"/>
      <c r="AN507" s="588"/>
      <c r="AO507" s="547" t="s">
        <v>590</v>
      </c>
      <c r="AP507" s="547">
        <v>0</v>
      </c>
      <c r="AQ507" s="537"/>
    </row>
    <row r="508" spans="1:81" s="592" customFormat="1" ht="12.75" hidden="1" customHeight="1">
      <c r="A508" s="547"/>
      <c r="B508" s="547"/>
      <c r="C508" s="775"/>
      <c r="D508" s="1478"/>
      <c r="E508" s="1478"/>
      <c r="F508" s="765" t="s">
        <v>1522</v>
      </c>
      <c r="I508" s="547"/>
      <c r="J508" s="547"/>
      <c r="K508" s="547"/>
      <c r="L508" s="547"/>
      <c r="M508" s="547"/>
      <c r="N508" s="547"/>
      <c r="O508" s="547"/>
      <c r="P508" s="547"/>
      <c r="Q508" s="547"/>
      <c r="R508" s="547"/>
      <c r="S508" s="547"/>
      <c r="T508" s="547"/>
      <c r="U508" s="547"/>
      <c r="Y508" s="547"/>
      <c r="Z508" s="547"/>
      <c r="AA508" s="547"/>
      <c r="AB508" s="547"/>
      <c r="AC508" s="547"/>
      <c r="AD508" s="547"/>
      <c r="AE508" s="547"/>
      <c r="AF508" s="547"/>
      <c r="AK508" s="726"/>
      <c r="AL508" s="547"/>
      <c r="AM508" s="547"/>
      <c r="AN508" s="588"/>
      <c r="AO508" s="547" t="s">
        <v>1523</v>
      </c>
      <c r="AP508" s="633">
        <v>5</v>
      </c>
      <c r="AQ508" s="537"/>
    </row>
    <row r="509" spans="1:81" s="566" customFormat="1" ht="12.75" hidden="1" customHeight="1">
      <c r="A509" s="673"/>
      <c r="B509" s="547"/>
      <c r="C509" s="756"/>
      <c r="D509" s="547"/>
      <c r="E509" s="547"/>
      <c r="F509" s="776" t="s">
        <v>1511</v>
      </c>
      <c r="G509" s="547"/>
      <c r="H509" s="547"/>
      <c r="I509" s="547"/>
      <c r="J509" s="547"/>
      <c r="K509" s="547"/>
      <c r="L509" s="547"/>
      <c r="M509" s="547"/>
      <c r="N509" s="547"/>
      <c r="O509" s="547"/>
      <c r="P509" s="547"/>
      <c r="Q509" s="547"/>
      <c r="R509" s="547"/>
      <c r="S509" s="547"/>
      <c r="T509" s="547"/>
      <c r="U509" s="547"/>
      <c r="V509" s="1492" t="s">
        <v>590</v>
      </c>
      <c r="W509" s="1492"/>
      <c r="X509" s="1492"/>
      <c r="Y509" s="547"/>
      <c r="Z509" s="547"/>
      <c r="AA509" s="547"/>
      <c r="AB509" s="547"/>
      <c r="AC509" s="547"/>
      <c r="AD509" s="547"/>
      <c r="AE509" s="547"/>
      <c r="AF509" s="547"/>
      <c r="AG509" s="609">
        <f>IF(AND($C$495="Yes",$V$498="N/A",V500="N/A",$V$505="N/A",$V$511="N/A"),(VLOOKUP($V$509,$BB$494:$BC$497,2,FALSE)),0)</f>
        <v>0</v>
      </c>
      <c r="AH509" s="636" t="s">
        <v>1319</v>
      </c>
      <c r="AI509" s="548"/>
      <c r="AJ509" s="547"/>
      <c r="AK509" s="726"/>
      <c r="AL509" s="547"/>
      <c r="AM509" s="547"/>
      <c r="AN509" s="678"/>
      <c r="AO509" s="547" t="s">
        <v>1524</v>
      </c>
      <c r="AP509" s="547">
        <v>5</v>
      </c>
      <c r="AS509" s="547"/>
      <c r="AT509" s="547"/>
      <c r="AU509" s="547"/>
      <c r="AV509" s="547"/>
      <c r="AW509" s="547"/>
      <c r="AX509" s="547"/>
      <c r="AY509" s="547"/>
      <c r="AZ509" s="547"/>
      <c r="BA509" s="547"/>
      <c r="BB509" s="547"/>
      <c r="BO509" s="547"/>
      <c r="BP509" s="547"/>
      <c r="BQ509" s="547"/>
      <c r="BR509" s="547"/>
      <c r="BS509" s="547"/>
      <c r="BT509" s="547"/>
      <c r="BU509" s="547"/>
      <c r="BV509" s="547"/>
      <c r="BW509" s="547"/>
      <c r="BX509" s="547"/>
      <c r="BY509" s="547"/>
      <c r="BZ509" s="547"/>
      <c r="CA509" s="547"/>
      <c r="CB509" s="547"/>
      <c r="CC509" s="547"/>
    </row>
    <row r="510" spans="1:81" s="566" customFormat="1" ht="12.75" hidden="1" customHeight="1">
      <c r="A510" s="673"/>
      <c r="B510" s="547"/>
      <c r="C510" s="756"/>
      <c r="D510" s="547"/>
      <c r="E510" s="547"/>
      <c r="I510" s="547"/>
      <c r="J510" s="547"/>
      <c r="K510" s="547"/>
      <c r="L510" s="547"/>
      <c r="M510" s="547"/>
      <c r="N510" s="547"/>
      <c r="O510" s="547"/>
      <c r="P510" s="547"/>
      <c r="Q510" s="547"/>
      <c r="R510" s="547"/>
      <c r="S510" s="547"/>
      <c r="T510" s="547"/>
      <c r="U510" s="547"/>
      <c r="V510" s="547"/>
      <c r="W510" s="547"/>
      <c r="X510" s="547"/>
      <c r="Y510" s="547"/>
      <c r="Z510" s="547"/>
      <c r="AA510" s="547"/>
      <c r="AB510" s="547"/>
      <c r="AC510" s="547"/>
      <c r="AD510" s="547"/>
      <c r="AE510" s="547"/>
      <c r="AF510" s="547"/>
      <c r="AK510" s="726"/>
      <c r="AL510" s="547"/>
      <c r="AM510" s="547"/>
      <c r="AN510" s="678"/>
      <c r="AO510" s="547" t="s">
        <v>1525</v>
      </c>
      <c r="AP510" s="547">
        <v>5</v>
      </c>
      <c r="AS510" s="547"/>
      <c r="AT510" s="547"/>
      <c r="AU510" s="547"/>
      <c r="AV510" s="547"/>
      <c r="AW510" s="547"/>
      <c r="AX510" s="547"/>
      <c r="AY510" s="547"/>
      <c r="AZ510" s="547"/>
      <c r="BA510" s="547"/>
      <c r="BB510" s="547"/>
      <c r="BC510" s="547"/>
      <c r="BD510" s="547"/>
      <c r="BE510" s="547"/>
      <c r="BF510" s="547"/>
      <c r="BG510" s="547"/>
      <c r="BH510" s="547"/>
      <c r="BI510" s="547"/>
      <c r="BJ510" s="547"/>
      <c r="BK510" s="547"/>
      <c r="BL510" s="547"/>
      <c r="BM510" s="547"/>
      <c r="BN510" s="547"/>
      <c r="BO510" s="547"/>
      <c r="BP510" s="547"/>
      <c r="BQ510" s="547"/>
      <c r="BR510" s="547"/>
      <c r="BS510" s="547"/>
      <c r="BT510" s="547"/>
      <c r="BU510" s="547"/>
      <c r="BV510" s="547"/>
      <c r="BW510" s="547"/>
      <c r="BX510" s="547"/>
      <c r="BY510" s="547"/>
      <c r="BZ510" s="547"/>
      <c r="CA510" s="547"/>
      <c r="CB510" s="547"/>
      <c r="CC510" s="547"/>
    </row>
    <row r="511" spans="1:81" s="537" customFormat="1" ht="12.75" hidden="1" customHeight="1">
      <c r="A511" s="673"/>
      <c r="B511" s="547"/>
      <c r="C511" s="758"/>
      <c r="D511" s="721"/>
      <c r="E511" s="721"/>
      <c r="F511" s="769" t="s">
        <v>1512</v>
      </c>
      <c r="G511" s="760"/>
      <c r="H511" s="760"/>
      <c r="I511" s="721"/>
      <c r="J511" s="721"/>
      <c r="K511" s="721"/>
      <c r="L511" s="721"/>
      <c r="M511" s="721"/>
      <c r="N511" s="721"/>
      <c r="O511" s="721"/>
      <c r="P511" s="721"/>
      <c r="Q511" s="721"/>
      <c r="R511" s="721"/>
      <c r="S511" s="721"/>
      <c r="T511" s="721"/>
      <c r="U511" s="721"/>
      <c r="V511" s="1492" t="s">
        <v>590</v>
      </c>
      <c r="W511" s="1492"/>
      <c r="X511" s="1492"/>
      <c r="Y511" s="721"/>
      <c r="Z511" s="721"/>
      <c r="AA511" s="721"/>
      <c r="AB511" s="721"/>
      <c r="AC511" s="721"/>
      <c r="AD511" s="721"/>
      <c r="AE511" s="721"/>
      <c r="AF511" s="721"/>
      <c r="AG511" s="777">
        <f>IF(AND($C$495="Yes",$V$498="N/A",$V$500="N/A",$V$505="N/A",$V$509="N/A"),(VLOOKUP($V$511,$BF$494:$BG$496,2,FALSE)),0)</f>
        <v>0</v>
      </c>
      <c r="AH511" s="762" t="s">
        <v>1319</v>
      </c>
      <c r="AI511" s="721"/>
      <c r="AJ511" s="721"/>
      <c r="AK511" s="736"/>
      <c r="AL511" s="547"/>
      <c r="AM511" s="547"/>
      <c r="AN511" s="778"/>
      <c r="AP511" s="592"/>
      <c r="AQ511" s="592"/>
      <c r="AR511" s="592"/>
      <c r="AS511" s="592"/>
      <c r="AT511" s="592"/>
      <c r="AU511" s="592"/>
      <c r="AV511" s="592"/>
      <c r="AW511" s="592"/>
      <c r="AX511" s="592"/>
      <c r="AY511" s="592"/>
      <c r="AZ511" s="592"/>
      <c r="BA511" s="592"/>
      <c r="BB511" s="592"/>
      <c r="BC511" s="592"/>
      <c r="BE511" s="592"/>
      <c r="BF511" s="592"/>
      <c r="BG511" s="592"/>
      <c r="BH511" s="592"/>
      <c r="BI511" s="592"/>
      <c r="BJ511" s="592"/>
      <c r="BK511" s="592"/>
      <c r="BL511" s="592"/>
      <c r="BM511" s="592"/>
      <c r="BN511" s="592"/>
      <c r="BO511" s="592"/>
      <c r="BP511" s="592"/>
      <c r="BQ511" s="592"/>
      <c r="BR511" s="592"/>
    </row>
    <row r="512" spans="1:81" s="537" customFormat="1" ht="12.75" hidden="1" customHeight="1">
      <c r="A512" s="673"/>
      <c r="B512" s="547"/>
      <c r="C512" s="548"/>
      <c r="D512" s="547"/>
      <c r="E512" s="757"/>
      <c r="F512" s="547"/>
      <c r="G512" s="547"/>
      <c r="H512" s="547"/>
      <c r="I512" s="547"/>
      <c r="J512" s="547"/>
      <c r="K512" s="547"/>
      <c r="L512" s="547"/>
      <c r="M512" s="547"/>
      <c r="N512" s="547"/>
      <c r="O512" s="547"/>
      <c r="P512" s="547"/>
      <c r="Q512" s="547"/>
      <c r="R512" s="547"/>
      <c r="S512" s="547"/>
      <c r="T512" s="547"/>
      <c r="U512" s="547"/>
      <c r="V512" s="547"/>
      <c r="W512" s="547"/>
      <c r="X512" s="547"/>
      <c r="Y512" s="547"/>
      <c r="Z512" s="547"/>
      <c r="AA512" s="547"/>
      <c r="AB512" s="547"/>
      <c r="AC512" s="547"/>
      <c r="AD512" s="547"/>
      <c r="AE512" s="547"/>
      <c r="AF512" s="547"/>
      <c r="AG512" s="547"/>
      <c r="AH512" s="547"/>
      <c r="AI512" s="547"/>
      <c r="AJ512" s="547"/>
      <c r="AK512" s="547"/>
      <c r="AL512" s="547"/>
      <c r="AM512" s="547"/>
      <c r="AN512" s="778"/>
      <c r="AO512" s="779"/>
      <c r="AP512" s="547"/>
      <c r="AQ512" s="547"/>
      <c r="AR512" s="547"/>
      <c r="AS512" s="547"/>
      <c r="AT512" s="547"/>
      <c r="AU512" s="780"/>
      <c r="AV512" s="780"/>
      <c r="AW512" s="780"/>
      <c r="AX512" s="780"/>
      <c r="AY512" s="780"/>
      <c r="AZ512" s="780"/>
      <c r="BA512" s="780"/>
      <c r="BB512" s="592"/>
      <c r="BC512" s="592"/>
      <c r="BE512" s="547"/>
      <c r="BF512" s="547"/>
      <c r="BG512" s="547"/>
      <c r="BH512" s="547"/>
      <c r="BI512" s="547"/>
      <c r="BJ512" s="780"/>
      <c r="BK512" s="780"/>
      <c r="BL512" s="780"/>
      <c r="BM512" s="780"/>
      <c r="BN512" s="780"/>
      <c r="BO512" s="780"/>
      <c r="BP512" s="780"/>
      <c r="BQ512" s="592"/>
      <c r="BR512" s="547"/>
    </row>
    <row r="513" spans="1:81" s="537" customFormat="1" ht="12.75" hidden="1" customHeight="1">
      <c r="A513" s="673"/>
      <c r="B513" s="547"/>
      <c r="C513" s="706" t="s">
        <v>1526</v>
      </c>
      <c r="D513" s="547"/>
      <c r="E513" s="757"/>
      <c r="F513" s="548"/>
      <c r="G513" s="548"/>
      <c r="H513" s="548"/>
      <c r="I513" s="548"/>
      <c r="J513" s="548"/>
      <c r="K513" s="548"/>
      <c r="L513" s="548"/>
      <c r="M513" s="548"/>
      <c r="N513" s="548"/>
      <c r="O513" s="548"/>
      <c r="P513" s="548"/>
      <c r="Q513" s="548"/>
      <c r="R513" s="548"/>
      <c r="S513" s="548"/>
      <c r="T513" s="548"/>
      <c r="U513" s="548"/>
      <c r="V513" s="548"/>
      <c r="W513" s="548"/>
      <c r="X513" s="548"/>
      <c r="Y513" s="548"/>
      <c r="Z513" s="548"/>
      <c r="AA513" s="548"/>
      <c r="AB513" s="548"/>
      <c r="AC513" s="548"/>
      <c r="AD513" s="547"/>
      <c r="AE513" s="547"/>
      <c r="AF513" s="547"/>
      <c r="AG513" s="548"/>
      <c r="AH513" s="548"/>
      <c r="AI513" s="548"/>
      <c r="AJ513" s="548"/>
      <c r="AK513" s="547"/>
      <c r="AL513" s="547"/>
      <c r="AM513" s="547"/>
      <c r="AN513" s="778"/>
      <c r="AO513" s="779"/>
      <c r="AP513" s="547"/>
      <c r="AQ513" s="547"/>
      <c r="AR513" s="547"/>
      <c r="AS513" s="547"/>
      <c r="AT513" s="547"/>
      <c r="AU513" s="780"/>
      <c r="AV513" s="780"/>
      <c r="AW513" s="780"/>
      <c r="AX513" s="780"/>
      <c r="AY513" s="780"/>
      <c r="AZ513" s="780"/>
      <c r="BA513" s="780"/>
      <c r="BB513" s="592"/>
      <c r="BC513" s="592"/>
      <c r="BE513" s="547"/>
      <c r="BF513" s="547"/>
      <c r="BG513" s="547"/>
      <c r="BH513" s="547"/>
      <c r="BI513" s="547"/>
      <c r="BJ513" s="780"/>
      <c r="BK513" s="780"/>
      <c r="BL513" s="780"/>
      <c r="BM513" s="780"/>
      <c r="BN513" s="780"/>
      <c r="BO513" s="780"/>
      <c r="BP513" s="780"/>
      <c r="BQ513" s="592"/>
      <c r="BR513" s="547"/>
    </row>
    <row r="514" spans="1:81" s="566" customFormat="1" ht="12.75" hidden="1" customHeight="1">
      <c r="A514" s="673"/>
      <c r="B514" s="547"/>
      <c r="C514" s="1405" t="s">
        <v>590</v>
      </c>
      <c r="D514" s="1406"/>
      <c r="E514" s="755" t="s">
        <v>506</v>
      </c>
      <c r="F514" s="1407" t="s">
        <v>1505</v>
      </c>
      <c r="G514" s="1407"/>
      <c r="H514" s="1407"/>
      <c r="I514" s="1407"/>
      <c r="J514" s="1407"/>
      <c r="K514" s="1407"/>
      <c r="L514" s="1407"/>
      <c r="M514" s="1407"/>
      <c r="N514" s="1407"/>
      <c r="O514" s="1407"/>
      <c r="P514" s="1407"/>
      <c r="Q514" s="1407"/>
      <c r="R514" s="1407"/>
      <c r="S514" s="1407"/>
      <c r="T514" s="1407"/>
      <c r="U514" s="1407"/>
      <c r="V514" s="1407"/>
      <c r="W514" s="1407"/>
      <c r="X514" s="1407"/>
      <c r="Y514" s="1407"/>
      <c r="Z514" s="1407"/>
      <c r="AA514" s="1407"/>
      <c r="AB514" s="1407"/>
      <c r="AC514" s="1407"/>
      <c r="AD514" s="1407"/>
      <c r="AE514" s="1407"/>
      <c r="AF514" s="708"/>
      <c r="AG514" s="710"/>
      <c r="AH514" s="710"/>
      <c r="AI514" s="710"/>
      <c r="AJ514" s="710"/>
      <c r="AK514" s="739"/>
      <c r="AL514" s="547"/>
      <c r="AM514" s="547"/>
      <c r="AN514" s="532"/>
      <c r="AO514" s="30"/>
      <c r="AP514" s="547"/>
      <c r="AQ514" s="547"/>
      <c r="AR514" s="547"/>
      <c r="AS514" s="547"/>
      <c r="AT514" s="547"/>
      <c r="AU514" s="781"/>
      <c r="AV514" s="781"/>
      <c r="AW514" s="781"/>
      <c r="AX514" s="781"/>
      <c r="AY514" s="781"/>
      <c r="AZ514" s="781"/>
      <c r="BA514" s="781"/>
      <c r="BB514" s="547"/>
      <c r="BC514" s="547"/>
      <c r="BD514" s="534"/>
      <c r="BE514" s="547"/>
      <c r="BF514" s="547"/>
      <c r="BG514" s="547"/>
      <c r="BH514" s="547"/>
      <c r="BI514" s="547"/>
      <c r="BJ514" s="781"/>
      <c r="BK514" s="781"/>
      <c r="BL514" s="781"/>
      <c r="BM514" s="781"/>
      <c r="BN514" s="781"/>
      <c r="BO514" s="781"/>
      <c r="BP514" s="781"/>
      <c r="BQ514" s="547"/>
      <c r="BR514" s="547"/>
      <c r="BS514" s="534"/>
      <c r="BT514" s="534"/>
      <c r="BU514" s="534"/>
      <c r="BV514" s="534"/>
      <c r="BW514" s="534"/>
      <c r="BX514" s="534"/>
      <c r="BY514" s="534"/>
      <c r="BZ514" s="534"/>
      <c r="CA514" s="534"/>
      <c r="CB514" s="534"/>
      <c r="CC514" s="534"/>
    </row>
    <row r="515" spans="1:81" s="566" customFormat="1" ht="12.75" hidden="1" customHeight="1">
      <c r="A515" s="673"/>
      <c r="B515" s="547"/>
      <c r="C515" s="756"/>
      <c r="D515" s="547"/>
      <c r="E515" s="757"/>
      <c r="F515" s="1408"/>
      <c r="G515" s="1408"/>
      <c r="H515" s="1408"/>
      <c r="I515" s="1408"/>
      <c r="J515" s="1408"/>
      <c r="K515" s="1408"/>
      <c r="L515" s="1408"/>
      <c r="M515" s="1408"/>
      <c r="N515" s="1408"/>
      <c r="O515" s="1408"/>
      <c r="P515" s="1408"/>
      <c r="Q515" s="1408"/>
      <c r="R515" s="1408"/>
      <c r="S515" s="1408"/>
      <c r="T515" s="1408"/>
      <c r="U515" s="1408"/>
      <c r="V515" s="1408"/>
      <c r="W515" s="1408"/>
      <c r="X515" s="1408"/>
      <c r="Y515" s="1408"/>
      <c r="Z515" s="1408"/>
      <c r="AA515" s="1408"/>
      <c r="AB515" s="1408"/>
      <c r="AC515" s="1408"/>
      <c r="AD515" s="1408"/>
      <c r="AE515" s="1408"/>
      <c r="AF515" s="547"/>
      <c r="AG515" s="548"/>
      <c r="AH515" s="548"/>
      <c r="AI515" s="548"/>
      <c r="AJ515" s="548"/>
      <c r="AK515" s="726"/>
      <c r="AL515" s="547"/>
      <c r="AM515" s="547"/>
      <c r="AN515" s="532"/>
      <c r="AO515" s="30"/>
      <c r="AP515" s="782"/>
      <c r="AQ515" s="782"/>
      <c r="AR515" s="782"/>
      <c r="AS515" s="673"/>
      <c r="AT515" s="547"/>
      <c r="AU515" s="783"/>
      <c r="AV515" s="783"/>
      <c r="AW515" s="783"/>
      <c r="AX515" s="783"/>
      <c r="AY515" s="783"/>
      <c r="AZ515" s="783"/>
      <c r="BA515" s="783"/>
      <c r="BB515" s="14"/>
      <c r="BC515" s="14"/>
      <c r="BD515" s="534"/>
      <c r="BE515" s="782"/>
      <c r="BF515" s="782"/>
      <c r="BG515" s="782"/>
      <c r="BH515" s="673"/>
      <c r="BI515" s="547"/>
      <c r="BJ515" s="784"/>
      <c r="BK515" s="783"/>
      <c r="BL515" s="783"/>
      <c r="BM515" s="783"/>
      <c r="BN515" s="783"/>
      <c r="BO515" s="783"/>
      <c r="BP515" s="783"/>
      <c r="BQ515" s="14"/>
      <c r="BR515" s="547"/>
      <c r="BS515" s="534"/>
      <c r="BT515" s="534"/>
      <c r="BU515" s="534"/>
      <c r="BV515" s="534"/>
      <c r="BW515" s="534"/>
      <c r="BX515" s="534"/>
      <c r="BY515" s="534"/>
      <c r="BZ515" s="534"/>
      <c r="CA515" s="534"/>
      <c r="CB515" s="534"/>
      <c r="CC515" s="534"/>
    </row>
    <row r="516" spans="1:81" s="566" customFormat="1" ht="12.75" hidden="1" customHeight="1">
      <c r="A516" s="673"/>
      <c r="B516" s="547"/>
      <c r="C516" s="758"/>
      <c r="D516" s="721"/>
      <c r="E516" s="759"/>
      <c r="F516" s="1499" t="s">
        <v>590</v>
      </c>
      <c r="G516" s="1499"/>
      <c r="H516" s="1499"/>
      <c r="I516" s="1499"/>
      <c r="J516" s="1499"/>
      <c r="K516" s="1499"/>
      <c r="L516" s="1499"/>
      <c r="M516" s="1499"/>
      <c r="N516" s="1499"/>
      <c r="O516" s="1499"/>
      <c r="P516" s="1499"/>
      <c r="Q516" s="1499"/>
      <c r="R516" s="1499"/>
      <c r="S516" s="1499"/>
      <c r="T516" s="1499"/>
      <c r="U516" s="1499"/>
      <c r="V516" s="1499"/>
      <c r="W516" s="1499"/>
      <c r="X516" s="1499"/>
      <c r="Y516" s="1499"/>
      <c r="Z516" s="1499"/>
      <c r="AA516" s="760"/>
      <c r="AB516" s="652"/>
      <c r="AC516" s="652"/>
      <c r="AD516" s="721"/>
      <c r="AE516" s="721"/>
      <c r="AF516" s="721"/>
      <c r="AG516" s="761">
        <f>IF($C$514="Yes",(VLOOKUP($F$516,$AO$484:$AP$492,2,FALSE)),0)</f>
        <v>0</v>
      </c>
      <c r="AH516" s="762" t="s">
        <v>1319</v>
      </c>
      <c r="AI516" s="761"/>
      <c r="AJ516" s="652"/>
      <c r="AK516" s="736"/>
      <c r="AL516" s="547"/>
      <c r="AM516" s="547"/>
      <c r="AN516" s="532"/>
      <c r="AO516" s="30"/>
      <c r="AP516" s="782"/>
      <c r="AQ516" s="782"/>
      <c r="AR516" s="782"/>
      <c r="AS516" s="673"/>
      <c r="AT516" s="547"/>
      <c r="AU516" s="783"/>
      <c r="AV516" s="783"/>
      <c r="AW516" s="783"/>
      <c r="AX516" s="783"/>
      <c r="AY516" s="783"/>
      <c r="AZ516" s="783"/>
      <c r="BA516" s="783"/>
      <c r="BB516" s="14"/>
      <c r="BC516" s="14"/>
      <c r="BD516" s="534"/>
      <c r="BE516" s="782"/>
      <c r="BF516" s="782"/>
      <c r="BG516" s="782"/>
      <c r="BH516" s="673"/>
      <c r="BI516" s="547"/>
      <c r="BJ516" s="784"/>
      <c r="BK516" s="783"/>
      <c r="BL516" s="783"/>
      <c r="BM516" s="783"/>
      <c r="BN516" s="783"/>
      <c r="BO516" s="783"/>
      <c r="BP516" s="783"/>
      <c r="BQ516" s="14"/>
      <c r="BR516" s="547"/>
      <c r="BS516" s="534"/>
      <c r="BT516" s="534"/>
      <c r="BU516" s="534"/>
      <c r="BV516" s="534"/>
      <c r="BW516" s="534"/>
      <c r="BX516" s="534"/>
      <c r="BY516" s="534"/>
      <c r="BZ516" s="534"/>
      <c r="CA516" s="534"/>
      <c r="CB516" s="534"/>
      <c r="CC516" s="534"/>
    </row>
    <row r="517" spans="1:81" s="566" customFormat="1" ht="12.75" hidden="1" customHeight="1">
      <c r="A517" s="673"/>
      <c r="B517" s="547"/>
      <c r="C517" s="706"/>
      <c r="D517" s="547"/>
      <c r="E517" s="757"/>
      <c r="F517" s="548"/>
      <c r="G517" s="548"/>
      <c r="H517" s="548"/>
      <c r="I517" s="548"/>
      <c r="J517" s="548"/>
      <c r="K517" s="548"/>
      <c r="L517" s="548"/>
      <c r="M517" s="548"/>
      <c r="N517" s="548"/>
      <c r="O517" s="548"/>
      <c r="P517" s="548"/>
      <c r="Q517" s="548"/>
      <c r="R517" s="548"/>
      <c r="S517" s="548"/>
      <c r="T517" s="548"/>
      <c r="U517" s="548"/>
      <c r="V517" s="548"/>
      <c r="W517" s="548"/>
      <c r="X517" s="548"/>
      <c r="Y517" s="548"/>
      <c r="Z517" s="548"/>
      <c r="AA517" s="548"/>
      <c r="AB517" s="548"/>
      <c r="AC517" s="548"/>
      <c r="AD517" s="547"/>
      <c r="AE517" s="547"/>
      <c r="AF517" s="547"/>
      <c r="AG517" s="548"/>
      <c r="AH517" s="548"/>
      <c r="AI517" s="548"/>
      <c r="AJ517" s="548"/>
      <c r="AK517" s="547"/>
      <c r="AL517" s="547"/>
      <c r="AM517" s="547"/>
      <c r="AN517" s="532"/>
      <c r="AO517" s="30"/>
      <c r="AP517" s="782"/>
      <c r="AQ517" s="782"/>
      <c r="AR517" s="782"/>
      <c r="AS517" s="673"/>
      <c r="AT517" s="547"/>
      <c r="AU517" s="783"/>
      <c r="AV517" s="783"/>
      <c r="AW517" s="783"/>
      <c r="AX517" s="783"/>
      <c r="AY517" s="783"/>
      <c r="AZ517" s="783"/>
      <c r="BA517" s="783"/>
      <c r="BB517" s="14"/>
      <c r="BC517" s="14"/>
      <c r="BD517" s="534"/>
      <c r="BE517" s="782"/>
      <c r="BF517" s="782"/>
      <c r="BG517" s="782"/>
      <c r="BH517" s="673"/>
      <c r="BI517" s="547"/>
      <c r="BJ517" s="784"/>
      <c r="BK517" s="783"/>
      <c r="BL517" s="783"/>
      <c r="BM517" s="783"/>
      <c r="BN517" s="783"/>
      <c r="BO517" s="783"/>
      <c r="BP517" s="783"/>
      <c r="BQ517" s="14"/>
      <c r="BR517" s="547"/>
      <c r="BS517" s="534"/>
      <c r="BT517" s="534"/>
      <c r="BU517" s="534"/>
      <c r="BV517" s="534"/>
      <c r="BW517" s="534"/>
      <c r="BX517" s="534"/>
      <c r="BY517" s="534"/>
      <c r="BZ517" s="534"/>
      <c r="CA517" s="534"/>
      <c r="CB517" s="534"/>
      <c r="CC517" s="534"/>
    </row>
    <row r="518" spans="1:81" s="566" customFormat="1" ht="12.75" hidden="1" customHeight="1">
      <c r="A518" s="547"/>
      <c r="B518" s="547"/>
      <c r="C518" s="1405" t="s">
        <v>590</v>
      </c>
      <c r="D518" s="1406"/>
      <c r="E518" s="755" t="s">
        <v>756</v>
      </c>
      <c r="F518" s="1500" t="s">
        <v>1527</v>
      </c>
      <c r="G518" s="1500"/>
      <c r="H518" s="1500"/>
      <c r="I518" s="1500"/>
      <c r="J518" s="1500"/>
      <c r="K518" s="1500"/>
      <c r="L518" s="1500"/>
      <c r="M518" s="1500"/>
      <c r="N518" s="1500"/>
      <c r="O518" s="1500"/>
      <c r="P518" s="1500"/>
      <c r="Q518" s="1500"/>
      <c r="R518" s="1500"/>
      <c r="S518" s="1500"/>
      <c r="T518" s="1500"/>
      <c r="U518" s="1500"/>
      <c r="V518" s="1500"/>
      <c r="W518" s="1500"/>
      <c r="X518" s="1500"/>
      <c r="Y518" s="1500"/>
      <c r="Z518" s="1500"/>
      <c r="AA518" s="1500"/>
      <c r="AB518" s="1500"/>
      <c r="AC518" s="1500"/>
      <c r="AD518" s="1500"/>
      <c r="AE518" s="1500"/>
      <c r="AF518" s="708"/>
      <c r="AG518" s="643"/>
      <c r="AH518" s="643"/>
      <c r="AI518" s="643"/>
      <c r="AJ518" s="643"/>
      <c r="AK518" s="739"/>
      <c r="AL518" s="547"/>
      <c r="AM518" s="547"/>
      <c r="AN518" s="532"/>
      <c r="AO518" s="30"/>
      <c r="AP518" s="782"/>
      <c r="AQ518" s="782"/>
      <c r="AR518" s="782"/>
      <c r="AS518" s="673"/>
      <c r="AT518" s="547"/>
      <c r="AU518" s="783"/>
      <c r="AV518" s="783"/>
      <c r="AW518" s="783"/>
      <c r="AX518" s="783"/>
      <c r="AY518" s="783"/>
      <c r="AZ518" s="783"/>
      <c r="BA518" s="783"/>
      <c r="BB518" s="14"/>
      <c r="BC518" s="14"/>
      <c r="BD518" s="534"/>
      <c r="BE518" s="782"/>
      <c r="BF518" s="782"/>
      <c r="BG518" s="782"/>
      <c r="BH518" s="673"/>
      <c r="BI518" s="547"/>
      <c r="BJ518" s="784"/>
      <c r="BK518" s="783"/>
      <c r="BL518" s="783"/>
      <c r="BM518" s="783"/>
      <c r="BN518" s="783"/>
      <c r="BO518" s="783"/>
      <c r="BP518" s="783"/>
      <c r="BQ518" s="14"/>
      <c r="BR518" s="547"/>
      <c r="BS518" s="534"/>
      <c r="BT518" s="534"/>
      <c r="BU518" s="534"/>
      <c r="BV518" s="534"/>
      <c r="BW518" s="534"/>
      <c r="BX518" s="534"/>
      <c r="BY518" s="534"/>
      <c r="BZ518" s="534"/>
      <c r="CA518" s="534"/>
      <c r="CB518" s="534"/>
      <c r="CC518" s="534"/>
    </row>
    <row r="519" spans="1:81" s="566" customFormat="1" ht="12.75" hidden="1" customHeight="1">
      <c r="A519" s="547"/>
      <c r="B519" s="547"/>
      <c r="C519" s="756"/>
      <c r="D519" s="547"/>
      <c r="E519" s="757"/>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501"/>
      <c r="AD519" s="1501"/>
      <c r="AE519" s="1501"/>
      <c r="AF519" s="547"/>
      <c r="AG519" s="548"/>
      <c r="AH519" s="548"/>
      <c r="AI519" s="548"/>
      <c r="AJ519" s="548"/>
      <c r="AK519" s="726"/>
      <c r="AL519" s="547"/>
      <c r="AM519" s="547"/>
      <c r="AN519" s="532"/>
      <c r="AO519" s="30"/>
      <c r="AP519" s="782"/>
      <c r="AQ519" s="782"/>
      <c r="AR519" s="782"/>
      <c r="AS519" s="673"/>
      <c r="AT519" s="547"/>
      <c r="AU519" s="783"/>
      <c r="AV519" s="783"/>
      <c r="AW519" s="783"/>
      <c r="AX519" s="783"/>
      <c r="AY519" s="783"/>
      <c r="AZ519" s="783"/>
      <c r="BA519" s="783"/>
      <c r="BB519" s="14"/>
      <c r="BC519" s="14"/>
      <c r="BD519" s="534"/>
      <c r="BE519" s="782"/>
      <c r="BF519" s="782"/>
      <c r="BG519" s="782"/>
      <c r="BH519" s="673"/>
      <c r="BI519" s="547"/>
      <c r="BJ519" s="784"/>
      <c r="BK519" s="783"/>
      <c r="BL519" s="783"/>
      <c r="BM519" s="783"/>
      <c r="BN519" s="783"/>
      <c r="BO519" s="783"/>
      <c r="BP519" s="783"/>
      <c r="BQ519" s="14"/>
      <c r="BR519" s="547"/>
      <c r="BS519" s="534"/>
      <c r="BT519" s="534"/>
      <c r="BU519" s="534"/>
      <c r="BV519" s="534"/>
      <c r="BW519" s="534"/>
      <c r="BX519" s="534"/>
      <c r="BY519" s="534"/>
      <c r="BZ519" s="534"/>
      <c r="CA519" s="534"/>
      <c r="CB519" s="534"/>
      <c r="CC519" s="534"/>
    </row>
    <row r="520" spans="1:81" s="566" customFormat="1" ht="12.75" hidden="1" customHeight="1">
      <c r="A520" s="547"/>
      <c r="B520" s="547"/>
      <c r="C520" s="733"/>
      <c r="D520" s="547"/>
      <c r="E520" s="547"/>
      <c r="F520" s="776" t="s">
        <v>1528</v>
      </c>
      <c r="G520" s="548"/>
      <c r="H520" s="548"/>
      <c r="I520" s="548"/>
      <c r="J520" s="548"/>
      <c r="K520" s="548"/>
      <c r="L520" s="548"/>
      <c r="M520" s="548"/>
      <c r="N520" s="548"/>
      <c r="O520" s="548"/>
      <c r="P520" s="548"/>
      <c r="Q520" s="548"/>
      <c r="R520" s="548"/>
      <c r="S520" s="548"/>
      <c r="T520" s="548"/>
      <c r="U520" s="548"/>
      <c r="V520" s="548"/>
      <c r="W520" s="548"/>
      <c r="X520" s="548"/>
      <c r="Y520" s="548"/>
      <c r="Z520" s="548"/>
      <c r="AA520" s="548"/>
      <c r="AB520" s="548"/>
      <c r="AC520" s="587"/>
      <c r="AD520" s="547"/>
      <c r="AE520" s="547"/>
      <c r="AF520" s="547"/>
      <c r="AG520" s="609"/>
      <c r="AH520" s="609"/>
      <c r="AI520" s="609"/>
      <c r="AJ520" s="609"/>
      <c r="AK520" s="726"/>
      <c r="AL520" s="547"/>
      <c r="AM520" s="547"/>
      <c r="AN520" s="532"/>
      <c r="AO520" s="534"/>
      <c r="AP520" s="782"/>
      <c r="AQ520" s="782"/>
      <c r="AR520" s="782"/>
      <c r="AS520" s="673"/>
      <c r="AT520" s="547"/>
      <c r="AU520" s="783"/>
      <c r="AV520" s="783"/>
      <c r="AW520" s="783"/>
      <c r="AX520" s="783"/>
      <c r="AY520" s="783"/>
      <c r="AZ520" s="783"/>
      <c r="BA520" s="783"/>
      <c r="BB520" s="534"/>
      <c r="BC520" s="534"/>
      <c r="BD520" s="534"/>
      <c r="BE520" s="782"/>
      <c r="BF520" s="782"/>
      <c r="BG520" s="782"/>
      <c r="BH520" s="673"/>
      <c r="BI520" s="547"/>
      <c r="BJ520" s="784"/>
      <c r="BK520" s="783"/>
      <c r="BL520" s="783"/>
      <c r="BM520" s="783"/>
      <c r="BN520" s="783"/>
      <c r="BO520" s="783"/>
      <c r="BP520" s="783"/>
      <c r="BQ520" s="534"/>
      <c r="BR520" s="547"/>
      <c r="BS520" s="534"/>
      <c r="BT520" s="534"/>
      <c r="BU520" s="534"/>
      <c r="BV520" s="534"/>
      <c r="BW520" s="534"/>
      <c r="BX520" s="534"/>
      <c r="BY520" s="534"/>
      <c r="BZ520" s="534"/>
      <c r="CA520" s="534"/>
      <c r="CB520" s="534"/>
      <c r="CC520" s="534"/>
    </row>
    <row r="521" spans="1:81" s="566" customFormat="1" hidden="1">
      <c r="A521" s="547"/>
      <c r="B521" s="547"/>
      <c r="C521" s="758"/>
      <c r="D521" s="721"/>
      <c r="E521" s="759"/>
      <c r="F521" s="1502" t="s">
        <v>590</v>
      </c>
      <c r="G521" s="1502"/>
      <c r="H521" s="1502"/>
      <c r="I521" s="652"/>
      <c r="J521" s="652"/>
      <c r="K521" s="652"/>
      <c r="L521" s="652"/>
      <c r="M521" s="652"/>
      <c r="N521" s="652"/>
      <c r="O521" s="652"/>
      <c r="P521" s="652"/>
      <c r="Q521" s="652"/>
      <c r="R521" s="652"/>
      <c r="S521" s="652"/>
      <c r="T521" s="652"/>
      <c r="U521" s="652"/>
      <c r="V521" s="652"/>
      <c r="W521" s="652"/>
      <c r="X521" s="652"/>
      <c r="Y521" s="652"/>
      <c r="Z521" s="652"/>
      <c r="AA521" s="652"/>
      <c r="AB521" s="652"/>
      <c r="AC521" s="652"/>
      <c r="AD521" s="721"/>
      <c r="AE521" s="721"/>
      <c r="AF521" s="721"/>
      <c r="AG521" s="761">
        <f>IF($C$518="Yes",(VLOOKUP($F$521,$AO$494:$AP$496,2,FALSE)),0)</f>
        <v>0</v>
      </c>
      <c r="AH521" s="762" t="s">
        <v>1319</v>
      </c>
      <c r="AI521" s="652"/>
      <c r="AJ521" s="652"/>
      <c r="AK521" s="736"/>
      <c r="AL521" s="547"/>
      <c r="AM521" s="547"/>
      <c r="AN521" s="532"/>
      <c r="AO521" s="534"/>
      <c r="AP521" s="782"/>
      <c r="AQ521" s="782"/>
      <c r="AR521" s="782"/>
      <c r="AS521" s="781"/>
      <c r="AT521" s="547"/>
      <c r="AU521" s="783"/>
      <c r="AV521" s="783"/>
      <c r="AW521" s="783"/>
      <c r="AX521" s="783"/>
      <c r="AY521" s="783"/>
      <c r="AZ521" s="783"/>
      <c r="BA521" s="783"/>
      <c r="BB521" s="534"/>
      <c r="BC521" s="534"/>
      <c r="BD521" s="534"/>
      <c r="BE521" s="782"/>
      <c r="BF521" s="782"/>
      <c r="BG521" s="782"/>
      <c r="BH521" s="781"/>
      <c r="BI521" s="547"/>
      <c r="BJ521" s="784"/>
      <c r="BK521" s="783"/>
      <c r="BL521" s="783"/>
      <c r="BM521" s="783"/>
      <c r="BN521" s="783"/>
      <c r="BO521" s="783"/>
      <c r="BP521" s="783"/>
      <c r="BQ521" s="534"/>
      <c r="BR521" s="547"/>
      <c r="BS521" s="534"/>
      <c r="BT521" s="534"/>
      <c r="BU521" s="534"/>
      <c r="BV521" s="534"/>
      <c r="BW521" s="534"/>
      <c r="BX521" s="534"/>
      <c r="BY521" s="534"/>
      <c r="BZ521" s="534"/>
      <c r="CA521" s="534"/>
      <c r="CB521" s="534"/>
      <c r="CC521" s="534"/>
    </row>
    <row r="522" spans="1:81" s="566" customFormat="1" hidden="1">
      <c r="A522" s="548"/>
      <c r="B522" s="548"/>
      <c r="C522" s="548"/>
      <c r="D522" s="548"/>
      <c r="E522" s="548"/>
      <c r="F522" s="548"/>
      <c r="G522" s="548"/>
      <c r="H522" s="548"/>
      <c r="I522" s="548"/>
      <c r="J522" s="548"/>
      <c r="K522" s="548"/>
      <c r="L522" s="548"/>
      <c r="M522" s="548"/>
      <c r="N522" s="548"/>
      <c r="O522" s="548"/>
      <c r="P522" s="548"/>
      <c r="Q522" s="548"/>
      <c r="R522" s="548"/>
      <c r="S522" s="548"/>
      <c r="T522" s="548"/>
      <c r="U522" s="548"/>
      <c r="V522" s="548"/>
      <c r="W522" s="548"/>
      <c r="X522" s="548"/>
      <c r="Y522" s="548"/>
      <c r="Z522" s="548"/>
      <c r="AA522" s="548"/>
      <c r="AB522" s="548"/>
      <c r="AC522" s="548"/>
      <c r="AD522" s="548"/>
      <c r="AE522" s="547"/>
      <c r="AF522" s="547"/>
      <c r="AG522" s="609"/>
      <c r="AH522" s="636"/>
      <c r="AI522" s="548"/>
      <c r="AJ522" s="548"/>
      <c r="AK522" s="547"/>
      <c r="AL522" s="547"/>
      <c r="AM522" s="547"/>
      <c r="AN522" s="532"/>
      <c r="AO522" s="534"/>
      <c r="AP522" s="782"/>
      <c r="AQ522" s="782"/>
      <c r="AR522" s="782"/>
      <c r="AS522" s="781"/>
      <c r="AT522" s="547"/>
      <c r="AU522" s="783"/>
      <c r="AV522" s="783"/>
      <c r="AW522" s="783"/>
      <c r="AX522" s="783"/>
      <c r="AY522" s="783"/>
      <c r="AZ522" s="783"/>
      <c r="BA522" s="783"/>
      <c r="BB522" s="534"/>
      <c r="BC522" s="534"/>
      <c r="BD522" s="534"/>
      <c r="BE522" s="782"/>
      <c r="BF522" s="782"/>
      <c r="BG522" s="782"/>
      <c r="BH522" s="781"/>
      <c r="BI522" s="547"/>
      <c r="BJ522" s="784"/>
      <c r="BK522" s="783"/>
      <c r="BL522" s="783"/>
      <c r="BM522" s="783"/>
      <c r="BN522" s="783"/>
      <c r="BO522" s="783"/>
      <c r="BP522" s="783"/>
      <c r="BQ522" s="534"/>
      <c r="BR522" s="547"/>
      <c r="BS522" s="534"/>
      <c r="BT522" s="534"/>
      <c r="BU522" s="534"/>
      <c r="BV522" s="534"/>
      <c r="BW522" s="534"/>
      <c r="BX522" s="534"/>
      <c r="BY522" s="534"/>
      <c r="BZ522" s="534"/>
      <c r="CA522" s="534"/>
      <c r="CB522" s="534"/>
      <c r="CC522" s="534"/>
    </row>
    <row r="523" spans="1:81" s="566" customFormat="1" hidden="1">
      <c r="A523" s="547"/>
      <c r="B523" s="547"/>
      <c r="C523" s="1405" t="s">
        <v>590</v>
      </c>
      <c r="D523" s="1406"/>
      <c r="E523" s="755" t="s">
        <v>1529</v>
      </c>
      <c r="F523" s="774" t="s">
        <v>1530</v>
      </c>
      <c r="G523" s="643"/>
      <c r="H523" s="643"/>
      <c r="I523" s="643"/>
      <c r="J523" s="643"/>
      <c r="K523" s="643"/>
      <c r="L523" s="643"/>
      <c r="M523" s="643"/>
      <c r="N523" s="643"/>
      <c r="O523" s="643"/>
      <c r="P523" s="643"/>
      <c r="Q523" s="643"/>
      <c r="R523" s="643"/>
      <c r="S523" s="643"/>
      <c r="T523" s="643"/>
      <c r="U523" s="643"/>
      <c r="V523" s="643"/>
      <c r="W523" s="643"/>
      <c r="X523" s="643"/>
      <c r="Y523" s="643"/>
      <c r="Z523" s="643"/>
      <c r="AA523" s="643"/>
      <c r="AB523" s="643"/>
      <c r="AC523" s="785"/>
      <c r="AD523" s="708"/>
      <c r="AE523" s="708"/>
      <c r="AF523" s="708"/>
      <c r="AG523" s="786"/>
      <c r="AH523" s="786"/>
      <c r="AI523" s="786"/>
      <c r="AJ523" s="786"/>
      <c r="AK523" s="739"/>
      <c r="AL523" s="547"/>
      <c r="AM523" s="547"/>
      <c r="AN523" s="532"/>
      <c r="AO523" s="534"/>
      <c r="AP523" s="782"/>
      <c r="AQ523" s="782"/>
      <c r="AR523" s="782"/>
      <c r="AS523" s="781"/>
      <c r="AT523" s="547"/>
      <c r="AU523" s="783"/>
      <c r="AV523" s="783"/>
      <c r="AW523" s="783"/>
      <c r="AX523" s="783"/>
      <c r="AY523" s="783"/>
      <c r="AZ523" s="783"/>
      <c r="BA523" s="783"/>
      <c r="BB523" s="534"/>
      <c r="BC523" s="534"/>
      <c r="BD523" s="534"/>
      <c r="BE523" s="782"/>
      <c r="BF523" s="782"/>
      <c r="BG523" s="782"/>
      <c r="BH523" s="781"/>
      <c r="BI523" s="547"/>
      <c r="BJ523" s="784"/>
      <c r="BK523" s="783"/>
      <c r="BL523" s="783"/>
      <c r="BM523" s="783"/>
      <c r="BN523" s="783"/>
      <c r="BO523" s="783"/>
      <c r="BP523" s="783"/>
      <c r="BQ523" s="534"/>
      <c r="BR523" s="547"/>
      <c r="BS523" s="534"/>
      <c r="BT523" s="534"/>
      <c r="BU523" s="534"/>
      <c r="BV523" s="534"/>
      <c r="BW523" s="534"/>
      <c r="BX523" s="534"/>
      <c r="BY523" s="534"/>
      <c r="BZ523" s="534"/>
      <c r="CA523" s="534"/>
      <c r="CB523" s="534"/>
      <c r="CC523" s="534"/>
    </row>
    <row r="524" spans="1:81" s="566" customFormat="1" hidden="1">
      <c r="A524" s="547"/>
      <c r="B524" s="547"/>
      <c r="C524" s="756"/>
      <c r="D524" s="547"/>
      <c r="E524" s="757"/>
      <c r="F524" s="548"/>
      <c r="G524" s="548"/>
      <c r="H524" s="548"/>
      <c r="I524" s="548"/>
      <c r="J524" s="548"/>
      <c r="K524" s="548"/>
      <c r="L524" s="548"/>
      <c r="M524" s="548"/>
      <c r="N524" s="548"/>
      <c r="O524" s="548"/>
      <c r="P524" s="548"/>
      <c r="Q524" s="548"/>
      <c r="R524" s="548"/>
      <c r="S524" s="548"/>
      <c r="T524" s="548"/>
      <c r="U524" s="548"/>
      <c r="V524" s="548"/>
      <c r="W524" s="548"/>
      <c r="X524" s="548"/>
      <c r="Y524" s="548"/>
      <c r="Z524" s="548"/>
      <c r="AA524" s="548"/>
      <c r="AB524" s="548"/>
      <c r="AC524" s="548"/>
      <c r="AD524" s="547"/>
      <c r="AE524" s="547"/>
      <c r="AF524" s="547"/>
      <c r="AG524" s="548"/>
      <c r="AH524" s="548"/>
      <c r="AI524" s="548"/>
      <c r="AJ524" s="548"/>
      <c r="AK524" s="726"/>
      <c r="AL524" s="547"/>
      <c r="AM524" s="547"/>
      <c r="AN524" s="532"/>
      <c r="AO524" s="534"/>
      <c r="AP524" s="782"/>
      <c r="AQ524" s="782"/>
      <c r="AR524" s="782"/>
      <c r="AS524" s="781"/>
      <c r="AT524" s="547"/>
      <c r="AU524" s="783"/>
      <c r="AV524" s="783"/>
      <c r="AW524" s="783"/>
      <c r="AX524" s="783"/>
      <c r="AY524" s="783"/>
      <c r="AZ524" s="783"/>
      <c r="BA524" s="783"/>
      <c r="BB524" s="534"/>
      <c r="BC524" s="534"/>
      <c r="BD524" s="534"/>
      <c r="BE524" s="782"/>
      <c r="BF524" s="782"/>
      <c r="BG524" s="782"/>
      <c r="BH524" s="781"/>
      <c r="BI524" s="547"/>
      <c r="BJ524" s="784"/>
      <c r="BK524" s="783"/>
      <c r="BL524" s="783"/>
      <c r="BM524" s="783"/>
      <c r="BN524" s="783"/>
      <c r="BO524" s="783"/>
      <c r="BP524" s="783"/>
      <c r="BQ524" s="534"/>
      <c r="BR524" s="14"/>
      <c r="BS524" s="534"/>
      <c r="BT524" s="534"/>
      <c r="BU524" s="534"/>
      <c r="BV524" s="534"/>
      <c r="BW524" s="534"/>
      <c r="BX524" s="534"/>
      <c r="BY524" s="534"/>
      <c r="BZ524" s="534"/>
      <c r="CA524" s="534"/>
      <c r="CB524" s="534"/>
      <c r="CC524" s="534"/>
    </row>
    <row r="525" spans="1:81" s="566" customFormat="1" hidden="1">
      <c r="A525" s="547"/>
      <c r="B525" s="547"/>
      <c r="C525" s="1477"/>
      <c r="D525" s="1478"/>
      <c r="E525" s="766"/>
      <c r="F525" s="548" t="s">
        <v>1531</v>
      </c>
      <c r="G525" s="548"/>
      <c r="H525" s="548"/>
      <c r="I525" s="548"/>
      <c r="J525" s="548"/>
      <c r="K525" s="548"/>
      <c r="L525" s="548"/>
      <c r="M525" s="548"/>
      <c r="N525" s="548"/>
      <c r="O525" s="548"/>
      <c r="P525" s="548"/>
      <c r="Q525" s="548"/>
      <c r="R525" s="548"/>
      <c r="S525" s="548"/>
      <c r="T525" s="548"/>
      <c r="U525" s="548"/>
      <c r="V525" s="548"/>
      <c r="W525" s="548"/>
      <c r="X525" s="548"/>
      <c r="Y525" s="548"/>
      <c r="Z525" s="548"/>
      <c r="AA525" s="548"/>
      <c r="AB525" s="548"/>
      <c r="AC525" s="587"/>
      <c r="AD525" s="547"/>
      <c r="AE525" s="547"/>
      <c r="AF525" s="547"/>
      <c r="AG525" s="609">
        <f>IF($C$523="Yes",(VLOOKUP($G$526,$AO$501:$AP$504,2,FALSE)),0)</f>
        <v>0</v>
      </c>
      <c r="AH525" s="636" t="s">
        <v>1319</v>
      </c>
      <c r="AI525" s="548"/>
      <c r="AJ525" s="609"/>
      <c r="AK525" s="726"/>
      <c r="AL525" s="547"/>
      <c r="AM525" s="547"/>
      <c r="AN525" s="532"/>
      <c r="AO525" s="534"/>
      <c r="AP525" s="782"/>
      <c r="AQ525" s="782"/>
      <c r="AR525" s="782"/>
      <c r="AS525" s="781"/>
      <c r="AT525" s="547"/>
      <c r="AU525" s="783"/>
      <c r="AV525" s="783"/>
      <c r="AW525" s="783"/>
      <c r="AX525" s="783"/>
      <c r="AY525" s="783"/>
      <c r="AZ525" s="783"/>
      <c r="BA525" s="783"/>
      <c r="BB525" s="534"/>
      <c r="BC525" s="534"/>
      <c r="BD525" s="534"/>
      <c r="BE525" s="782"/>
      <c r="BF525" s="782"/>
      <c r="BG525" s="782"/>
      <c r="BH525" s="781"/>
      <c r="BI525" s="547"/>
      <c r="BJ525" s="784"/>
      <c r="BK525" s="783"/>
      <c r="BL525" s="783"/>
      <c r="BM525" s="783"/>
      <c r="BN525" s="783"/>
      <c r="BO525" s="783"/>
      <c r="BP525" s="783"/>
      <c r="BQ525" s="534"/>
      <c r="BR525" s="547"/>
      <c r="BS525" s="534"/>
      <c r="BT525" s="534"/>
      <c r="BU525" s="534"/>
      <c r="BV525" s="534"/>
      <c r="BW525" s="534"/>
      <c r="BX525" s="534"/>
      <c r="BY525" s="534"/>
      <c r="BZ525" s="534"/>
      <c r="CA525" s="534"/>
      <c r="CB525" s="534"/>
      <c r="CC525" s="534"/>
    </row>
    <row r="526" spans="1:81" s="566" customFormat="1" hidden="1">
      <c r="A526" s="547"/>
      <c r="B526" s="547"/>
      <c r="C526" s="756"/>
      <c r="D526" s="547"/>
      <c r="E526" s="757"/>
      <c r="F526" s="548"/>
      <c r="G526" s="1479" t="s">
        <v>590</v>
      </c>
      <c r="H526" s="1479"/>
      <c r="I526" s="1479"/>
      <c r="J526" s="1479"/>
      <c r="K526" s="1479"/>
      <c r="L526" s="1479"/>
      <c r="M526" s="1479"/>
      <c r="N526" s="1479"/>
      <c r="O526" s="1479"/>
      <c r="P526" s="1479"/>
      <c r="Q526" s="1479"/>
      <c r="R526" s="1479"/>
      <c r="S526" s="1479"/>
      <c r="T526" s="1479"/>
      <c r="U526" s="1479"/>
      <c r="V526" s="1479"/>
      <c r="W526" s="1479"/>
      <c r="X526" s="1479"/>
      <c r="Y526" s="1479"/>
      <c r="Z526" s="1479"/>
      <c r="AA526" s="1479"/>
      <c r="AB526" s="1479"/>
      <c r="AC526" s="1479"/>
      <c r="AD526" s="1479"/>
      <c r="AE526" s="1479"/>
      <c r="AF526" s="1479"/>
      <c r="AG526" s="547"/>
      <c r="AH526" s="547"/>
      <c r="AI526" s="547"/>
      <c r="AJ526" s="548"/>
      <c r="AK526" s="726"/>
      <c r="AL526" s="547"/>
      <c r="AM526" s="547"/>
      <c r="AN526" s="532"/>
      <c r="AO526" s="534"/>
      <c r="AP526" s="782"/>
      <c r="AQ526" s="782"/>
      <c r="AR526" s="782"/>
      <c r="AS526" s="781"/>
      <c r="AT526" s="547"/>
      <c r="AU526" s="783"/>
      <c r="AV526" s="783"/>
      <c r="AW526" s="783"/>
      <c r="AX526" s="783"/>
      <c r="AY526" s="783"/>
      <c r="AZ526" s="783"/>
      <c r="BA526" s="783"/>
      <c r="BB526" s="534"/>
      <c r="BC526" s="534"/>
      <c r="BD526" s="534"/>
      <c r="BE526" s="782"/>
      <c r="BF526" s="782"/>
      <c r="BG526" s="782"/>
      <c r="BH526" s="781"/>
      <c r="BI526" s="547"/>
      <c r="BJ526" s="784"/>
      <c r="BK526" s="783"/>
      <c r="BL526" s="783"/>
      <c r="BM526" s="783"/>
      <c r="BN526" s="783"/>
      <c r="BO526" s="783"/>
      <c r="BP526" s="783"/>
      <c r="BQ526" s="534"/>
      <c r="BR526" s="547"/>
      <c r="BS526" s="534"/>
      <c r="BT526" s="534"/>
      <c r="BU526" s="534"/>
      <c r="BV526" s="534"/>
      <c r="BW526" s="534"/>
      <c r="BX526" s="534"/>
      <c r="BY526" s="534"/>
      <c r="BZ526" s="534"/>
      <c r="CA526" s="534"/>
      <c r="CB526" s="534"/>
      <c r="CC526" s="534"/>
    </row>
    <row r="527" spans="1:81" s="566" customFormat="1" hidden="1">
      <c r="A527" s="547"/>
      <c r="B527" s="547"/>
      <c r="C527" s="725"/>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7"/>
      <c r="AE527" s="547"/>
      <c r="AF527" s="547"/>
      <c r="AG527" s="14"/>
      <c r="AH527" s="14"/>
      <c r="AI527" s="14"/>
      <c r="AJ527" s="14"/>
      <c r="AK527" s="726"/>
      <c r="AL527" s="547"/>
      <c r="AM527" s="547"/>
      <c r="AN527" s="532"/>
      <c r="AO527" s="534"/>
      <c r="AP527" s="782"/>
      <c r="AQ527" s="782"/>
      <c r="AR527" s="782"/>
      <c r="AS527" s="781"/>
      <c r="AT527" s="547"/>
      <c r="AU527" s="783"/>
      <c r="AV527" s="783"/>
      <c r="AW527" s="783"/>
      <c r="AX527" s="783"/>
      <c r="AY527" s="783"/>
      <c r="AZ527" s="783"/>
      <c r="BA527" s="783"/>
      <c r="BB527" s="534"/>
      <c r="BC527" s="534"/>
      <c r="BD527" s="534"/>
      <c r="BE527" s="782"/>
      <c r="BF527" s="782"/>
      <c r="BG527" s="782"/>
      <c r="BH527" s="781"/>
      <c r="BI527" s="547"/>
      <c r="BJ527" s="784"/>
      <c r="BK527" s="783"/>
      <c r="BL527" s="783"/>
      <c r="BM527" s="783"/>
      <c r="BN527" s="783"/>
      <c r="BO527" s="783"/>
      <c r="BP527" s="783"/>
      <c r="BQ527" s="534"/>
      <c r="BR527" s="547"/>
      <c r="BS527" s="534"/>
      <c r="BT527" s="534"/>
      <c r="BU527" s="534"/>
      <c r="BV527" s="534"/>
      <c r="BW527" s="534"/>
      <c r="BX527" s="534"/>
      <c r="BY527" s="534"/>
      <c r="BZ527" s="534"/>
      <c r="CA527" s="534"/>
      <c r="CB527" s="534"/>
      <c r="CC527" s="534"/>
    </row>
    <row r="528" spans="1:81" s="566" customFormat="1" ht="12.75" hidden="1" customHeight="1">
      <c r="A528" s="14"/>
      <c r="B528" s="547"/>
      <c r="C528" s="1480" t="s">
        <v>590</v>
      </c>
      <c r="D528" s="1481"/>
      <c r="F528" s="548" t="s">
        <v>1532</v>
      </c>
      <c r="G528" s="548"/>
      <c r="H528" s="548"/>
      <c r="I528" s="548"/>
      <c r="J528" s="548"/>
      <c r="K528" s="548"/>
      <c r="L528" s="548"/>
      <c r="M528" s="548"/>
      <c r="N528" s="548"/>
      <c r="O528" s="548"/>
      <c r="P528" s="548"/>
      <c r="Q528" s="548"/>
      <c r="R528" s="548"/>
      <c r="S528" s="548"/>
      <c r="T528" s="548"/>
      <c r="U528" s="548"/>
      <c r="V528" s="548"/>
      <c r="W528" s="548"/>
      <c r="X528" s="548"/>
      <c r="Y528" s="548"/>
      <c r="Z528" s="548"/>
      <c r="AA528" s="548"/>
      <c r="AB528" s="548"/>
      <c r="AC528" s="587"/>
      <c r="AD528" s="547"/>
      <c r="AE528" s="547"/>
      <c r="AF528" s="547"/>
      <c r="AG528" s="609">
        <f>IF(AND($C$528="Yes",$C$523="Yes"),2,0)</f>
        <v>0</v>
      </c>
      <c r="AH528" s="636" t="s">
        <v>1319</v>
      </c>
      <c r="AI528" s="548"/>
      <c r="AJ528" s="590"/>
      <c r="AK528" s="726"/>
      <c r="AL528" s="547"/>
      <c r="AM528" s="547"/>
      <c r="AN528" s="532"/>
      <c r="AO528" s="534"/>
      <c r="AP528" s="782"/>
      <c r="AQ528" s="782"/>
      <c r="AR528" s="782"/>
      <c r="AS528" s="781"/>
      <c r="AT528" s="547"/>
      <c r="AU528" s="783"/>
      <c r="AV528" s="783"/>
      <c r="AW528" s="783"/>
      <c r="AX528" s="783"/>
      <c r="AY528" s="783"/>
      <c r="AZ528" s="783"/>
      <c r="BA528" s="783"/>
      <c r="BB528" s="534"/>
      <c r="BC528" s="534"/>
      <c r="BD528" s="534"/>
      <c r="BE528" s="782"/>
      <c r="BF528" s="782"/>
      <c r="BG528" s="782"/>
      <c r="BH528" s="781"/>
      <c r="BI528" s="547"/>
      <c r="BJ528" s="784"/>
      <c r="BK528" s="783"/>
      <c r="BL528" s="783"/>
      <c r="BM528" s="783"/>
      <c r="BN528" s="783"/>
      <c r="BO528" s="783"/>
      <c r="BP528" s="783"/>
      <c r="BQ528" s="534"/>
      <c r="BR528" s="547"/>
      <c r="BS528" s="534"/>
      <c r="BT528" s="534"/>
      <c r="BU528" s="534"/>
      <c r="BV528" s="534"/>
      <c r="BW528" s="534"/>
      <c r="BX528" s="534"/>
      <c r="BY528" s="534"/>
      <c r="BZ528" s="534"/>
      <c r="CA528" s="534"/>
      <c r="CB528" s="534"/>
      <c r="CC528" s="534"/>
    </row>
    <row r="529" spans="1:81" s="566" customFormat="1" hidden="1">
      <c r="A529" s="14"/>
      <c r="B529" s="547"/>
      <c r="C529" s="775"/>
      <c r="D529" s="724"/>
      <c r="E529" s="724"/>
      <c r="F529" s="548"/>
      <c r="G529" s="548" t="s">
        <v>1533</v>
      </c>
      <c r="H529" s="548"/>
      <c r="I529" s="548"/>
      <c r="J529" s="548"/>
      <c r="K529" s="548"/>
      <c r="L529" s="548"/>
      <c r="M529" s="548"/>
      <c r="N529" s="548"/>
      <c r="O529" s="548"/>
      <c r="P529" s="548"/>
      <c r="Q529" s="548"/>
      <c r="R529" s="548"/>
      <c r="S529" s="548"/>
      <c r="T529" s="548"/>
      <c r="U529" s="548"/>
      <c r="V529" s="548"/>
      <c r="W529" s="548"/>
      <c r="X529" s="548"/>
      <c r="Y529" s="548"/>
      <c r="Z529" s="548"/>
      <c r="AA529" s="548"/>
      <c r="AB529" s="548"/>
      <c r="AC529" s="587"/>
      <c r="AD529" s="547"/>
      <c r="AE529" s="547"/>
      <c r="AF529" s="547"/>
      <c r="AG529" s="590"/>
      <c r="AH529" s="590"/>
      <c r="AI529" s="590"/>
      <c r="AJ529" s="590"/>
      <c r="AK529" s="726"/>
      <c r="AL529" s="547"/>
      <c r="AM529" s="547"/>
      <c r="AN529" s="593"/>
      <c r="AO529" s="534"/>
      <c r="AP529" s="782"/>
      <c r="AQ529" s="782"/>
      <c r="AR529" s="782"/>
      <c r="AS529" s="781"/>
      <c r="AT529" s="547"/>
      <c r="AU529" s="783"/>
      <c r="AV529" s="783"/>
      <c r="AW529" s="783"/>
      <c r="AX529" s="783"/>
      <c r="AY529" s="783"/>
      <c r="AZ529" s="783"/>
      <c r="BA529" s="783"/>
      <c r="BB529" s="534"/>
      <c r="BC529" s="534"/>
      <c r="BD529" s="534"/>
      <c r="BE529" s="782"/>
      <c r="BF529" s="782"/>
      <c r="BG529" s="782"/>
      <c r="BH529" s="781"/>
      <c r="BI529" s="547"/>
      <c r="BJ529" s="784"/>
      <c r="BK529" s="783"/>
      <c r="BL529" s="783"/>
      <c r="BM529" s="783"/>
      <c r="BN529" s="783"/>
      <c r="BO529" s="783"/>
      <c r="BP529" s="783"/>
      <c r="BQ529" s="534"/>
      <c r="BR529" s="547"/>
      <c r="BS529" s="534"/>
      <c r="BT529" s="534"/>
      <c r="BU529" s="534"/>
      <c r="BV529" s="534"/>
      <c r="BW529" s="534"/>
      <c r="BX529" s="534"/>
      <c r="BY529" s="534"/>
      <c r="BZ529" s="534"/>
      <c r="CA529" s="534"/>
      <c r="CB529" s="534"/>
      <c r="CC529" s="534"/>
    </row>
    <row r="530" spans="1:81" s="547" customFormat="1" ht="12.75" hidden="1" customHeight="1">
      <c r="A530" s="14"/>
      <c r="C530" s="775"/>
      <c r="D530" s="724"/>
      <c r="E530" s="724"/>
      <c r="F530" s="548"/>
      <c r="G530" s="548" t="s">
        <v>1534</v>
      </c>
      <c r="H530" s="548"/>
      <c r="I530" s="548"/>
      <c r="J530" s="548"/>
      <c r="K530" s="548"/>
      <c r="L530" s="548"/>
      <c r="M530" s="548"/>
      <c r="N530" s="548"/>
      <c r="O530" s="548"/>
      <c r="P530" s="548"/>
      <c r="Q530" s="548"/>
      <c r="R530" s="548"/>
      <c r="S530" s="548"/>
      <c r="T530" s="548"/>
      <c r="U530" s="548"/>
      <c r="V530" s="548"/>
      <c r="W530" s="548"/>
      <c r="X530" s="548"/>
      <c r="Y530" s="548"/>
      <c r="Z530" s="548"/>
      <c r="AA530" s="548"/>
      <c r="AB530" s="548"/>
      <c r="AC530" s="587"/>
      <c r="AG530" s="590"/>
      <c r="AH530" s="590"/>
      <c r="AI530" s="590"/>
      <c r="AJ530" s="590"/>
      <c r="AK530" s="726"/>
      <c r="AN530" s="533"/>
      <c r="AP530" s="534"/>
      <c r="AQ530" s="534"/>
      <c r="AR530" s="534"/>
    </row>
    <row r="531" spans="1:81" s="547" customFormat="1" ht="12.75" hidden="1" customHeight="1">
      <c r="A531" s="633"/>
      <c r="B531" s="14"/>
      <c r="C531" s="787"/>
      <c r="D531" s="14"/>
      <c r="G531" s="607"/>
      <c r="H531" s="607"/>
      <c r="I531" s="607"/>
      <c r="J531" s="607"/>
      <c r="K531" s="607"/>
      <c r="L531" s="607"/>
      <c r="M531" s="607"/>
      <c r="N531" s="607"/>
      <c r="O531" s="607"/>
      <c r="P531" s="607"/>
      <c r="Q531" s="607"/>
      <c r="R531" s="607"/>
      <c r="S531" s="607"/>
      <c r="T531" s="607"/>
      <c r="U531" s="607"/>
      <c r="V531" s="607"/>
      <c r="W531" s="607"/>
      <c r="X531" s="607"/>
      <c r="Y531" s="607"/>
      <c r="Z531" s="607"/>
      <c r="AA531" s="607"/>
      <c r="AB531" s="607"/>
      <c r="AC531" s="607"/>
      <c r="AD531" s="607"/>
      <c r="AE531" s="607"/>
      <c r="AF531" s="607"/>
      <c r="AG531" s="587"/>
      <c r="AH531" s="587"/>
      <c r="AI531" s="587"/>
      <c r="AJ531" s="587"/>
      <c r="AK531" s="788"/>
      <c r="AL531" s="14"/>
      <c r="AM531" s="14"/>
      <c r="AN531" s="533"/>
      <c r="AO531" s="534"/>
      <c r="AP531" s="534"/>
      <c r="AQ531" s="534"/>
      <c r="AR531" s="534"/>
    </row>
    <row r="532" spans="1:81" s="547" customFormat="1" ht="12.75" hidden="1" customHeight="1">
      <c r="A532" s="633"/>
      <c r="C532" s="1480" t="s">
        <v>590</v>
      </c>
      <c r="D532" s="1481"/>
      <c r="F532" s="789" t="s">
        <v>1535</v>
      </c>
      <c r="G532" s="1273" t="s">
        <v>1536</v>
      </c>
      <c r="H532" s="1273"/>
      <c r="I532" s="1273"/>
      <c r="J532" s="1273"/>
      <c r="K532" s="1273"/>
      <c r="L532" s="1273"/>
      <c r="M532" s="1273"/>
      <c r="N532" s="1273"/>
      <c r="O532" s="1273"/>
      <c r="P532" s="1273"/>
      <c r="Q532" s="1273"/>
      <c r="R532" s="1273"/>
      <c r="S532" s="1273"/>
      <c r="T532" s="1273"/>
      <c r="U532" s="1273"/>
      <c r="V532" s="1273"/>
      <c r="W532" s="1273"/>
      <c r="X532" s="1273"/>
      <c r="Y532" s="1273"/>
      <c r="Z532" s="1273"/>
      <c r="AA532" s="1273"/>
      <c r="AB532" s="1273"/>
      <c r="AC532" s="1273"/>
      <c r="AD532" s="1273"/>
      <c r="AE532" s="1273"/>
      <c r="AF532" s="1273"/>
      <c r="AG532" s="609">
        <f>IF(AND($C$532="Yes",$C$523="Yes"),2,0)</f>
        <v>0</v>
      </c>
      <c r="AH532" s="636" t="s">
        <v>1319</v>
      </c>
      <c r="AI532" s="548"/>
      <c r="AJ532" s="590"/>
      <c r="AK532" s="726"/>
      <c r="AN532" s="533"/>
      <c r="AZ532" s="537"/>
      <c r="BC532" s="541"/>
      <c r="BD532" s="537"/>
      <c r="BE532" s="537"/>
      <c r="BF532" s="537"/>
      <c r="BM532" s="534"/>
      <c r="BN532" s="537"/>
      <c r="BO532" s="534"/>
      <c r="BP532" s="537"/>
      <c r="BQ532" s="537"/>
      <c r="BR532" s="537"/>
      <c r="BS532" s="537"/>
      <c r="BT532" s="537"/>
      <c r="BU532" s="537"/>
      <c r="BV532" s="534"/>
      <c r="BW532" s="534"/>
      <c r="BX532" s="534"/>
      <c r="BY532" s="534"/>
      <c r="BZ532" s="534"/>
      <c r="CA532" s="534"/>
      <c r="CB532" s="534"/>
      <c r="CC532" s="534"/>
    </row>
    <row r="533" spans="1:81" s="547" customFormat="1" ht="12.75" hidden="1" customHeight="1">
      <c r="C533" s="790"/>
      <c r="D533" s="721"/>
      <c r="E533" s="759"/>
      <c r="F533" s="720"/>
      <c r="G533" s="1430"/>
      <c r="H533" s="1430"/>
      <c r="I533" s="1430"/>
      <c r="J533" s="1430"/>
      <c r="K533" s="1430"/>
      <c r="L533" s="1430"/>
      <c r="M533" s="1430"/>
      <c r="N533" s="1430"/>
      <c r="O533" s="1430"/>
      <c r="P533" s="1430"/>
      <c r="Q533" s="1430"/>
      <c r="R533" s="1430"/>
      <c r="S533" s="1430"/>
      <c r="T533" s="1430"/>
      <c r="U533" s="1430"/>
      <c r="V533" s="1430"/>
      <c r="W533" s="1430"/>
      <c r="X533" s="1430"/>
      <c r="Y533" s="1430"/>
      <c r="Z533" s="1430"/>
      <c r="AA533" s="1430"/>
      <c r="AB533" s="1430"/>
      <c r="AC533" s="1430"/>
      <c r="AD533" s="1430"/>
      <c r="AE533" s="1430"/>
      <c r="AF533" s="1430"/>
      <c r="AG533" s="652"/>
      <c r="AH533" s="652"/>
      <c r="AI533" s="652"/>
      <c r="AJ533" s="652"/>
      <c r="AK533" s="736"/>
      <c r="AN533" s="533"/>
      <c r="AZ533" s="537"/>
      <c r="BC533" s="541"/>
      <c r="BD533" s="537"/>
      <c r="BE533" s="537"/>
      <c r="BF533" s="537"/>
      <c r="BM533" s="591"/>
      <c r="BN533" s="591"/>
      <c r="BO533" s="591"/>
      <c r="BP533" s="591"/>
      <c r="BQ533" s="591"/>
      <c r="BR533" s="591"/>
      <c r="BS533" s="591"/>
      <c r="BT533" s="591"/>
      <c r="BU533" s="591"/>
      <c r="BV533" s="591"/>
      <c r="BW533" s="591"/>
      <c r="BX533" s="591"/>
      <c r="BY533" s="591"/>
      <c r="BZ533" s="591"/>
      <c r="CA533" s="591"/>
      <c r="CB533" s="591"/>
      <c r="CC533" s="591"/>
    </row>
    <row r="534" spans="1:81" s="547" customFormat="1" ht="12.75" hidden="1" customHeight="1">
      <c r="C534" s="534"/>
      <c r="E534" s="757"/>
      <c r="F534" s="599"/>
      <c r="G534" s="569"/>
      <c r="H534" s="569"/>
      <c r="I534" s="569"/>
      <c r="J534" s="569"/>
      <c r="K534" s="569"/>
      <c r="L534" s="569"/>
      <c r="M534" s="569"/>
      <c r="N534" s="569"/>
      <c r="O534" s="569"/>
      <c r="P534" s="569"/>
      <c r="Q534" s="569"/>
      <c r="R534" s="569"/>
      <c r="S534" s="569"/>
      <c r="T534" s="569"/>
      <c r="U534" s="569"/>
      <c r="V534" s="569"/>
      <c r="W534" s="569"/>
      <c r="X534" s="569"/>
      <c r="Y534" s="569"/>
      <c r="Z534" s="569"/>
      <c r="AA534" s="569"/>
      <c r="AB534" s="569"/>
      <c r="AC534" s="569"/>
      <c r="AD534" s="569"/>
      <c r="AE534" s="569"/>
      <c r="AF534" s="569"/>
      <c r="AG534" s="548"/>
      <c r="AH534" s="548"/>
      <c r="AI534" s="548"/>
      <c r="AJ534" s="548"/>
      <c r="AN534" s="533"/>
      <c r="AP534" s="537"/>
      <c r="AQ534" s="537"/>
      <c r="AR534" s="537"/>
      <c r="AS534" s="537"/>
      <c r="AT534" s="537"/>
      <c r="AU534" s="537"/>
      <c r="AV534" s="537"/>
      <c r="AW534" s="537"/>
      <c r="AX534" s="537"/>
      <c r="AY534" s="537"/>
      <c r="AZ534" s="537"/>
      <c r="BA534" s="537"/>
      <c r="BB534" s="537"/>
      <c r="BC534" s="537"/>
      <c r="BD534" s="537"/>
      <c r="BE534" s="537"/>
      <c r="BF534" s="537"/>
      <c r="BG534" s="537"/>
      <c r="BH534" s="537"/>
      <c r="BI534" s="541"/>
      <c r="BJ534" s="791"/>
      <c r="BK534" s="791"/>
      <c r="BM534" s="591"/>
      <c r="BN534" s="591"/>
      <c r="BO534" s="591"/>
      <c r="BP534" s="591"/>
      <c r="BQ534" s="591"/>
      <c r="BR534" s="591"/>
      <c r="BS534" s="591"/>
      <c r="BT534" s="591"/>
      <c r="BU534" s="591"/>
      <c r="BV534" s="591"/>
      <c r="BW534" s="591"/>
      <c r="BX534" s="591"/>
      <c r="BY534" s="591"/>
      <c r="BZ534" s="591"/>
      <c r="CA534" s="591"/>
      <c r="CB534" s="591"/>
      <c r="CC534" s="591"/>
    </row>
    <row r="535" spans="1:81" s="547" customFormat="1" ht="12.75" hidden="1" customHeight="1">
      <c r="C535" s="792" t="s">
        <v>1537</v>
      </c>
      <c r="D535" s="708"/>
      <c r="E535" s="793"/>
      <c r="F535" s="794"/>
      <c r="G535" s="795"/>
      <c r="H535" s="795"/>
      <c r="I535" s="795"/>
      <c r="J535" s="795"/>
      <c r="K535" s="795"/>
      <c r="L535" s="795"/>
      <c r="M535" s="795"/>
      <c r="N535" s="795"/>
      <c r="O535" s="795"/>
      <c r="P535" s="795"/>
      <c r="Q535" s="795"/>
      <c r="R535" s="795"/>
      <c r="S535" s="795"/>
      <c r="T535" s="795"/>
      <c r="U535" s="795"/>
      <c r="V535" s="795"/>
      <c r="W535" s="795"/>
      <c r="X535" s="795"/>
      <c r="Y535" s="795"/>
      <c r="Z535" s="795"/>
      <c r="AA535" s="795"/>
      <c r="AB535" s="795"/>
      <c r="AC535" s="795"/>
      <c r="AD535" s="795"/>
      <c r="AE535" s="795"/>
      <c r="AF535" s="795"/>
      <c r="AG535" s="643"/>
      <c r="AH535" s="643"/>
      <c r="AI535" s="643"/>
      <c r="AJ535" s="643"/>
      <c r="AK535" s="739"/>
      <c r="AN535" s="593"/>
      <c r="AP535" s="537"/>
      <c r="AQ535" s="537"/>
      <c r="AR535" s="537"/>
      <c r="AS535" s="537"/>
      <c r="AT535" s="537"/>
      <c r="AU535" s="537"/>
      <c r="AV535" s="537"/>
      <c r="AW535" s="537"/>
      <c r="AX535" s="537"/>
      <c r="AY535" s="537"/>
      <c r="AZ535" s="537"/>
      <c r="BA535" s="537"/>
      <c r="BB535" s="537"/>
      <c r="BC535" s="537"/>
      <c r="BD535" s="537"/>
      <c r="BE535" s="537"/>
      <c r="BF535" s="537"/>
      <c r="BG535" s="537"/>
      <c r="BH535" s="537"/>
      <c r="BI535" s="633"/>
      <c r="BJ535" s="791"/>
      <c r="BK535" s="791"/>
      <c r="BM535" s="591"/>
      <c r="BN535" s="591"/>
      <c r="BO535" s="591"/>
      <c r="BP535" s="591"/>
      <c r="BQ535" s="591"/>
      <c r="BR535" s="591"/>
      <c r="BS535" s="591"/>
      <c r="BT535" s="591"/>
      <c r="BU535" s="591"/>
      <c r="BV535" s="591"/>
      <c r="BW535" s="591"/>
      <c r="BX535" s="591"/>
      <c r="BY535" s="591"/>
      <c r="BZ535" s="591"/>
      <c r="CA535" s="591"/>
      <c r="CB535" s="591"/>
      <c r="CC535" s="591"/>
    </row>
    <row r="536" spans="1:81" s="547" customFormat="1" ht="12.75" hidden="1" customHeight="1">
      <c r="C536" s="1482" t="s">
        <v>590</v>
      </c>
      <c r="D536" s="1483"/>
      <c r="E536" s="796" t="s">
        <v>1538</v>
      </c>
      <c r="F536" s="765" t="s">
        <v>1539</v>
      </c>
      <c r="G536" s="569"/>
      <c r="H536" s="569"/>
      <c r="I536" s="569"/>
      <c r="J536" s="569"/>
      <c r="K536" s="569"/>
      <c r="L536" s="569"/>
      <c r="M536" s="569"/>
      <c r="N536" s="569"/>
      <c r="O536" s="569"/>
      <c r="P536" s="569"/>
      <c r="Q536" s="569"/>
      <c r="R536" s="569"/>
      <c r="S536" s="569"/>
      <c r="T536" s="569"/>
      <c r="U536" s="569"/>
      <c r="V536" s="569"/>
      <c r="W536" s="569"/>
      <c r="X536" s="569"/>
      <c r="Y536" s="569"/>
      <c r="Z536" s="569"/>
      <c r="AA536" s="569"/>
      <c r="AB536" s="569"/>
      <c r="AC536" s="569"/>
      <c r="AD536" s="569"/>
      <c r="AE536" s="569"/>
      <c r="AF536" s="569"/>
      <c r="AG536" s="609">
        <f>IF(C$536="Yes",(VLOOKUP(F$537,$AO$507:$AP$510,2,FALSE)),0)</f>
        <v>0</v>
      </c>
      <c r="AH536" s="636" t="s">
        <v>1319</v>
      </c>
      <c r="AI536" s="548"/>
      <c r="AJ536" s="548"/>
      <c r="AK536" s="726"/>
      <c r="AN536" s="593"/>
      <c r="AP536" s="537"/>
      <c r="AQ536" s="537"/>
      <c r="AR536" s="537"/>
      <c r="AS536" s="537"/>
      <c r="AT536" s="537"/>
      <c r="AU536" s="537"/>
      <c r="AV536" s="537"/>
      <c r="AW536" s="537"/>
      <c r="AX536" s="537"/>
      <c r="AY536" s="537"/>
      <c r="AZ536" s="537"/>
      <c r="BA536" s="537"/>
      <c r="BB536" s="537"/>
      <c r="BC536" s="537"/>
      <c r="BD536" s="537"/>
      <c r="BE536" s="537"/>
      <c r="BF536" s="537"/>
      <c r="BG536" s="537"/>
      <c r="BH536" s="537"/>
      <c r="BI536" s="633"/>
      <c r="BJ536" s="791"/>
      <c r="BK536" s="791"/>
      <c r="BM536" s="534"/>
      <c r="BN536" s="534"/>
      <c r="BO536" s="534"/>
      <c r="BP536" s="534"/>
      <c r="BQ536" s="534"/>
      <c r="BR536" s="534"/>
      <c r="BS536" s="534"/>
      <c r="BT536" s="534"/>
      <c r="BU536" s="534"/>
      <c r="BV536" s="534"/>
      <c r="BW536" s="534"/>
      <c r="BX536" s="534"/>
      <c r="BY536" s="534"/>
      <c r="BZ536" s="534"/>
      <c r="CA536" s="534"/>
      <c r="CB536" s="534"/>
      <c r="CC536" s="534"/>
    </row>
    <row r="537" spans="1:81" s="547" customFormat="1" ht="12.75" hidden="1" customHeight="1">
      <c r="C537" s="712"/>
      <c r="E537" s="757"/>
      <c r="F537" s="1484" t="s">
        <v>590</v>
      </c>
      <c r="G537" s="1484"/>
      <c r="H537" s="1484"/>
      <c r="I537" s="1484"/>
      <c r="J537" s="1484"/>
      <c r="K537" s="1484"/>
      <c r="L537" s="1484"/>
      <c r="M537" s="1484"/>
      <c r="N537" s="1484"/>
      <c r="O537" s="1484"/>
      <c r="P537" s="1484"/>
      <c r="Q537" s="1484"/>
      <c r="R537" s="1484"/>
      <c r="S537" s="1484"/>
      <c r="T537" s="1484"/>
      <c r="U537" s="1484"/>
      <c r="V537" s="1484"/>
      <c r="W537" s="1484"/>
      <c r="X537" s="1484"/>
      <c r="Y537" s="1484"/>
      <c r="Z537" s="1484"/>
      <c r="AA537" s="1484"/>
      <c r="AB537" s="1484"/>
      <c r="AC537" s="1484"/>
      <c r="AD537" s="1484"/>
      <c r="AE537" s="1484"/>
      <c r="AF537" s="1484"/>
      <c r="AG537" s="548"/>
      <c r="AH537" s="548"/>
      <c r="AI537" s="548"/>
      <c r="AJ537" s="548"/>
      <c r="AK537" s="726"/>
      <c r="AN537" s="593"/>
      <c r="BM537" s="534"/>
      <c r="BN537" s="534"/>
      <c r="BO537" s="534"/>
      <c r="BP537" s="534"/>
      <c r="BQ537" s="534"/>
      <c r="BR537" s="534"/>
      <c r="BS537" s="534"/>
      <c r="BT537" s="534"/>
      <c r="BU537" s="534"/>
      <c r="BV537" s="534"/>
      <c r="BW537" s="534"/>
      <c r="BX537" s="534"/>
      <c r="BY537" s="534"/>
      <c r="BZ537" s="534"/>
      <c r="CA537" s="534"/>
      <c r="CB537" s="534"/>
      <c r="CC537" s="534"/>
    </row>
    <row r="538" spans="1:81" s="547" customFormat="1" ht="12.75" hidden="1" customHeight="1">
      <c r="C538" s="790"/>
      <c r="D538" s="721"/>
      <c r="E538" s="759"/>
      <c r="F538" s="1485"/>
      <c r="G538" s="1485"/>
      <c r="H538" s="1485"/>
      <c r="I538" s="1485"/>
      <c r="J538" s="1485"/>
      <c r="K538" s="1485"/>
      <c r="L538" s="1485"/>
      <c r="M538" s="1485"/>
      <c r="N538" s="1485"/>
      <c r="O538" s="1485"/>
      <c r="P538" s="1485"/>
      <c r="Q538" s="1485"/>
      <c r="R538" s="1485"/>
      <c r="S538" s="1485"/>
      <c r="T538" s="1485"/>
      <c r="U538" s="1485"/>
      <c r="V538" s="1485"/>
      <c r="W538" s="1485"/>
      <c r="X538" s="1485"/>
      <c r="Y538" s="1485"/>
      <c r="Z538" s="1485"/>
      <c r="AA538" s="1485"/>
      <c r="AB538" s="1485"/>
      <c r="AC538" s="1485"/>
      <c r="AD538" s="1485"/>
      <c r="AE538" s="1485"/>
      <c r="AF538" s="1485"/>
      <c r="AG538" s="652"/>
      <c r="AH538" s="652"/>
      <c r="AI538" s="652"/>
      <c r="AJ538" s="652"/>
      <c r="AK538" s="736"/>
      <c r="AN538" s="593"/>
      <c r="BM538" s="534"/>
      <c r="BN538" s="534"/>
      <c r="BO538" s="534"/>
      <c r="BP538" s="534"/>
      <c r="BQ538" s="534"/>
      <c r="BR538" s="534"/>
      <c r="BS538" s="534"/>
      <c r="BT538" s="534"/>
      <c r="BU538" s="534"/>
      <c r="BV538" s="534"/>
      <c r="BW538" s="534"/>
      <c r="BX538" s="534"/>
      <c r="BY538" s="534"/>
      <c r="BZ538" s="534"/>
      <c r="CA538" s="534"/>
      <c r="CB538" s="534"/>
      <c r="CC538" s="534"/>
    </row>
    <row r="539" spans="1:81" s="547" customFormat="1" ht="12.75" hidden="1" customHeight="1">
      <c r="A539" s="633"/>
      <c r="C539" s="548"/>
      <c r="E539" s="548"/>
      <c r="F539" s="765"/>
      <c r="G539" s="548"/>
      <c r="H539" s="548"/>
      <c r="I539" s="548"/>
      <c r="J539" s="548"/>
      <c r="K539" s="548"/>
      <c r="L539" s="548"/>
      <c r="M539" s="548"/>
      <c r="N539" s="548"/>
      <c r="O539" s="548"/>
      <c r="P539" s="548"/>
      <c r="Q539" s="548"/>
      <c r="R539" s="548"/>
      <c r="S539" s="548"/>
      <c r="T539" s="548"/>
      <c r="U539" s="548"/>
      <c r="V539" s="548"/>
      <c r="W539" s="548"/>
      <c r="X539" s="548"/>
      <c r="Y539" s="548"/>
      <c r="Z539" s="548"/>
      <c r="AA539" s="548"/>
      <c r="AB539" s="548"/>
      <c r="AC539" s="548"/>
      <c r="AD539" s="612"/>
      <c r="AE539" s="548"/>
      <c r="AF539" s="548"/>
      <c r="AG539" s="548"/>
      <c r="AH539" s="548"/>
      <c r="AN539" s="593"/>
      <c r="BM539" s="534"/>
      <c r="BN539" s="534"/>
      <c r="BO539" s="534"/>
      <c r="BP539" s="534"/>
      <c r="BQ539" s="534"/>
      <c r="BR539" s="534"/>
      <c r="BS539" s="534"/>
      <c r="BT539" s="534"/>
      <c r="BU539" s="534"/>
      <c r="BV539" s="534"/>
      <c r="BW539" s="534"/>
      <c r="BX539" s="534"/>
      <c r="BY539" s="534"/>
      <c r="BZ539" s="534"/>
      <c r="CA539" s="534"/>
      <c r="CB539" s="534"/>
      <c r="CC539" s="534"/>
    </row>
    <row r="540" spans="1:81" s="547" customFormat="1" ht="12.75" hidden="1" customHeight="1">
      <c r="A540" s="633"/>
      <c r="B540" s="547" t="s">
        <v>1540</v>
      </c>
      <c r="C540" s="548"/>
      <c r="E540" s="548"/>
      <c r="F540" s="548"/>
      <c r="G540" s="548"/>
      <c r="H540" s="548"/>
      <c r="I540" s="548"/>
      <c r="J540" s="548"/>
      <c r="K540" s="548"/>
      <c r="L540" s="548"/>
      <c r="M540" s="548"/>
      <c r="N540" s="548"/>
      <c r="O540" s="548"/>
      <c r="P540" s="548"/>
      <c r="Q540" s="548"/>
      <c r="R540" s="548"/>
      <c r="S540" s="548"/>
      <c r="T540" s="548"/>
      <c r="U540" s="548"/>
      <c r="V540" s="548"/>
      <c r="W540" s="548"/>
      <c r="X540" s="548"/>
      <c r="Y540" s="548"/>
      <c r="Z540" s="548"/>
      <c r="AA540" s="548"/>
      <c r="AB540" s="548"/>
      <c r="AC540" s="548"/>
      <c r="AD540" s="612"/>
      <c r="AE540" s="548"/>
      <c r="AF540" s="548"/>
      <c r="AG540" s="548"/>
      <c r="AH540" s="548"/>
      <c r="AN540" s="593"/>
      <c r="AP540" s="780"/>
      <c r="AQ540" s="780"/>
      <c r="AR540" s="780"/>
      <c r="AS540" s="780"/>
      <c r="AT540" s="780"/>
      <c r="AU540" s="780"/>
      <c r="AV540" s="780"/>
      <c r="AW540" s="780"/>
      <c r="AX540" s="780"/>
      <c r="AY540" s="780"/>
      <c r="BM540" s="534"/>
      <c r="BN540" s="534"/>
      <c r="BO540" s="534"/>
      <c r="BP540" s="534"/>
      <c r="BQ540" s="534"/>
      <c r="BR540" s="534"/>
      <c r="BS540" s="534"/>
      <c r="BT540" s="534"/>
      <c r="BU540" s="534"/>
      <c r="BV540" s="534"/>
      <c r="BW540" s="534"/>
      <c r="BX540" s="534"/>
      <c r="BY540" s="534"/>
      <c r="BZ540" s="534"/>
      <c r="CA540" s="534"/>
      <c r="CB540" s="534"/>
      <c r="CC540" s="534"/>
    </row>
    <row r="541" spans="1:81" s="547" customFormat="1" ht="12.75" hidden="1" customHeight="1">
      <c r="A541" s="633"/>
      <c r="B541" s="547" t="s">
        <v>1541</v>
      </c>
      <c r="C541" s="548"/>
      <c r="E541" s="548"/>
      <c r="F541" s="548"/>
      <c r="G541" s="548"/>
      <c r="H541" s="548"/>
      <c r="I541" s="548"/>
      <c r="J541" s="548"/>
      <c r="K541" s="548"/>
      <c r="L541" s="548"/>
      <c r="M541" s="548"/>
      <c r="N541" s="548"/>
      <c r="O541" s="548"/>
      <c r="P541" s="548"/>
      <c r="Q541" s="548"/>
      <c r="R541" s="548"/>
      <c r="S541" s="548"/>
      <c r="T541" s="548"/>
      <c r="U541" s="548"/>
      <c r="V541" s="548"/>
      <c r="W541" s="548"/>
      <c r="X541" s="548"/>
      <c r="Y541" s="548"/>
      <c r="Z541" s="548"/>
      <c r="AA541" s="548"/>
      <c r="AB541" s="548"/>
      <c r="AC541" s="548"/>
      <c r="AD541" s="612"/>
      <c r="AE541" s="548"/>
      <c r="AF541" s="548"/>
      <c r="AG541" s="548"/>
      <c r="AH541" s="548"/>
      <c r="AN541" s="593"/>
      <c r="AP541" s="797"/>
      <c r="AQ541" s="797"/>
      <c r="AR541" s="797"/>
      <c r="AS541" s="797"/>
      <c r="AT541" s="797"/>
      <c r="AU541" s="797"/>
      <c r="AV541" s="797"/>
      <c r="AW541" s="797"/>
      <c r="AX541" s="797"/>
      <c r="AY541" s="797"/>
      <c r="BM541" s="534"/>
      <c r="BN541" s="534"/>
      <c r="BO541" s="534"/>
      <c r="BP541" s="534"/>
      <c r="BQ541" s="534"/>
      <c r="BR541" s="534"/>
      <c r="BS541" s="534"/>
      <c r="BT541" s="534"/>
      <c r="BU541" s="534"/>
      <c r="BV541" s="534"/>
      <c r="BW541" s="534"/>
      <c r="BX541" s="534"/>
      <c r="BY541" s="534"/>
      <c r="BZ541" s="534"/>
      <c r="CA541" s="534"/>
      <c r="CB541" s="534"/>
      <c r="CC541" s="534"/>
    </row>
    <row r="542" spans="1:81" s="547" customFormat="1" ht="12.75" hidden="1" customHeight="1">
      <c r="A542" s="633"/>
      <c r="B542" s="547" t="s">
        <v>1986</v>
      </c>
      <c r="C542" s="548"/>
      <c r="E542" s="548"/>
      <c r="F542" s="548"/>
      <c r="G542" s="548"/>
      <c r="H542" s="548"/>
      <c r="I542" s="548"/>
      <c r="J542" s="548"/>
      <c r="K542" s="548"/>
      <c r="L542" s="548"/>
      <c r="M542" s="548"/>
      <c r="N542" s="548"/>
      <c r="O542" s="548"/>
      <c r="P542" s="548"/>
      <c r="Q542" s="548"/>
      <c r="R542" s="548"/>
      <c r="S542" s="548"/>
      <c r="T542" s="548"/>
      <c r="U542" s="548"/>
      <c r="V542" s="548"/>
      <c r="W542" s="548"/>
      <c r="X542" s="548"/>
      <c r="Y542" s="548"/>
      <c r="Z542" s="548"/>
      <c r="AA542" s="548"/>
      <c r="AB542" s="548"/>
      <c r="AC542" s="548"/>
      <c r="AD542" s="612"/>
      <c r="AE542" s="548"/>
      <c r="AF542" s="548"/>
      <c r="AG542" s="548"/>
      <c r="AH542" s="548"/>
      <c r="AN542" s="593"/>
      <c r="AP542" s="797"/>
      <c r="AQ542" s="797"/>
      <c r="AR542" s="797"/>
      <c r="AS542" s="797"/>
      <c r="AT542" s="797"/>
      <c r="AU542" s="797"/>
      <c r="AV542" s="797"/>
      <c r="AW542" s="797"/>
      <c r="AX542" s="797"/>
      <c r="AY542" s="797"/>
      <c r="BM542" s="534"/>
      <c r="BN542" s="534"/>
      <c r="BO542" s="534"/>
      <c r="BP542" s="534"/>
      <c r="BQ542" s="534"/>
      <c r="BR542" s="534"/>
      <c r="BS542" s="534"/>
      <c r="BT542" s="534"/>
      <c r="BU542" s="534"/>
      <c r="BV542" s="534"/>
      <c r="BW542" s="534"/>
      <c r="BX542" s="534"/>
      <c r="BY542" s="534"/>
      <c r="BZ542" s="534"/>
      <c r="CA542" s="534"/>
      <c r="CB542" s="534"/>
      <c r="CC542" s="534"/>
    </row>
    <row r="543" spans="1:81" s="547" customFormat="1" ht="12.75" hidden="1" customHeight="1">
      <c r="A543" s="633"/>
      <c r="B543" s="547" t="s">
        <v>1542</v>
      </c>
      <c r="C543" s="548"/>
      <c r="E543" s="548"/>
      <c r="F543" s="548"/>
      <c r="G543" s="548"/>
      <c r="H543" s="548"/>
      <c r="I543" s="548"/>
      <c r="J543" s="548"/>
      <c r="K543" s="548"/>
      <c r="L543" s="548"/>
      <c r="M543" s="548"/>
      <c r="N543" s="548"/>
      <c r="O543" s="548"/>
      <c r="P543" s="548"/>
      <c r="Q543" s="548"/>
      <c r="R543" s="548"/>
      <c r="S543" s="548"/>
      <c r="T543" s="548"/>
      <c r="U543" s="548"/>
      <c r="V543" s="548"/>
      <c r="W543" s="548"/>
      <c r="X543" s="548"/>
      <c r="Y543" s="548"/>
      <c r="Z543" s="548"/>
      <c r="AA543" s="548"/>
      <c r="AB543" s="548"/>
      <c r="AC543" s="548"/>
      <c r="AD543" s="612"/>
      <c r="AE543" s="548"/>
      <c r="AF543" s="548"/>
      <c r="AG543" s="548"/>
      <c r="AH543" s="548"/>
      <c r="AN543" s="593"/>
      <c r="AP543" s="797"/>
      <c r="AQ543" s="797"/>
      <c r="AR543" s="797"/>
      <c r="AS543" s="797"/>
      <c r="AT543" s="797"/>
      <c r="AU543" s="797"/>
      <c r="AV543" s="797"/>
      <c r="AW543" s="797"/>
      <c r="AX543" s="797"/>
      <c r="AY543" s="797"/>
      <c r="BM543" s="534"/>
      <c r="BN543" s="534"/>
      <c r="BO543" s="534"/>
      <c r="BP543" s="534"/>
      <c r="BQ543" s="534"/>
      <c r="BR543" s="534"/>
      <c r="BS543" s="534"/>
      <c r="BT543" s="534"/>
      <c r="BU543" s="534"/>
      <c r="BV543" s="534"/>
      <c r="BW543" s="534"/>
      <c r="BX543" s="534"/>
      <c r="BY543" s="534"/>
      <c r="BZ543" s="534"/>
      <c r="CA543" s="534"/>
      <c r="CB543" s="534"/>
      <c r="CC543" s="534"/>
    </row>
    <row r="544" spans="1:81" s="547" customFormat="1" ht="12.75" hidden="1" customHeight="1">
      <c r="A544" s="633"/>
      <c r="B544" s="547" t="s">
        <v>1987</v>
      </c>
      <c r="C544" s="548"/>
      <c r="E544" s="548"/>
      <c r="F544" s="548"/>
      <c r="G544" s="548"/>
      <c r="H544" s="548"/>
      <c r="I544" s="548"/>
      <c r="J544" s="548"/>
      <c r="K544" s="548"/>
      <c r="L544" s="548"/>
      <c r="M544" s="548"/>
      <c r="N544" s="548"/>
      <c r="O544" s="548"/>
      <c r="P544" s="548"/>
      <c r="Q544" s="548"/>
      <c r="R544" s="548"/>
      <c r="S544" s="548"/>
      <c r="T544" s="548"/>
      <c r="U544" s="548"/>
      <c r="V544" s="548"/>
      <c r="W544" s="548"/>
      <c r="X544" s="548"/>
      <c r="Y544" s="548"/>
      <c r="Z544" s="548"/>
      <c r="AA544" s="548"/>
      <c r="AB544" s="548"/>
      <c r="AC544" s="548"/>
      <c r="AD544" s="612"/>
      <c r="AE544" s="548"/>
      <c r="AF544" s="548"/>
      <c r="AG544" s="548"/>
      <c r="AH544" s="548"/>
      <c r="AN544" s="593"/>
      <c r="AP544" s="797"/>
      <c r="AQ544" s="797"/>
      <c r="AR544" s="797"/>
      <c r="AS544" s="797"/>
      <c r="AT544" s="797"/>
      <c r="AU544" s="797"/>
      <c r="AV544" s="797"/>
      <c r="AW544" s="797"/>
      <c r="AX544" s="797"/>
      <c r="AY544" s="797"/>
      <c r="BM544" s="534"/>
      <c r="BN544" s="534"/>
      <c r="BO544" s="534"/>
      <c r="BP544" s="534"/>
      <c r="BQ544" s="534"/>
      <c r="BR544" s="534"/>
      <c r="BS544" s="534"/>
      <c r="BT544" s="534"/>
      <c r="BU544" s="534"/>
      <c r="BV544" s="534"/>
      <c r="BW544" s="534"/>
      <c r="BX544" s="534"/>
      <c r="BY544" s="534"/>
      <c r="BZ544" s="534"/>
      <c r="CA544" s="534"/>
      <c r="CB544" s="534"/>
      <c r="CC544" s="534"/>
    </row>
    <row r="545" spans="1:81" s="547" customFormat="1" ht="12.75" hidden="1" customHeight="1">
      <c r="A545" s="633"/>
      <c r="B545" s="547" t="s">
        <v>1543</v>
      </c>
      <c r="C545" s="548"/>
      <c r="E545" s="548"/>
      <c r="F545" s="548"/>
      <c r="G545" s="548"/>
      <c r="H545" s="548"/>
      <c r="I545" s="548"/>
      <c r="J545" s="548"/>
      <c r="K545" s="548"/>
      <c r="L545" s="548"/>
      <c r="M545" s="548"/>
      <c r="N545" s="548"/>
      <c r="O545" s="548"/>
      <c r="P545" s="548"/>
      <c r="Q545" s="548"/>
      <c r="R545" s="548"/>
      <c r="S545" s="548"/>
      <c r="T545" s="548"/>
      <c r="U545" s="548"/>
      <c r="V545" s="548"/>
      <c r="W545" s="548"/>
      <c r="X545" s="548"/>
      <c r="Y545" s="548"/>
      <c r="Z545" s="548"/>
      <c r="AA545" s="548"/>
      <c r="AB545" s="548"/>
      <c r="AC545" s="548"/>
      <c r="AD545" s="612"/>
      <c r="AE545" s="548"/>
      <c r="AF545" s="548"/>
      <c r="AG545" s="548"/>
      <c r="AH545" s="548"/>
      <c r="AN545" s="593"/>
      <c r="AP545" s="797"/>
      <c r="AQ545" s="797"/>
      <c r="AR545" s="797"/>
      <c r="AS545" s="797"/>
      <c r="AT545" s="797"/>
      <c r="AU545" s="797"/>
      <c r="AV545" s="797"/>
      <c r="AW545" s="797"/>
      <c r="AX545" s="797"/>
      <c r="AY545" s="797"/>
      <c r="BM545" s="534"/>
      <c r="BN545" s="534"/>
      <c r="BO545" s="534"/>
      <c r="BP545" s="534"/>
      <c r="BQ545" s="534"/>
      <c r="BR545" s="534"/>
      <c r="BS545" s="534"/>
      <c r="BT545" s="534"/>
      <c r="BU545" s="534"/>
      <c r="BV545" s="534"/>
      <c r="BW545" s="534"/>
      <c r="BX545" s="534"/>
      <c r="BY545" s="534"/>
      <c r="BZ545" s="534"/>
      <c r="CA545" s="534"/>
      <c r="CB545" s="534"/>
      <c r="CC545" s="534"/>
    </row>
    <row r="546" spans="1:81" s="547" customFormat="1" ht="12.75" hidden="1" customHeight="1">
      <c r="A546" s="633"/>
      <c r="B546" s="547" t="s">
        <v>1544</v>
      </c>
      <c r="C546" s="548"/>
      <c r="E546" s="548"/>
      <c r="F546" s="548"/>
      <c r="G546" s="548"/>
      <c r="H546" s="548"/>
      <c r="I546" s="548"/>
      <c r="J546" s="548"/>
      <c r="K546" s="548"/>
      <c r="L546" s="548"/>
      <c r="M546" s="548"/>
      <c r="N546" s="548"/>
      <c r="O546" s="548"/>
      <c r="P546" s="548"/>
      <c r="Q546" s="548"/>
      <c r="R546" s="548"/>
      <c r="S546" s="548"/>
      <c r="T546" s="548"/>
      <c r="U546" s="548"/>
      <c r="V546" s="548"/>
      <c r="W546" s="548"/>
      <c r="X546" s="548"/>
      <c r="Y546" s="548"/>
      <c r="Z546" s="548"/>
      <c r="AA546" s="548"/>
      <c r="AB546" s="548"/>
      <c r="AC546" s="548"/>
      <c r="AD546" s="612"/>
      <c r="AE546" s="548"/>
      <c r="AF546" s="548"/>
      <c r="AG546" s="548"/>
      <c r="AH546" s="548"/>
      <c r="AN546" s="593"/>
    </row>
    <row r="547" spans="1:81" s="547" customFormat="1" ht="12.75" hidden="1" customHeight="1">
      <c r="A547" s="798"/>
      <c r="C547" s="548"/>
      <c r="E547" s="548"/>
      <c r="F547" s="548"/>
      <c r="G547" s="548"/>
      <c r="H547" s="548"/>
      <c r="I547" s="548"/>
      <c r="J547" s="548"/>
      <c r="K547" s="548"/>
      <c r="L547" s="548"/>
      <c r="M547" s="548"/>
      <c r="N547" s="548"/>
      <c r="O547" s="548"/>
      <c r="P547" s="548"/>
      <c r="Q547" s="548"/>
      <c r="R547" s="548"/>
      <c r="S547" s="548"/>
      <c r="T547" s="548"/>
      <c r="U547" s="548"/>
      <c r="V547" s="548"/>
      <c r="W547" s="548"/>
      <c r="X547" s="548"/>
      <c r="Y547" s="548"/>
      <c r="Z547" s="548"/>
      <c r="AA547" s="548"/>
      <c r="AB547" s="548"/>
      <c r="AC547" s="548"/>
      <c r="AD547" s="612"/>
      <c r="AE547" s="548"/>
      <c r="AF547" s="548"/>
      <c r="AG547" s="548"/>
      <c r="AH547" s="548"/>
      <c r="AN547" s="593"/>
    </row>
    <row r="548" spans="1:81" s="547" customFormat="1" ht="12.75" hidden="1" customHeight="1">
      <c r="A548" s="602"/>
      <c r="B548" s="658"/>
      <c r="C548" s="658"/>
      <c r="D548" s="658"/>
      <c r="E548" s="658"/>
      <c r="F548" s="658"/>
      <c r="G548" s="658"/>
      <c r="H548" s="658"/>
      <c r="I548" s="658"/>
      <c r="J548" s="658"/>
      <c r="K548" s="658"/>
      <c r="L548" s="658"/>
      <c r="M548" s="658"/>
      <c r="N548" s="658"/>
      <c r="O548" s="658"/>
      <c r="P548" s="658"/>
      <c r="Q548" s="658"/>
      <c r="R548" s="658"/>
      <c r="S548" s="658"/>
      <c r="T548" s="658"/>
      <c r="U548" s="658"/>
      <c r="V548" s="658"/>
      <c r="W548" s="658"/>
      <c r="X548" s="658"/>
      <c r="Y548" s="658"/>
      <c r="Z548" s="658"/>
      <c r="AA548" s="658"/>
      <c r="AB548" s="658"/>
      <c r="AC548" s="659"/>
      <c r="AD548" s="658"/>
      <c r="AE548" s="658"/>
      <c r="AF548" s="658"/>
      <c r="AG548" s="658"/>
      <c r="AH548" s="560"/>
      <c r="AI548" s="561"/>
      <c r="AJ548" s="561" t="s">
        <v>1545</v>
      </c>
      <c r="AK548" s="1360">
        <f>SUM(AG492:AG537)</f>
        <v>0</v>
      </c>
      <c r="AL548" s="1361"/>
      <c r="AM548" s="1362"/>
      <c r="AN548" s="593"/>
      <c r="AP548" s="534"/>
      <c r="AQ548" s="534"/>
      <c r="AR548" s="534"/>
      <c r="AS548" s="534"/>
      <c r="AT548" s="534"/>
      <c r="AU548" s="534"/>
      <c r="AV548" s="534"/>
      <c r="AW548" s="534"/>
      <c r="AX548" s="534"/>
      <c r="AY548" s="534"/>
      <c r="AZ548" s="534"/>
    </row>
    <row r="549" spans="1:81" s="547" customFormat="1" ht="12.75" hidden="1" customHeight="1">
      <c r="B549" s="548"/>
      <c r="C549" s="548"/>
      <c r="D549" s="548"/>
      <c r="E549" s="548"/>
      <c r="F549" s="548"/>
      <c r="G549" s="548"/>
      <c r="H549" s="548"/>
      <c r="I549" s="548"/>
      <c r="J549" s="548"/>
      <c r="K549" s="548"/>
      <c r="L549" s="548"/>
      <c r="M549" s="548"/>
      <c r="N549" s="548"/>
      <c r="O549" s="548"/>
      <c r="P549" s="548"/>
      <c r="Q549" s="548"/>
      <c r="R549" s="548"/>
      <c r="S549" s="548"/>
      <c r="T549" s="548"/>
      <c r="U549" s="548"/>
      <c r="V549" s="548"/>
      <c r="W549" s="548"/>
      <c r="X549" s="548"/>
      <c r="Y549" s="548"/>
      <c r="Z549" s="548"/>
      <c r="AA549" s="548"/>
      <c r="AB549" s="548"/>
      <c r="AC549" s="612"/>
      <c r="AD549" s="548"/>
      <c r="AE549" s="548"/>
      <c r="AF549" s="548"/>
      <c r="AG549" s="548"/>
      <c r="AI549" s="541"/>
      <c r="AJ549" s="541"/>
      <c r="AK549" s="591"/>
      <c r="AL549" s="591"/>
      <c r="AM549" s="591"/>
      <c r="AN549" s="593"/>
      <c r="AP549" s="534"/>
      <c r="AQ549" s="534"/>
      <c r="AR549" s="534"/>
      <c r="AS549" s="534"/>
      <c r="AT549" s="534"/>
      <c r="AU549" s="534"/>
      <c r="AV549" s="534"/>
      <c r="AW549" s="534"/>
      <c r="AX549" s="534"/>
      <c r="AY549" s="534"/>
      <c r="AZ549" s="534"/>
    </row>
    <row r="550" spans="1:81" ht="13.5" thickTop="1"/>
    <row r="551" spans="1:81" s="547" customFormat="1" ht="12.75" customHeight="1">
      <c r="A551" s="537" t="s">
        <v>1441</v>
      </c>
      <c r="B551" s="537" t="s">
        <v>1547</v>
      </c>
      <c r="C551" s="548"/>
      <c r="D551" s="548"/>
      <c r="E551" s="548"/>
      <c r="F551" s="548"/>
      <c r="G551" s="548"/>
      <c r="H551" s="548"/>
      <c r="I551" s="548"/>
      <c r="J551" s="548"/>
      <c r="K551" s="548"/>
      <c r="L551" s="548"/>
      <c r="M551" s="548"/>
      <c r="N551" s="548"/>
      <c r="O551" s="548"/>
      <c r="P551" s="548"/>
      <c r="Q551" s="548"/>
      <c r="R551" s="548"/>
      <c r="S551" s="548"/>
      <c r="T551" s="548"/>
      <c r="U551" s="548"/>
      <c r="V551" s="548"/>
      <c r="W551" s="548"/>
      <c r="X551" s="548"/>
      <c r="Y551" s="548"/>
      <c r="Z551" s="548"/>
      <c r="AA551" s="548"/>
      <c r="AB551" s="548"/>
      <c r="AC551" s="612"/>
      <c r="AD551" s="548"/>
      <c r="AE551" s="1302" t="s">
        <v>1548</v>
      </c>
      <c r="AF551" s="1302"/>
      <c r="AG551" s="1302"/>
      <c r="AH551" s="1302"/>
      <c r="AI551" s="1302"/>
      <c r="AJ551" s="1302"/>
      <c r="AK551" s="1302"/>
      <c r="AL551" s="591"/>
      <c r="AM551" s="591"/>
      <c r="AN551" s="593"/>
    </row>
    <row r="552" spans="1:81" s="547" customFormat="1" ht="12.75" customHeight="1">
      <c r="A552" s="537"/>
      <c r="B552" s="537" t="s">
        <v>1315</v>
      </c>
      <c r="C552" s="548"/>
      <c r="D552" s="548"/>
      <c r="E552" s="548"/>
      <c r="F552" s="548"/>
      <c r="G552" s="548"/>
      <c r="H552" s="548"/>
      <c r="I552" s="548"/>
      <c r="J552" s="548"/>
      <c r="K552" s="548"/>
      <c r="L552" s="548"/>
      <c r="M552" s="548"/>
      <c r="N552" s="548"/>
      <c r="O552" s="548"/>
      <c r="P552" s="548"/>
      <c r="Q552" s="548"/>
      <c r="R552" s="548"/>
      <c r="S552" s="548"/>
      <c r="T552" s="548"/>
      <c r="U552" s="548"/>
      <c r="V552" s="548"/>
      <c r="W552" s="548"/>
      <c r="X552" s="548"/>
      <c r="Y552" s="548"/>
      <c r="Z552" s="548"/>
      <c r="AA552" s="548"/>
      <c r="AB552" s="548"/>
      <c r="AC552" s="612"/>
      <c r="AD552" s="548"/>
      <c r="AE552" s="541"/>
      <c r="AF552" s="541"/>
      <c r="AG552" s="541"/>
      <c r="AH552" s="541"/>
      <c r="AI552" s="541"/>
      <c r="AJ552" s="541"/>
      <c r="AK552" s="541"/>
      <c r="AL552" s="591"/>
      <c r="AM552" s="591"/>
      <c r="AN552" s="593"/>
    </row>
    <row r="553" spans="1:81" s="547" customFormat="1" ht="12.75" customHeight="1">
      <c r="A553" s="537"/>
      <c r="B553" s="537"/>
      <c r="C553" s="548"/>
      <c r="D553" s="548"/>
      <c r="E553" s="548"/>
      <c r="F553" s="548"/>
      <c r="G553" s="548"/>
      <c r="H553" s="548"/>
      <c r="I553" s="548"/>
      <c r="J553" s="548"/>
      <c r="K553" s="548"/>
      <c r="L553" s="548"/>
      <c r="M553" s="548"/>
      <c r="N553" s="548"/>
      <c r="O553" s="548"/>
      <c r="P553" s="548"/>
      <c r="Q553" s="548"/>
      <c r="R553" s="548"/>
      <c r="S553" s="548"/>
      <c r="T553" s="548"/>
      <c r="U553" s="548"/>
      <c r="V553" s="548"/>
      <c r="W553" s="548"/>
      <c r="X553" s="548"/>
      <c r="Y553" s="548"/>
      <c r="Z553" s="548"/>
      <c r="AA553" s="548"/>
      <c r="AB553" s="548"/>
      <c r="AC553" s="612"/>
      <c r="AD553" s="548"/>
      <c r="AE553" s="541"/>
      <c r="AF553" s="541"/>
      <c r="AG553" s="541"/>
      <c r="AH553" s="541"/>
      <c r="AI553" s="541"/>
      <c r="AJ553" s="541"/>
      <c r="AK553" s="541"/>
      <c r="AL553" s="591"/>
      <c r="AM553" s="591"/>
      <c r="AN553" s="593"/>
    </row>
    <row r="554" spans="1:81" s="547" customFormat="1" ht="12.75" customHeight="1">
      <c r="A554" s="537"/>
      <c r="B554" s="537"/>
      <c r="C554" s="1357" t="s">
        <v>544</v>
      </c>
      <c r="D554" s="1357"/>
      <c r="E554" s="548"/>
      <c r="F554" s="1409" t="s">
        <v>1549</v>
      </c>
      <c r="G554" s="1410"/>
      <c r="H554" s="1410"/>
      <c r="I554" s="1410"/>
      <c r="J554" s="1410"/>
      <c r="K554" s="1410"/>
      <c r="L554" s="1410"/>
      <c r="M554" s="1410"/>
      <c r="N554" s="1410"/>
      <c r="O554" s="1410"/>
      <c r="P554" s="1410"/>
      <c r="Q554" s="1410"/>
      <c r="R554" s="1410"/>
      <c r="S554" s="1410"/>
      <c r="T554" s="1410"/>
      <c r="U554" s="1410"/>
      <c r="V554" s="1410"/>
      <c r="W554" s="1410"/>
      <c r="X554" s="1410"/>
      <c r="Y554" s="1410"/>
      <c r="Z554" s="1410"/>
      <c r="AA554" s="1410"/>
      <c r="AB554" s="1410"/>
      <c r="AC554" s="1410"/>
      <c r="AD554" s="1410"/>
      <c r="AE554" s="1410"/>
      <c r="AF554" s="1410"/>
      <c r="AG554" s="1410"/>
      <c r="AH554" s="1410"/>
      <c r="AI554" s="1410"/>
      <c r="AJ554" s="1410"/>
      <c r="AK554" s="1410"/>
      <c r="AL554" s="1411"/>
      <c r="AM554" s="591"/>
      <c r="AN554" s="593"/>
    </row>
    <row r="555" spans="1:81" s="547" customFormat="1" ht="12.75" customHeight="1">
      <c r="B555" s="537"/>
      <c r="C555" s="548"/>
      <c r="D555" s="548"/>
      <c r="E555" s="548"/>
      <c r="F555" s="1412"/>
      <c r="G555" s="1413"/>
      <c r="H555" s="1413"/>
      <c r="I555" s="1413"/>
      <c r="J555" s="1413"/>
      <c r="K555" s="1413"/>
      <c r="L555" s="1413"/>
      <c r="M555" s="1413"/>
      <c r="N555" s="1413"/>
      <c r="O555" s="1413"/>
      <c r="P555" s="1413"/>
      <c r="Q555" s="1413"/>
      <c r="R555" s="1413"/>
      <c r="S555" s="1413"/>
      <c r="T555" s="1413"/>
      <c r="U555" s="1413"/>
      <c r="V555" s="1413"/>
      <c r="W555" s="1413"/>
      <c r="X555" s="1413"/>
      <c r="Y555" s="1413"/>
      <c r="Z555" s="1413"/>
      <c r="AA555" s="1413"/>
      <c r="AB555" s="1413"/>
      <c r="AC555" s="1413"/>
      <c r="AD555" s="1413"/>
      <c r="AE555" s="1413"/>
      <c r="AF555" s="1413"/>
      <c r="AG555" s="1413"/>
      <c r="AH555" s="1413"/>
      <c r="AI555" s="1413"/>
      <c r="AJ555" s="1413"/>
      <c r="AK555" s="1413"/>
      <c r="AL555" s="1414"/>
      <c r="AM555" s="591"/>
      <c r="AN555" s="593"/>
    </row>
    <row r="556" spans="1:81" s="547" customFormat="1" ht="12.75" customHeight="1">
      <c r="A556" s="537"/>
      <c r="B556" s="537"/>
      <c r="C556" s="548"/>
      <c r="D556" s="548"/>
      <c r="E556" s="548"/>
      <c r="F556" s="799"/>
      <c r="G556" s="799"/>
      <c r="H556" s="799"/>
      <c r="I556" s="799"/>
      <c r="J556" s="799"/>
      <c r="K556" s="799"/>
      <c r="L556" s="799"/>
      <c r="M556" s="799"/>
      <c r="N556" s="799"/>
      <c r="O556" s="799"/>
      <c r="P556" s="799"/>
      <c r="Q556" s="799"/>
      <c r="R556" s="799"/>
      <c r="S556" s="799"/>
      <c r="T556" s="799"/>
      <c r="U556" s="799"/>
      <c r="V556" s="799"/>
      <c r="W556" s="799"/>
      <c r="X556" s="799"/>
      <c r="Y556" s="799"/>
      <c r="Z556" s="799"/>
      <c r="AA556" s="799"/>
      <c r="AB556" s="799"/>
      <c r="AC556" s="799"/>
      <c r="AD556" s="799"/>
      <c r="AE556" s="799"/>
      <c r="AF556" s="799"/>
      <c r="AG556" s="799"/>
      <c r="AH556" s="799"/>
      <c r="AI556" s="799"/>
      <c r="AJ556" s="799"/>
      <c r="AK556" s="799"/>
      <c r="AL556" s="799"/>
      <c r="AM556" s="591"/>
      <c r="AN556" s="593"/>
    </row>
    <row r="557" spans="1:81" s="547" customFormat="1" ht="12.75" customHeight="1">
      <c r="A557" s="537"/>
      <c r="B557" s="800"/>
      <c r="C557" s="1357" t="s">
        <v>590</v>
      </c>
      <c r="D557" s="1357"/>
      <c r="E557" s="800"/>
      <c r="F557" s="640" t="s">
        <v>1550</v>
      </c>
      <c r="G557" s="801"/>
      <c r="H557" s="802"/>
      <c r="I557" s="802"/>
      <c r="J557" s="802"/>
      <c r="K557" s="802"/>
      <c r="L557" s="802"/>
      <c r="M557" s="802"/>
      <c r="N557" s="802"/>
      <c r="O557" s="802"/>
      <c r="P557" s="802"/>
      <c r="Q557" s="802"/>
      <c r="R557" s="802"/>
      <c r="S557" s="802"/>
      <c r="T557" s="802"/>
      <c r="U557" s="802"/>
      <c r="V557" s="802"/>
      <c r="W557" s="802"/>
      <c r="X557" s="802"/>
      <c r="Y557" s="802"/>
      <c r="Z557" s="802"/>
      <c r="AA557" s="802"/>
      <c r="AB557" s="802"/>
      <c r="AC557" s="802"/>
      <c r="AD557" s="802"/>
      <c r="AE557" s="802"/>
      <c r="AF557" s="802"/>
      <c r="AG557" s="802"/>
      <c r="AH557" s="802"/>
      <c r="AI557" s="802"/>
      <c r="AJ557" s="802"/>
      <c r="AK557" s="803"/>
      <c r="AL557" s="804"/>
      <c r="AM557" s="591"/>
      <c r="AN557" s="593"/>
    </row>
    <row r="558" spans="1:81" s="547" customFormat="1" ht="12.75" customHeight="1">
      <c r="B558" s="800"/>
      <c r="C558" s="800"/>
      <c r="D558" s="800"/>
      <c r="E558" s="800"/>
      <c r="F558" s="1351" t="s">
        <v>2615</v>
      </c>
      <c r="G558" s="1352"/>
      <c r="H558" s="1352"/>
      <c r="I558" s="1352"/>
      <c r="J558" s="1352"/>
      <c r="K558" s="1352"/>
      <c r="L558" s="1352"/>
      <c r="M558" s="1352"/>
      <c r="N558" s="1352"/>
      <c r="O558" s="1352"/>
      <c r="P558" s="1352"/>
      <c r="Q558" s="1352"/>
      <c r="R558" s="1352"/>
      <c r="S558" s="1352"/>
      <c r="T558" s="1352"/>
      <c r="U558" s="1352"/>
      <c r="V558" s="1352"/>
      <c r="W558" s="1352"/>
      <c r="X558" s="1352"/>
      <c r="Y558" s="1352"/>
      <c r="Z558" s="1352"/>
      <c r="AA558" s="1352"/>
      <c r="AB558" s="1352"/>
      <c r="AC558" s="1352"/>
      <c r="AD558" s="1352"/>
      <c r="AE558" s="1352"/>
      <c r="AF558" s="1352"/>
      <c r="AG558" s="1352"/>
      <c r="AH558" s="1352"/>
      <c r="AI558" s="1352"/>
      <c r="AJ558" s="1352"/>
      <c r="AK558" s="1352"/>
      <c r="AL558" s="1353"/>
      <c r="AM558" s="591"/>
      <c r="AN558" s="593"/>
      <c r="AS558" s="864"/>
      <c r="AT558" s="864"/>
      <c r="AU558" s="864"/>
      <c r="AV558" s="864"/>
      <c r="AW558" s="864"/>
    </row>
    <row r="559" spans="1:81" s="547" customFormat="1" ht="12.75" customHeight="1">
      <c r="B559" s="800"/>
      <c r="C559" s="800"/>
      <c r="D559" s="800"/>
      <c r="E559" s="800"/>
      <c r="F559" s="1351"/>
      <c r="G559" s="1352"/>
      <c r="H559" s="1352"/>
      <c r="I559" s="1352"/>
      <c r="J559" s="1352"/>
      <c r="K559" s="1352"/>
      <c r="L559" s="1352"/>
      <c r="M559" s="1352"/>
      <c r="N559" s="1352"/>
      <c r="O559" s="1352"/>
      <c r="P559" s="1352"/>
      <c r="Q559" s="1352"/>
      <c r="R559" s="1352"/>
      <c r="S559" s="1352"/>
      <c r="T559" s="1352"/>
      <c r="U559" s="1352"/>
      <c r="V559" s="1352"/>
      <c r="W559" s="1352"/>
      <c r="X559" s="1352"/>
      <c r="Y559" s="1352"/>
      <c r="Z559" s="1352"/>
      <c r="AA559" s="1352"/>
      <c r="AB559" s="1352"/>
      <c r="AC559" s="1352"/>
      <c r="AD559" s="1352"/>
      <c r="AE559" s="1352"/>
      <c r="AF559" s="1352"/>
      <c r="AG559" s="1352"/>
      <c r="AH559" s="1352"/>
      <c r="AI559" s="1352"/>
      <c r="AJ559" s="1352"/>
      <c r="AK559" s="1352"/>
      <c r="AL559" s="1353"/>
      <c r="AM559" s="591"/>
      <c r="AN559" s="593"/>
    </row>
    <row r="560" spans="1:81" s="547" customFormat="1" ht="12.75" customHeight="1">
      <c r="B560" s="800"/>
      <c r="C560" s="800"/>
      <c r="D560" s="800"/>
      <c r="E560" s="800"/>
      <c r="F560" s="805" t="s">
        <v>1988</v>
      </c>
      <c r="G560" s="612"/>
      <c r="H560" s="612"/>
      <c r="I560" s="612"/>
      <c r="J560" s="612"/>
      <c r="K560" s="612"/>
      <c r="L560" s="612"/>
      <c r="M560" s="612"/>
      <c r="N560" s="612"/>
      <c r="O560" s="612"/>
      <c r="P560" s="612"/>
      <c r="Q560" s="612"/>
      <c r="R560" s="612"/>
      <c r="S560" s="612"/>
      <c r="T560" s="612"/>
      <c r="U560" s="612"/>
      <c r="V560" s="612"/>
      <c r="W560" s="612"/>
      <c r="X560" s="612"/>
      <c r="Y560" s="612"/>
      <c r="Z560" s="612"/>
      <c r="AA560" s="612"/>
      <c r="AB560" s="612"/>
      <c r="AC560" s="612"/>
      <c r="AD560" s="612"/>
      <c r="AE560" s="612"/>
      <c r="AF560" s="612"/>
      <c r="AG560" s="612"/>
      <c r="AH560" s="612"/>
      <c r="AI560" s="612"/>
      <c r="AJ560" s="612"/>
      <c r="AK560" s="612"/>
      <c r="AL560" s="806"/>
      <c r="AM560" s="591"/>
      <c r="AN560" s="593"/>
    </row>
    <row r="561" spans="1:45" s="547" customFormat="1" ht="12.75" customHeight="1">
      <c r="B561" s="800"/>
      <c r="C561" s="800"/>
      <c r="D561" s="800"/>
      <c r="E561" s="800"/>
      <c r="F561" s="1351" t="s">
        <v>1551</v>
      </c>
      <c r="G561" s="1352"/>
      <c r="H561" s="1352"/>
      <c r="I561" s="1352"/>
      <c r="J561" s="1352"/>
      <c r="K561" s="1352"/>
      <c r="L561" s="1352"/>
      <c r="M561" s="1352"/>
      <c r="N561" s="1352"/>
      <c r="O561" s="1352"/>
      <c r="P561" s="1352"/>
      <c r="Q561" s="1352"/>
      <c r="R561" s="1352"/>
      <c r="S561" s="1352"/>
      <c r="T561" s="1352"/>
      <c r="U561" s="1352"/>
      <c r="V561" s="1352"/>
      <c r="W561" s="1352"/>
      <c r="X561" s="1352"/>
      <c r="Y561" s="1352"/>
      <c r="Z561" s="1352"/>
      <c r="AA561" s="1352"/>
      <c r="AB561" s="1352"/>
      <c r="AC561" s="1352"/>
      <c r="AD561" s="1352"/>
      <c r="AE561" s="1352"/>
      <c r="AF561" s="1352"/>
      <c r="AG561" s="1352"/>
      <c r="AH561" s="1352"/>
      <c r="AI561" s="1352"/>
      <c r="AJ561" s="1352"/>
      <c r="AK561" s="1352"/>
      <c r="AL561" s="807"/>
      <c r="AM561" s="591"/>
      <c r="AN561" s="593"/>
    </row>
    <row r="562" spans="1:45" s="547" customFormat="1" ht="12.75" customHeight="1">
      <c r="B562" s="800"/>
      <c r="C562" s="800"/>
      <c r="D562" s="800"/>
      <c r="E562" s="800"/>
      <c r="F562" s="1354"/>
      <c r="G562" s="1355"/>
      <c r="H562" s="1355"/>
      <c r="I562" s="1355"/>
      <c r="J562" s="1355"/>
      <c r="K562" s="1355"/>
      <c r="L562" s="1355"/>
      <c r="M562" s="1355"/>
      <c r="N562" s="1355"/>
      <c r="O562" s="1355"/>
      <c r="P562" s="1355"/>
      <c r="Q562" s="1355"/>
      <c r="R562" s="1355"/>
      <c r="S562" s="1355"/>
      <c r="T562" s="1355"/>
      <c r="U562" s="1355"/>
      <c r="V562" s="1355"/>
      <c r="W562" s="1355"/>
      <c r="X562" s="1355"/>
      <c r="Y562" s="1355"/>
      <c r="Z562" s="1355"/>
      <c r="AA562" s="1355"/>
      <c r="AB562" s="1355"/>
      <c r="AC562" s="1355"/>
      <c r="AD562" s="1355"/>
      <c r="AE562" s="1355"/>
      <c r="AF562" s="1355"/>
      <c r="AG562" s="1355"/>
      <c r="AH562" s="1355"/>
      <c r="AI562" s="1355"/>
      <c r="AJ562" s="1355"/>
      <c r="AK562" s="1355"/>
      <c r="AL562" s="808"/>
      <c r="AM562" s="591"/>
      <c r="AN562" s="593"/>
    </row>
    <row r="563" spans="1:45" s="547" customFormat="1" ht="12.75" customHeight="1">
      <c r="B563" s="800"/>
      <c r="C563" s="800"/>
      <c r="D563" s="800"/>
      <c r="E563" s="800"/>
      <c r="F563" s="638"/>
      <c r="G563" s="638"/>
      <c r="H563" s="638"/>
      <c r="I563" s="638"/>
      <c r="J563" s="638"/>
      <c r="K563" s="638"/>
      <c r="L563" s="638"/>
      <c r="M563" s="638"/>
      <c r="N563" s="638"/>
      <c r="O563" s="638"/>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38"/>
      <c r="AK563" s="638"/>
      <c r="AL563" s="591"/>
      <c r="AM563" s="591"/>
      <c r="AN563" s="593"/>
      <c r="AP563" s="1491">
        <f>Application!AJ1001</f>
        <v>59426920</v>
      </c>
      <c r="AQ563" s="1491"/>
      <c r="AR563" s="1491"/>
      <c r="AS563" s="547" t="s">
        <v>2120</v>
      </c>
    </row>
    <row r="564" spans="1:45" s="547" customFormat="1" ht="12.75" customHeight="1">
      <c r="A564" s="496"/>
      <c r="B564" s="445" t="s">
        <v>1552</v>
      </c>
      <c r="C564" s="619"/>
      <c r="D564" s="619"/>
      <c r="E564" s="619"/>
      <c r="F564" s="14"/>
      <c r="G564" s="620"/>
      <c r="H564" s="620"/>
      <c r="I564" s="620"/>
      <c r="J564" s="620"/>
      <c r="K564" s="620"/>
      <c r="L564" s="620"/>
      <c r="M564" s="620"/>
      <c r="N564" s="620"/>
      <c r="O564" s="620"/>
      <c r="P564" s="620"/>
      <c r="Q564" s="620"/>
      <c r="R564" s="14"/>
      <c r="S564" s="14"/>
      <c r="T564" s="14"/>
      <c r="U564" s="14"/>
      <c r="V564" s="14"/>
      <c r="W564" s="14"/>
      <c r="X564" s="620"/>
      <c r="Y564" s="620"/>
      <c r="Z564" s="620"/>
      <c r="AA564" s="618"/>
      <c r="AB564" s="618"/>
      <c r="AC564" s="618"/>
      <c r="AD564" s="618"/>
      <c r="AE564" s="14"/>
      <c r="AF564" s="1363">
        <f>'Sources and Uses Budget'!S107+'Sources and Uses Budget'!T107</f>
        <v>54982041</v>
      </c>
      <c r="AG564" s="1363"/>
      <c r="AH564" s="1363"/>
      <c r="AI564" s="1363"/>
      <c r="AJ564" s="1363"/>
      <c r="AK564" s="591"/>
      <c r="AL564" s="591"/>
      <c r="AM564" s="591"/>
      <c r="AN564" s="593"/>
    </row>
    <row r="565" spans="1:45" s="547" customFormat="1" ht="12.75" customHeight="1">
      <c r="A565" s="621"/>
      <c r="B565" s="621" t="s">
        <v>1553</v>
      </c>
      <c r="C565" s="620"/>
      <c r="D565" s="620"/>
      <c r="E565" s="622"/>
      <c r="F565" s="622"/>
      <c r="G565" s="622"/>
      <c r="H565" s="622"/>
      <c r="I565" s="622"/>
      <c r="J565" s="622"/>
      <c r="K565" s="622"/>
      <c r="L565" s="620"/>
      <c r="M565" s="622"/>
      <c r="N565" s="622"/>
      <c r="O565" s="622"/>
      <c r="P565" s="622"/>
      <c r="Q565" s="622"/>
      <c r="R565" s="14"/>
      <c r="S565" s="14"/>
      <c r="T565" s="14"/>
      <c r="U565" s="14"/>
      <c r="V565" s="14"/>
      <c r="W565" s="14"/>
      <c r="X565" s="620"/>
      <c r="Y565" s="620"/>
      <c r="Z565" s="620"/>
      <c r="AA565" s="618"/>
      <c r="AB565" s="618"/>
      <c r="AC565" s="618"/>
      <c r="AD565" s="618"/>
      <c r="AE565" s="14"/>
      <c r="AF565" s="1495">
        <f>IFERROR(AP572,0)</f>
        <v>90351262</v>
      </c>
      <c r="AG565" s="1495"/>
      <c r="AH565" s="1495"/>
      <c r="AI565" s="1495"/>
      <c r="AJ565" s="1495"/>
      <c r="AK565" s="591"/>
      <c r="AL565" s="591"/>
      <c r="AM565" s="591"/>
      <c r="AN565" s="593"/>
      <c r="AP565" s="1491">
        <f>Application!AJ1054</f>
        <v>11885384</v>
      </c>
      <c r="AQ565" s="1491"/>
      <c r="AR565" s="1491"/>
      <c r="AS565" s="547" t="s">
        <v>1835</v>
      </c>
    </row>
    <row r="566" spans="1:45" s="547" customFormat="1" ht="12.75" customHeight="1">
      <c r="A566" s="620"/>
      <c r="B566" s="620" t="s">
        <v>13</v>
      </c>
      <c r="C566" s="620"/>
      <c r="D566" s="620"/>
      <c r="E566" s="620"/>
      <c r="F566" s="620"/>
      <c r="G566" s="620"/>
      <c r="H566" s="620"/>
      <c r="I566" s="620"/>
      <c r="J566" s="620"/>
      <c r="K566" s="620"/>
      <c r="L566" s="620"/>
      <c r="M566" s="620"/>
      <c r="N566" s="620"/>
      <c r="O566" s="620"/>
      <c r="P566" s="620"/>
      <c r="Q566" s="620"/>
      <c r="R566" s="14"/>
      <c r="S566" s="14"/>
      <c r="T566" s="14"/>
      <c r="U566" s="14"/>
      <c r="V566" s="14"/>
      <c r="W566" s="14"/>
      <c r="X566" s="620"/>
      <c r="Y566" s="620"/>
      <c r="Z566" s="620"/>
      <c r="AA566" s="618"/>
      <c r="AB566" s="618"/>
      <c r="AC566" s="618"/>
      <c r="AD566" s="618"/>
      <c r="AE566" s="14"/>
      <c r="AF566" s="1496">
        <f>IFERROR(ROUNDDOWN(IF(C557="YES",((1-(AF564/AF565))*2),(1-(AF564/AF565))),2),0)</f>
        <v>0.39</v>
      </c>
      <c r="AG566" s="1496"/>
      <c r="AH566" s="1496"/>
      <c r="AI566" s="1496"/>
      <c r="AJ566" s="1496"/>
      <c r="AK566" s="591"/>
      <c r="AL566" s="591"/>
      <c r="AM566" s="591"/>
      <c r="AN566" s="593"/>
      <c r="AP566" s="1511">
        <f>Application!AJ1058</f>
        <v>11885384</v>
      </c>
      <c r="AQ566" s="1511"/>
      <c r="AR566" s="1511"/>
      <c r="AS566" s="547" t="s">
        <v>2121</v>
      </c>
    </row>
    <row r="567" spans="1:45" s="547" customFormat="1" ht="12.75" customHeight="1">
      <c r="A567" s="620"/>
      <c r="B567" s="620"/>
      <c r="C567" s="620"/>
      <c r="D567" s="620"/>
      <c r="E567" s="620"/>
      <c r="F567" s="620"/>
      <c r="G567" s="620"/>
      <c r="H567" s="620"/>
      <c r="I567" s="620"/>
      <c r="J567" s="620"/>
      <c r="K567" s="620"/>
      <c r="L567" s="620"/>
      <c r="M567" s="620"/>
      <c r="N567" s="620"/>
      <c r="O567" s="620"/>
      <c r="P567" s="620"/>
      <c r="Q567" s="620"/>
      <c r="R567" s="14"/>
      <c r="S567" s="14"/>
      <c r="T567" s="14"/>
      <c r="U567" s="14"/>
      <c r="V567" s="14"/>
      <c r="W567" s="14"/>
      <c r="X567" s="620"/>
      <c r="Y567" s="620"/>
      <c r="Z567" s="620"/>
      <c r="AA567" s="618"/>
      <c r="AB567" s="618"/>
      <c r="AC567" s="618"/>
      <c r="AD567" s="618"/>
      <c r="AE567" s="14"/>
      <c r="AF567" s="809"/>
      <c r="AG567" s="809"/>
      <c r="AH567" s="809"/>
      <c r="AI567" s="809"/>
      <c r="AJ567" s="809"/>
      <c r="AK567" s="591"/>
      <c r="AL567" s="591"/>
      <c r="AM567" s="591"/>
      <c r="AN567" s="593"/>
      <c r="AP567" s="1490">
        <f>IF(((AP565+AP566)/AP563)&gt;0.8,0.8,((AP565+AP566)/AP563))</f>
        <v>0.4</v>
      </c>
      <c r="AQ567" s="1490"/>
      <c r="AR567" s="1490"/>
      <c r="AS567" s="547" t="s">
        <v>2122</v>
      </c>
    </row>
    <row r="568" spans="1:45" s="547" customFormat="1" ht="12.75" customHeight="1">
      <c r="A568" s="620"/>
      <c r="B568" s="1437" t="s">
        <v>1989</v>
      </c>
      <c r="C568" s="1438"/>
      <c r="D568" s="1438"/>
      <c r="E568" s="1438"/>
      <c r="F568" s="1438"/>
      <c r="G568" s="1438"/>
      <c r="H568" s="1438"/>
      <c r="I568" s="1438"/>
      <c r="J568" s="1438"/>
      <c r="K568" s="1438"/>
      <c r="L568" s="1438"/>
      <c r="M568" s="1438"/>
      <c r="N568" s="1438"/>
      <c r="O568" s="1438"/>
      <c r="P568" s="1438"/>
      <c r="Q568" s="1438"/>
      <c r="R568" s="1438"/>
      <c r="S568" s="1438"/>
      <c r="T568" s="1438"/>
      <c r="U568" s="1438"/>
      <c r="V568" s="1438"/>
      <c r="W568" s="1438"/>
      <c r="X568" s="1438"/>
      <c r="Y568" s="1438"/>
      <c r="Z568" s="1438"/>
      <c r="AA568" s="1438"/>
      <c r="AB568" s="1438"/>
      <c r="AC568" s="1438"/>
      <c r="AD568" s="1438"/>
      <c r="AE568" s="1438"/>
      <c r="AF568" s="1438"/>
      <c r="AG568" s="1438"/>
      <c r="AH568" s="1438"/>
      <c r="AI568" s="1438"/>
      <c r="AJ568" s="1439"/>
      <c r="AK568" s="591"/>
      <c r="AL568" s="591"/>
      <c r="AM568" s="591"/>
      <c r="AN568" s="593"/>
    </row>
    <row r="569" spans="1:45" s="547" customFormat="1" ht="12.75" customHeight="1">
      <c r="A569" s="620"/>
      <c r="B569" s="1440"/>
      <c r="C569" s="1441"/>
      <c r="D569" s="1441"/>
      <c r="E569" s="1441"/>
      <c r="F569" s="1441"/>
      <c r="G569" s="1441"/>
      <c r="H569" s="1441"/>
      <c r="I569" s="1441"/>
      <c r="J569" s="1441"/>
      <c r="K569" s="1441"/>
      <c r="L569" s="1441"/>
      <c r="M569" s="1441"/>
      <c r="N569" s="1441"/>
      <c r="O569" s="1441"/>
      <c r="P569" s="1441"/>
      <c r="Q569" s="1441"/>
      <c r="R569" s="1441"/>
      <c r="S569" s="1441"/>
      <c r="T569" s="1441"/>
      <c r="U569" s="1441"/>
      <c r="V569" s="1441"/>
      <c r="W569" s="1441"/>
      <c r="X569" s="1441"/>
      <c r="Y569" s="1441"/>
      <c r="Z569" s="1441"/>
      <c r="AA569" s="1441"/>
      <c r="AB569" s="1441"/>
      <c r="AC569" s="1441"/>
      <c r="AD569" s="1441"/>
      <c r="AE569" s="1441"/>
      <c r="AF569" s="1441"/>
      <c r="AG569" s="1441"/>
      <c r="AH569" s="1441"/>
      <c r="AI569" s="1441"/>
      <c r="AJ569" s="1442"/>
      <c r="AK569" s="591"/>
      <c r="AL569" s="591"/>
      <c r="AM569" s="591"/>
      <c r="AN569" s="593"/>
      <c r="AP569" s="1491">
        <f>AP570-AP565-AP566</f>
        <v>66580494</v>
      </c>
      <c r="AQ569" s="1422"/>
      <c r="AR569" s="1422"/>
      <c r="AS569" s="547" t="s">
        <v>2124</v>
      </c>
    </row>
    <row r="570" spans="1:45" s="547" customFormat="1" ht="12.75" customHeight="1">
      <c r="A570" s="620"/>
      <c r="B570" s="1443"/>
      <c r="C570" s="1444"/>
      <c r="D570" s="1444"/>
      <c r="E570" s="1444"/>
      <c r="F570" s="1444"/>
      <c r="G570" s="1444"/>
      <c r="H570" s="1444"/>
      <c r="I570" s="1444"/>
      <c r="J570" s="1444"/>
      <c r="K570" s="1444"/>
      <c r="L570" s="1444"/>
      <c r="M570" s="1444"/>
      <c r="N570" s="1444"/>
      <c r="O570" s="1444"/>
      <c r="P570" s="1444"/>
      <c r="Q570" s="1444"/>
      <c r="R570" s="1444"/>
      <c r="S570" s="1444"/>
      <c r="T570" s="1444"/>
      <c r="U570" s="1444"/>
      <c r="V570" s="1444"/>
      <c r="W570" s="1444"/>
      <c r="X570" s="1444"/>
      <c r="Y570" s="1444"/>
      <c r="Z570" s="1444"/>
      <c r="AA570" s="1444"/>
      <c r="AB570" s="1444"/>
      <c r="AC570" s="1444"/>
      <c r="AD570" s="1444"/>
      <c r="AE570" s="1444"/>
      <c r="AF570" s="1444"/>
      <c r="AG570" s="1444"/>
      <c r="AH570" s="1444"/>
      <c r="AI570" s="1444"/>
      <c r="AJ570" s="1445"/>
      <c r="AK570" s="591"/>
      <c r="AL570" s="591"/>
      <c r="AM570" s="591"/>
      <c r="AN570" s="593"/>
      <c r="AP570" s="1491">
        <f>Application!AJ1062</f>
        <v>90351262</v>
      </c>
      <c r="AQ570" s="1491"/>
      <c r="AR570" s="1491"/>
      <c r="AS570" s="547" t="s">
        <v>2123</v>
      </c>
    </row>
    <row r="571" spans="1:45" s="547" customFormat="1" ht="12.75" customHeight="1">
      <c r="B571" s="548"/>
      <c r="C571" s="548"/>
      <c r="D571" s="548"/>
      <c r="E571" s="548"/>
      <c r="F571" s="548"/>
      <c r="G571" s="548"/>
      <c r="H571" s="548"/>
      <c r="I571" s="548"/>
      <c r="J571" s="548"/>
      <c r="K571" s="548"/>
      <c r="L571" s="548"/>
      <c r="M571" s="548"/>
      <c r="N571" s="548"/>
      <c r="O571" s="548"/>
      <c r="P571" s="548"/>
      <c r="Q571" s="548"/>
      <c r="R571" s="548"/>
      <c r="S571" s="548"/>
      <c r="T571" s="548"/>
      <c r="U571" s="548"/>
      <c r="V571" s="548"/>
      <c r="W571" s="548"/>
      <c r="X571" s="548"/>
      <c r="Y571" s="548"/>
      <c r="Z571" s="548"/>
      <c r="AA571" s="548"/>
      <c r="AB571" s="548"/>
      <c r="AC571" s="612"/>
      <c r="AD571" s="548"/>
      <c r="AI571" s="541"/>
      <c r="AJ571" s="541"/>
      <c r="AK571" s="591"/>
      <c r="AL571" s="591"/>
      <c r="AM571" s="591"/>
      <c r="AN571" s="593"/>
    </row>
    <row r="572" spans="1:45" s="547" customFormat="1" ht="12.75" customHeight="1">
      <c r="A572" s="624"/>
      <c r="B572" s="624"/>
      <c r="C572" s="624"/>
      <c r="D572" s="624"/>
      <c r="E572" s="624"/>
      <c r="F572" s="624"/>
      <c r="G572" s="624"/>
      <c r="H572" s="624"/>
      <c r="I572" s="624"/>
      <c r="J572" s="624"/>
      <c r="K572" s="624"/>
      <c r="L572" s="624"/>
      <c r="M572" s="624"/>
      <c r="N572" s="624"/>
      <c r="O572" s="624"/>
      <c r="P572" s="624"/>
      <c r="Q572" s="624"/>
      <c r="R572" s="624"/>
      <c r="S572" s="624"/>
      <c r="T572" s="624"/>
      <c r="U572" s="624"/>
      <c r="V572" s="624"/>
      <c r="W572" s="624"/>
      <c r="X572" s="624"/>
      <c r="Y572" s="624"/>
      <c r="Z572" s="624"/>
      <c r="AA572" s="624"/>
      <c r="AB572" s="624"/>
      <c r="AC572" s="624"/>
      <c r="AD572" s="624"/>
      <c r="AE572" s="624"/>
      <c r="AF572" s="624"/>
      <c r="AG572" s="624"/>
      <c r="AH572" s="625"/>
      <c r="AI572" s="561"/>
      <c r="AJ572" s="561" t="s">
        <v>1554</v>
      </c>
      <c r="AK572" s="1446">
        <f>IFERROR(IF(AND(C554="N/A",C557="N/A"),0,IF(AF566=0,0,IF((AF566*100)&gt;12,12,(AF566*100)))),0)</f>
        <v>12</v>
      </c>
      <c r="AL572" s="1446"/>
      <c r="AM572" s="1447"/>
      <c r="AN572" s="593"/>
      <c r="AP572" s="1504">
        <f>AP569+(AP563*AP567)</f>
        <v>90351262</v>
      </c>
      <c r="AQ572" s="1505"/>
      <c r="AR572" s="1506"/>
    </row>
    <row r="573" spans="1:45" s="547" customFormat="1" ht="12.75" customHeight="1" thickBot="1">
      <c r="A573" s="753"/>
      <c r="B573" s="753"/>
      <c r="C573" s="753"/>
      <c r="D573" s="753"/>
      <c r="E573" s="753"/>
      <c r="F573" s="753"/>
      <c r="G573" s="753"/>
      <c r="H573" s="753"/>
      <c r="I573" s="753"/>
      <c r="J573" s="753"/>
      <c r="K573" s="753"/>
      <c r="L573" s="753"/>
      <c r="M573" s="753"/>
      <c r="N573" s="753"/>
      <c r="O573" s="753"/>
      <c r="P573" s="753"/>
      <c r="Q573" s="753"/>
      <c r="R573" s="753"/>
      <c r="S573" s="753"/>
      <c r="T573" s="753"/>
      <c r="U573" s="753"/>
      <c r="V573" s="753"/>
      <c r="W573" s="753"/>
      <c r="X573" s="753"/>
      <c r="Y573" s="753"/>
      <c r="Z573" s="753"/>
      <c r="AA573" s="753"/>
      <c r="AB573" s="753"/>
      <c r="AC573" s="753"/>
      <c r="AD573" s="753"/>
      <c r="AE573" s="753"/>
      <c r="AF573" s="753"/>
      <c r="AG573" s="753"/>
      <c r="AH573" s="753"/>
      <c r="AI573" s="753"/>
      <c r="AJ573" s="753"/>
      <c r="AK573" s="753"/>
      <c r="AL573" s="753"/>
      <c r="AM573" s="754"/>
      <c r="AN573" s="593"/>
    </row>
    <row r="574" spans="1:45" s="547" customFormat="1" ht="12.75" customHeight="1" thickTop="1">
      <c r="A574" s="660"/>
      <c r="B574" s="661"/>
      <c r="C574" s="660"/>
      <c r="D574" s="661"/>
      <c r="E574" s="661"/>
      <c r="F574" s="661"/>
      <c r="G574" s="661"/>
      <c r="H574" s="661"/>
      <c r="I574" s="661"/>
      <c r="J574" s="661"/>
      <c r="K574" s="661"/>
      <c r="L574" s="661"/>
      <c r="M574" s="661"/>
      <c r="N574" s="661"/>
      <c r="O574" s="661"/>
      <c r="P574" s="661"/>
      <c r="Q574" s="661"/>
      <c r="R574" s="661"/>
      <c r="S574" s="661"/>
      <c r="T574" s="661"/>
      <c r="U574" s="661"/>
      <c r="V574" s="661"/>
      <c r="W574" s="661"/>
      <c r="X574" s="661"/>
      <c r="Y574" s="661"/>
      <c r="Z574" s="661"/>
      <c r="AA574" s="661"/>
      <c r="AB574" s="661"/>
      <c r="AC574" s="662"/>
      <c r="AD574" s="662"/>
      <c r="AE574" s="662"/>
      <c r="AF574" s="661"/>
      <c r="AG574" s="661"/>
      <c r="AH574" s="661"/>
      <c r="AI574" s="661"/>
      <c r="AJ574" s="661"/>
      <c r="AK574" s="661"/>
      <c r="AL574" s="661"/>
      <c r="AM574" s="663"/>
      <c r="AN574" s="593"/>
    </row>
    <row r="575" spans="1:45" s="547" customFormat="1" ht="12.75" customHeight="1">
      <c r="A575" s="537" t="s">
        <v>1546</v>
      </c>
      <c r="B575" s="537" t="s">
        <v>2558</v>
      </c>
      <c r="C575" s="536"/>
      <c r="D575" s="599"/>
      <c r="E575" s="599"/>
      <c r="F575" s="599"/>
      <c r="G575" s="599"/>
      <c r="H575" s="599"/>
      <c r="I575" s="599"/>
      <c r="J575" s="599"/>
      <c r="K575" s="599"/>
      <c r="L575" s="599"/>
      <c r="M575" s="599"/>
      <c r="N575" s="599"/>
      <c r="O575" s="599"/>
      <c r="P575" s="599"/>
      <c r="Q575" s="599"/>
      <c r="R575" s="599"/>
      <c r="S575" s="599"/>
      <c r="T575" s="599"/>
      <c r="U575" s="599"/>
      <c r="V575" s="599"/>
      <c r="W575" s="599"/>
      <c r="X575" s="599"/>
      <c r="Y575" s="599"/>
      <c r="Z575" s="599"/>
      <c r="AA575" s="599"/>
      <c r="AB575" s="599"/>
      <c r="AC575" s="599"/>
      <c r="AD575" s="599"/>
      <c r="AE575" s="1302" t="s">
        <v>1305</v>
      </c>
      <c r="AF575" s="1302"/>
      <c r="AG575" s="1302"/>
      <c r="AH575" s="1302"/>
      <c r="AI575" s="1302"/>
      <c r="AJ575" s="1302"/>
      <c r="AK575" s="1302"/>
      <c r="AL575" s="587"/>
      <c r="AM575" s="599"/>
      <c r="AN575" s="593"/>
    </row>
    <row r="576" spans="1:45" s="547" customFormat="1" ht="12.75" customHeight="1">
      <c r="C576" s="599"/>
      <c r="D576" s="599"/>
      <c r="E576" s="599"/>
      <c r="F576" s="599"/>
      <c r="G576" s="599"/>
      <c r="H576" s="599"/>
      <c r="I576" s="599"/>
      <c r="J576" s="599"/>
      <c r="K576" s="599"/>
      <c r="L576" s="599"/>
      <c r="M576" s="599"/>
      <c r="N576" s="599"/>
      <c r="O576" s="599"/>
      <c r="P576" s="599"/>
      <c r="Q576" s="599"/>
      <c r="R576" s="599"/>
      <c r="S576" s="599"/>
      <c r="T576" s="599"/>
      <c r="U576" s="599"/>
      <c r="V576" s="599"/>
      <c r="W576" s="599"/>
      <c r="X576" s="599"/>
      <c r="Y576" s="599"/>
      <c r="Z576" s="599"/>
      <c r="AA576" s="599"/>
      <c r="AB576" s="599"/>
      <c r="AC576" s="599"/>
      <c r="AD576" s="599"/>
      <c r="AE576" s="599"/>
      <c r="AF576" s="599"/>
      <c r="AG576" s="599"/>
      <c r="AH576" s="599"/>
      <c r="AI576" s="599"/>
      <c r="AJ576" s="599"/>
      <c r="AK576" s="599"/>
      <c r="AL576" s="599"/>
      <c r="AM576" s="599"/>
      <c r="AN576" s="593"/>
    </row>
    <row r="577" spans="1:42" s="547" customFormat="1" ht="12.75" customHeight="1">
      <c r="A577" s="599"/>
      <c r="B577" s="1352" t="s">
        <v>1981</v>
      </c>
      <c r="C577" s="1352"/>
      <c r="D577" s="1352"/>
      <c r="E577" s="1352"/>
      <c r="F577" s="1352"/>
      <c r="G577" s="1352"/>
      <c r="H577" s="1352"/>
      <c r="I577" s="1352"/>
      <c r="J577" s="1352"/>
      <c r="K577" s="1352"/>
      <c r="L577" s="1352"/>
      <c r="M577" s="1352"/>
      <c r="N577" s="1352"/>
      <c r="O577" s="1352"/>
      <c r="P577" s="1352"/>
      <c r="Q577" s="1352"/>
      <c r="R577" s="1352"/>
      <c r="S577" s="1352"/>
      <c r="T577" s="1352"/>
      <c r="U577" s="1352"/>
      <c r="V577" s="1352"/>
      <c r="W577" s="1352"/>
      <c r="X577" s="1352"/>
      <c r="Y577" s="1352"/>
      <c r="Z577" s="1352"/>
      <c r="AA577" s="1352"/>
      <c r="AB577" s="1352"/>
      <c r="AC577" s="1352"/>
      <c r="AD577" s="1352"/>
      <c r="AE577" s="1352"/>
      <c r="AF577" s="1352"/>
      <c r="AG577" s="1352"/>
      <c r="AH577" s="1352"/>
      <c r="AI577" s="1352"/>
      <c r="AJ577" s="1352"/>
      <c r="AK577" s="638"/>
      <c r="AL577" s="569"/>
      <c r="AM577" s="599"/>
      <c r="AN577" s="593"/>
    </row>
    <row r="578" spans="1:42" s="547" customFormat="1" ht="12.75" customHeight="1">
      <c r="A578" s="599"/>
      <c r="B578" s="1352"/>
      <c r="C578" s="1352"/>
      <c r="D578" s="1352"/>
      <c r="E578" s="1352"/>
      <c r="F578" s="1352"/>
      <c r="G578" s="1352"/>
      <c r="H578" s="1352"/>
      <c r="I578" s="1352"/>
      <c r="J578" s="1352"/>
      <c r="K578" s="1352"/>
      <c r="L578" s="1352"/>
      <c r="M578" s="1352"/>
      <c r="N578" s="1352"/>
      <c r="O578" s="1352"/>
      <c r="P578" s="1352"/>
      <c r="Q578" s="1352"/>
      <c r="R578" s="1352"/>
      <c r="S578" s="1352"/>
      <c r="T578" s="1352"/>
      <c r="U578" s="1352"/>
      <c r="V578" s="1352"/>
      <c r="W578" s="1352"/>
      <c r="X578" s="1352"/>
      <c r="Y578" s="1352"/>
      <c r="Z578" s="1352"/>
      <c r="AA578" s="1352"/>
      <c r="AB578" s="1352"/>
      <c r="AC578" s="1352"/>
      <c r="AD578" s="1352"/>
      <c r="AE578" s="1352"/>
      <c r="AF578" s="1352"/>
      <c r="AG578" s="1352"/>
      <c r="AH578" s="1352"/>
      <c r="AI578" s="1352"/>
      <c r="AJ578" s="1352"/>
      <c r="AK578" s="638"/>
      <c r="AL578" s="569"/>
      <c r="AM578" s="599"/>
      <c r="AN578" s="593"/>
    </row>
    <row r="579" spans="1:42" s="547" customFormat="1" ht="12.75" customHeight="1">
      <c r="A579" s="599"/>
      <c r="B579" s="1352"/>
      <c r="C579" s="1352"/>
      <c r="D579" s="1352"/>
      <c r="E579" s="1352"/>
      <c r="F579" s="1352"/>
      <c r="G579" s="1352"/>
      <c r="H579" s="1352"/>
      <c r="I579" s="1352"/>
      <c r="J579" s="1352"/>
      <c r="K579" s="1352"/>
      <c r="L579" s="1352"/>
      <c r="M579" s="1352"/>
      <c r="N579" s="1352"/>
      <c r="O579" s="1352"/>
      <c r="P579" s="1352"/>
      <c r="Q579" s="1352"/>
      <c r="R579" s="1352"/>
      <c r="S579" s="1352"/>
      <c r="T579" s="1352"/>
      <c r="U579" s="1352"/>
      <c r="V579" s="1352"/>
      <c r="W579" s="1352"/>
      <c r="X579" s="1352"/>
      <c r="Y579" s="1352"/>
      <c r="Z579" s="1352"/>
      <c r="AA579" s="1352"/>
      <c r="AB579" s="1352"/>
      <c r="AC579" s="1352"/>
      <c r="AD579" s="1352"/>
      <c r="AE579" s="1352"/>
      <c r="AF579" s="1352"/>
      <c r="AG579" s="1352"/>
      <c r="AH579" s="1352"/>
      <c r="AI579" s="1352"/>
      <c r="AJ579" s="1352"/>
      <c r="AK579" s="638"/>
      <c r="AL579" s="569"/>
      <c r="AM579" s="599"/>
      <c r="AN579" s="593"/>
    </row>
    <row r="580" spans="1:42" s="547" customFormat="1" ht="12.75" customHeight="1">
      <c r="A580" s="599"/>
      <c r="B580" s="1352"/>
      <c r="C580" s="1352"/>
      <c r="D580" s="1352"/>
      <c r="E580" s="1352"/>
      <c r="F580" s="1352"/>
      <c r="G580" s="1352"/>
      <c r="H580" s="1352"/>
      <c r="I580" s="1352"/>
      <c r="J580" s="1352"/>
      <c r="K580" s="1352"/>
      <c r="L580" s="1352"/>
      <c r="M580" s="1352"/>
      <c r="N580" s="1352"/>
      <c r="O580" s="1352"/>
      <c r="P580" s="1352"/>
      <c r="Q580" s="1352"/>
      <c r="R580" s="1352"/>
      <c r="S580" s="1352"/>
      <c r="T580" s="1352"/>
      <c r="U580" s="1352"/>
      <c r="V580" s="1352"/>
      <c r="W580" s="1352"/>
      <c r="X580" s="1352"/>
      <c r="Y580" s="1352"/>
      <c r="Z580" s="1352"/>
      <c r="AA580" s="1352"/>
      <c r="AB580" s="1352"/>
      <c r="AC580" s="1352"/>
      <c r="AD580" s="1352"/>
      <c r="AE580" s="1352"/>
      <c r="AF580" s="1352"/>
      <c r="AG580" s="1352"/>
      <c r="AH580" s="1352"/>
      <c r="AI580" s="1352"/>
      <c r="AJ580" s="1352"/>
      <c r="AK580" s="638"/>
      <c r="AL580" s="569"/>
      <c r="AM580" s="599"/>
      <c r="AN580" s="593"/>
    </row>
    <row r="581" spans="1:42" s="547" customFormat="1" ht="12.75" customHeight="1">
      <c r="A581" s="599"/>
      <c r="B581" s="1352"/>
      <c r="C581" s="1352"/>
      <c r="D581" s="1352"/>
      <c r="E581" s="1352"/>
      <c r="F581" s="1352"/>
      <c r="G581" s="1352"/>
      <c r="H581" s="1352"/>
      <c r="I581" s="1352"/>
      <c r="J581" s="1352"/>
      <c r="K581" s="1352"/>
      <c r="L581" s="1352"/>
      <c r="M581" s="1352"/>
      <c r="N581" s="1352"/>
      <c r="O581" s="1352"/>
      <c r="P581" s="1352"/>
      <c r="Q581" s="1352"/>
      <c r="R581" s="1352"/>
      <c r="S581" s="1352"/>
      <c r="T581" s="1352"/>
      <c r="U581" s="1352"/>
      <c r="V581" s="1352"/>
      <c r="W581" s="1352"/>
      <c r="X581" s="1352"/>
      <c r="Y581" s="1352"/>
      <c r="Z581" s="1352"/>
      <c r="AA581" s="1352"/>
      <c r="AB581" s="1352"/>
      <c r="AC581" s="1352"/>
      <c r="AD581" s="1352"/>
      <c r="AE581" s="1352"/>
      <c r="AF581" s="1352"/>
      <c r="AG581" s="1352"/>
      <c r="AH581" s="1352"/>
      <c r="AI581" s="1352"/>
      <c r="AJ581" s="1352"/>
      <c r="AK581" s="638"/>
      <c r="AL581" s="569"/>
      <c r="AM581" s="599"/>
      <c r="AN581" s="593"/>
    </row>
    <row r="582" spans="1:42" s="547" customFormat="1" ht="12.75" customHeight="1">
      <c r="A582" s="599"/>
      <c r="B582" s="1352"/>
      <c r="C582" s="1352"/>
      <c r="D582" s="1352"/>
      <c r="E582" s="1352"/>
      <c r="F582" s="1352"/>
      <c r="G582" s="1352"/>
      <c r="H582" s="1352"/>
      <c r="I582" s="1352"/>
      <c r="J582" s="1352"/>
      <c r="K582" s="1352"/>
      <c r="L582" s="1352"/>
      <c r="M582" s="1352"/>
      <c r="N582" s="1352"/>
      <c r="O582" s="1352"/>
      <c r="P582" s="1352"/>
      <c r="Q582" s="1352"/>
      <c r="R582" s="1352"/>
      <c r="S582" s="1352"/>
      <c r="T582" s="1352"/>
      <c r="U582" s="1352"/>
      <c r="V582" s="1352"/>
      <c r="W582" s="1352"/>
      <c r="X582" s="1352"/>
      <c r="Y582" s="1352"/>
      <c r="Z582" s="1352"/>
      <c r="AA582" s="1352"/>
      <c r="AB582" s="1352"/>
      <c r="AC582" s="1352"/>
      <c r="AD582" s="1352"/>
      <c r="AE582" s="1352"/>
      <c r="AF582" s="1352"/>
      <c r="AG582" s="1352"/>
      <c r="AH582" s="1352"/>
      <c r="AI582" s="1352"/>
      <c r="AJ582" s="1352"/>
      <c r="AK582" s="638"/>
      <c r="AL582" s="569"/>
      <c r="AM582" s="599"/>
      <c r="AN582" s="593"/>
    </row>
    <row r="583" spans="1:42" s="547" customFormat="1" ht="12.75" customHeight="1">
      <c r="A583" s="599"/>
      <c r="B583" s="1352"/>
      <c r="C583" s="1352"/>
      <c r="D583" s="1352"/>
      <c r="E583" s="1352"/>
      <c r="F583" s="1352"/>
      <c r="G583" s="1352"/>
      <c r="H583" s="1352"/>
      <c r="I583" s="1352"/>
      <c r="J583" s="1352"/>
      <c r="K583" s="1352"/>
      <c r="L583" s="1352"/>
      <c r="M583" s="1352"/>
      <c r="N583" s="1352"/>
      <c r="O583" s="1352"/>
      <c r="P583" s="1352"/>
      <c r="Q583" s="1352"/>
      <c r="R583" s="1352"/>
      <c r="S583" s="1352"/>
      <c r="T583" s="1352"/>
      <c r="U583" s="1352"/>
      <c r="V583" s="1352"/>
      <c r="W583" s="1352"/>
      <c r="X583" s="1352"/>
      <c r="Y583" s="1352"/>
      <c r="Z583" s="1352"/>
      <c r="AA583" s="1352"/>
      <c r="AB583" s="1352"/>
      <c r="AC583" s="1352"/>
      <c r="AD583" s="1352"/>
      <c r="AE583" s="1352"/>
      <c r="AF583" s="1352"/>
      <c r="AG583" s="1352"/>
      <c r="AH583" s="1352"/>
      <c r="AI583" s="1352"/>
      <c r="AJ583" s="1352"/>
      <c r="AK583" s="638"/>
      <c r="AL583" s="569"/>
      <c r="AM583" s="599"/>
      <c r="AN583" s="593"/>
    </row>
    <row r="584" spans="1:42" ht="12.75" customHeight="1">
      <c r="A584" s="599"/>
      <c r="B584" s="1352"/>
      <c r="C584" s="1352"/>
      <c r="D584" s="1352"/>
      <c r="E584" s="1352"/>
      <c r="F584" s="1352"/>
      <c r="G584" s="1352"/>
      <c r="H584" s="1352"/>
      <c r="I584" s="1352"/>
      <c r="J584" s="1352"/>
      <c r="K584" s="1352"/>
      <c r="L584" s="1352"/>
      <c r="M584" s="1352"/>
      <c r="N584" s="1352"/>
      <c r="O584" s="1352"/>
      <c r="P584" s="1352"/>
      <c r="Q584" s="1352"/>
      <c r="R584" s="1352"/>
      <c r="S584" s="1352"/>
      <c r="T584" s="1352"/>
      <c r="U584" s="1352"/>
      <c r="V584" s="1352"/>
      <c r="W584" s="1352"/>
      <c r="X584" s="1352"/>
      <c r="Y584" s="1352"/>
      <c r="Z584" s="1352"/>
      <c r="AA584" s="1352"/>
      <c r="AB584" s="1352"/>
      <c r="AC584" s="1352"/>
      <c r="AD584" s="1352"/>
      <c r="AE584" s="1352"/>
      <c r="AF584" s="1352"/>
      <c r="AG584" s="1352"/>
      <c r="AH584" s="1352"/>
      <c r="AI584" s="1352"/>
      <c r="AJ584" s="1352"/>
      <c r="AK584" s="638"/>
      <c r="AL584" s="569"/>
      <c r="AM584" s="599"/>
    </row>
    <row r="585" spans="1:42" s="547" customFormat="1" ht="12.75" customHeight="1">
      <c r="B585" s="1352"/>
      <c r="C585" s="1352"/>
      <c r="D585" s="1352"/>
      <c r="E585" s="1352"/>
      <c r="F585" s="1352"/>
      <c r="G585" s="1352"/>
      <c r="H585" s="1352"/>
      <c r="I585" s="1352"/>
      <c r="J585" s="1352"/>
      <c r="K585" s="1352"/>
      <c r="L585" s="1352"/>
      <c r="M585" s="1352"/>
      <c r="N585" s="1352"/>
      <c r="O585" s="1352"/>
      <c r="P585" s="1352"/>
      <c r="Q585" s="1352"/>
      <c r="R585" s="1352"/>
      <c r="S585" s="1352"/>
      <c r="T585" s="1352"/>
      <c r="U585" s="1352"/>
      <c r="V585" s="1352"/>
      <c r="W585" s="1352"/>
      <c r="X585" s="1352"/>
      <c r="Y585" s="1352"/>
      <c r="Z585" s="1352"/>
      <c r="AA585" s="1352"/>
      <c r="AB585" s="1352"/>
      <c r="AC585" s="1352"/>
      <c r="AD585" s="1352"/>
      <c r="AE585" s="1352"/>
      <c r="AF585" s="1352"/>
      <c r="AG585" s="1352"/>
      <c r="AH585" s="1352"/>
      <c r="AI585" s="1352"/>
      <c r="AJ585" s="1352"/>
      <c r="AK585" s="638"/>
      <c r="AL585" s="569"/>
      <c r="AN585" s="593"/>
    </row>
    <row r="586" spans="1:42" s="547" customFormat="1" ht="12.75" customHeight="1">
      <c r="B586" s="638"/>
      <c r="C586" s="638"/>
      <c r="D586" s="638"/>
      <c r="E586" s="638"/>
      <c r="F586" s="638"/>
      <c r="G586" s="638"/>
      <c r="H586" s="638"/>
      <c r="I586" s="638"/>
      <c r="J586" s="638"/>
      <c r="K586" s="638"/>
      <c r="L586" s="638"/>
      <c r="M586" s="638"/>
      <c r="N586" s="638"/>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c r="AK586" s="638"/>
      <c r="AL586" s="569"/>
      <c r="AN586" s="593"/>
    </row>
    <row r="587" spans="1:42" s="547" customFormat="1" ht="12.75" customHeight="1">
      <c r="B587" s="657" t="s">
        <v>1383</v>
      </c>
      <c r="C587" s="665"/>
      <c r="D587" s="569"/>
      <c r="E587" s="569"/>
      <c r="F587" s="569"/>
      <c r="G587" s="569"/>
      <c r="H587" s="569"/>
      <c r="I587" s="569"/>
      <c r="J587" s="569"/>
      <c r="K587" s="569"/>
      <c r="L587" s="569"/>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N587" s="593"/>
      <c r="AP587" s="547" t="s">
        <v>590</v>
      </c>
    </row>
    <row r="588" spans="1:42" s="547" customFormat="1" ht="12.75" customHeight="1">
      <c r="B588" s="534"/>
      <c r="C588" s="665"/>
      <c r="D588" s="569"/>
      <c r="E588" s="569"/>
      <c r="F588" s="569"/>
      <c r="G588" s="569"/>
      <c r="H588" s="569"/>
      <c r="I588" s="569"/>
      <c r="J588" s="569"/>
      <c r="K588" s="569"/>
      <c r="L588" s="569"/>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N588" s="593"/>
      <c r="AP588" s="547" t="s">
        <v>544</v>
      </c>
    </row>
    <row r="589" spans="1:42" s="547" customFormat="1" ht="12.75" customHeight="1">
      <c r="C589" s="537" t="s">
        <v>1384</v>
      </c>
      <c r="D589" s="666"/>
      <c r="E589" s="569"/>
      <c r="F589" s="569"/>
      <c r="G589" s="569"/>
      <c r="H589" s="569"/>
      <c r="I589" s="569"/>
      <c r="J589" s="569"/>
      <c r="K589" s="569"/>
      <c r="L589" s="569"/>
      <c r="M589" s="569"/>
      <c r="N589" s="569"/>
      <c r="O589" s="569"/>
      <c r="P589" s="569"/>
      <c r="Q589" s="569"/>
      <c r="R589" s="569"/>
      <c r="S589" s="569"/>
      <c r="T589" s="569"/>
      <c r="U589" s="569"/>
      <c r="V589" s="569"/>
      <c r="W589" s="569"/>
      <c r="X589" s="569"/>
      <c r="Y589" s="569"/>
      <c r="Z589" s="569"/>
      <c r="AA589" s="569"/>
      <c r="AB589" s="569"/>
      <c r="AC589" s="569"/>
      <c r="AD589" s="569"/>
      <c r="AE589" s="569"/>
      <c r="AF589" s="569"/>
      <c r="AG589" s="569"/>
      <c r="AH589" s="569"/>
      <c r="AI589" s="569"/>
      <c r="AN589" s="593"/>
    </row>
    <row r="590" spans="1:42" s="547" customFormat="1" ht="12.75" customHeight="1">
      <c r="B590" s="534"/>
      <c r="C590" s="534"/>
      <c r="D590" s="636"/>
      <c r="E590" s="639"/>
      <c r="F590" s="639"/>
      <c r="G590" s="639"/>
      <c r="H590" s="639"/>
      <c r="I590" s="639"/>
      <c r="J590" s="639"/>
      <c r="K590" s="639"/>
      <c r="L590" s="639"/>
      <c r="M590" s="639"/>
      <c r="N590" s="639"/>
      <c r="O590" s="639"/>
      <c r="P590" s="639"/>
      <c r="Q590" s="639"/>
      <c r="R590" s="639"/>
      <c r="S590" s="639"/>
      <c r="T590" s="639"/>
      <c r="U590" s="639"/>
      <c r="V590" s="639"/>
      <c r="W590" s="639"/>
      <c r="X590" s="639"/>
      <c r="Y590" s="639"/>
      <c r="Z590" s="639"/>
      <c r="AA590" s="639"/>
      <c r="AB590" s="639"/>
      <c r="AC590" s="639"/>
      <c r="AD590" s="639"/>
      <c r="AE590" s="639"/>
      <c r="AF590" s="534"/>
      <c r="AG590" s="534"/>
      <c r="AH590" s="534"/>
      <c r="AI590" s="534"/>
      <c r="AJ590" s="534"/>
      <c r="AK590" s="534"/>
      <c r="AL590" s="534"/>
      <c r="AN590" s="593"/>
    </row>
    <row r="591" spans="1:42" s="547" customFormat="1" ht="12.75" customHeight="1">
      <c r="B591" s="534"/>
      <c r="C591" s="534"/>
      <c r="D591" s="657" t="s">
        <v>686</v>
      </c>
      <c r="E591" s="832" t="s">
        <v>1684</v>
      </c>
      <c r="F591" s="638"/>
      <c r="G591" s="638"/>
      <c r="H591" s="638"/>
      <c r="I591" s="638"/>
      <c r="J591" s="638"/>
      <c r="K591" s="638"/>
      <c r="L591" s="638"/>
      <c r="M591" s="638"/>
      <c r="N591" s="638"/>
      <c r="O591" s="638"/>
      <c r="P591" s="638"/>
      <c r="Q591" s="638"/>
      <c r="R591" s="638"/>
      <c r="S591" s="638"/>
      <c r="T591" s="638"/>
      <c r="U591" s="638"/>
      <c r="V591" s="638"/>
      <c r="W591" s="638"/>
      <c r="X591" s="638"/>
      <c r="Y591" s="638"/>
      <c r="Z591" s="638"/>
      <c r="AA591" s="638"/>
      <c r="AB591" s="638"/>
      <c r="AC591" s="534"/>
      <c r="AD591" s="534"/>
      <c r="AE591" s="534"/>
      <c r="AF591" s="1335" t="s">
        <v>1329</v>
      </c>
      <c r="AG591" s="1335"/>
      <c r="AH591" s="1335"/>
      <c r="AI591" s="1335"/>
      <c r="AJ591" s="1335"/>
      <c r="AK591" s="1335"/>
      <c r="AL591" s="1335"/>
      <c r="AN591" s="593"/>
    </row>
    <row r="592" spans="1:42" s="547" customFormat="1" ht="12.75" customHeight="1">
      <c r="B592" s="534"/>
      <c r="C592" s="612"/>
      <c r="D592" s="657"/>
      <c r="E592" s="832" t="s">
        <v>1685</v>
      </c>
      <c r="F592" s="638"/>
      <c r="G592" s="638"/>
      <c r="H592" s="638"/>
      <c r="I592" s="638"/>
      <c r="J592" s="638"/>
      <c r="K592" s="638"/>
      <c r="L592" s="638"/>
      <c r="M592" s="638"/>
      <c r="N592" s="638"/>
      <c r="O592" s="638"/>
      <c r="P592" s="638"/>
      <c r="Q592" s="638"/>
      <c r="R592" s="638"/>
      <c r="S592" s="638"/>
      <c r="T592" s="638"/>
      <c r="U592" s="638"/>
      <c r="V592" s="638"/>
      <c r="W592" s="638"/>
      <c r="X592" s="638"/>
      <c r="Y592" s="638"/>
      <c r="Z592" s="638"/>
      <c r="AA592" s="638"/>
      <c r="AB592" s="638"/>
      <c r="AC592" s="534"/>
      <c r="AD592" s="534"/>
      <c r="AE592" s="612"/>
      <c r="AF592" s="612"/>
      <c r="AG592" s="612"/>
      <c r="AH592" s="612"/>
      <c r="AI592" s="612"/>
      <c r="AJ592" s="612"/>
      <c r="AK592" s="612"/>
      <c r="AL592" s="612"/>
      <c r="AN592" s="593"/>
    </row>
    <row r="593" spans="1:42" s="547" customFormat="1" ht="12.75" customHeight="1">
      <c r="B593" s="534"/>
      <c r="C593" s="612"/>
      <c r="D593" s="657"/>
      <c r="E593" s="832" t="s">
        <v>1686</v>
      </c>
      <c r="F593" s="638"/>
      <c r="G593" s="638"/>
      <c r="H593" s="638"/>
      <c r="I593" s="638"/>
      <c r="J593" s="638"/>
      <c r="K593" s="638"/>
      <c r="L593" s="638"/>
      <c r="M593" s="638"/>
      <c r="N593" s="638"/>
      <c r="O593" s="638"/>
      <c r="P593" s="638"/>
      <c r="Q593" s="638"/>
      <c r="R593" s="638"/>
      <c r="S593" s="638"/>
      <c r="T593" s="638"/>
      <c r="U593" s="638"/>
      <c r="V593" s="638"/>
      <c r="W593" s="638"/>
      <c r="X593" s="638"/>
      <c r="Y593" s="638"/>
      <c r="Z593" s="638"/>
      <c r="AA593" s="638"/>
      <c r="AB593" s="638"/>
      <c r="AC593" s="534"/>
      <c r="AD593" s="534"/>
      <c r="AE593" s="612"/>
      <c r="AF593" s="612"/>
      <c r="AG593" s="612"/>
      <c r="AH593" s="612"/>
      <c r="AI593" s="612"/>
      <c r="AJ593" s="612"/>
      <c r="AK593" s="612"/>
      <c r="AL593" s="612"/>
      <c r="AN593" s="593"/>
    </row>
    <row r="594" spans="1:42" s="547" customFormat="1" ht="12.75" customHeight="1">
      <c r="B594" s="534"/>
      <c r="C594" s="612"/>
      <c r="D594" s="657"/>
      <c r="E594" s="832" t="s">
        <v>1687</v>
      </c>
      <c r="F594" s="638"/>
      <c r="G594" s="638"/>
      <c r="H594" s="638"/>
      <c r="I594" s="638"/>
      <c r="J594" s="638"/>
      <c r="K594" s="638"/>
      <c r="L594" s="638"/>
      <c r="M594" s="638"/>
      <c r="N594" s="638"/>
      <c r="O594" s="638"/>
      <c r="P594" s="638"/>
      <c r="Q594" s="638"/>
      <c r="R594" s="638"/>
      <c r="S594" s="638"/>
      <c r="T594" s="638"/>
      <c r="U594" s="638"/>
      <c r="V594" s="638"/>
      <c r="W594" s="638"/>
      <c r="X594" s="638"/>
      <c r="Y594" s="638"/>
      <c r="Z594" s="638"/>
      <c r="AA594" s="638"/>
      <c r="AB594" s="638"/>
      <c r="AC594" s="534"/>
      <c r="AD594" s="534"/>
      <c r="AE594" s="612"/>
      <c r="AF594" s="612"/>
      <c r="AG594" s="612"/>
      <c r="AH594" s="612"/>
      <c r="AI594" s="612"/>
      <c r="AJ594" s="612"/>
      <c r="AK594" s="612"/>
      <c r="AL594" s="612"/>
      <c r="AN594" s="593"/>
    </row>
    <row r="595" spans="1:42" s="547" customFormat="1" ht="12.75" customHeight="1">
      <c r="B595" s="534"/>
      <c r="C595" s="612"/>
      <c r="D595" s="657"/>
      <c r="E595" s="832" t="s">
        <v>1688</v>
      </c>
      <c r="F595" s="638"/>
      <c r="G595" s="638"/>
      <c r="H595" s="638"/>
      <c r="I595" s="638"/>
      <c r="J595" s="638"/>
      <c r="K595" s="638"/>
      <c r="L595" s="638"/>
      <c r="M595" s="638"/>
      <c r="N595" s="638"/>
      <c r="O595" s="638"/>
      <c r="P595" s="638"/>
      <c r="Q595" s="638"/>
      <c r="R595" s="638"/>
      <c r="S595" s="638"/>
      <c r="T595" s="638"/>
      <c r="U595" s="638"/>
      <c r="V595" s="638"/>
      <c r="W595" s="638"/>
      <c r="X595" s="638"/>
      <c r="Y595" s="638"/>
      <c r="Z595" s="638"/>
      <c r="AA595" s="638"/>
      <c r="AB595" s="638"/>
      <c r="AC595" s="534"/>
      <c r="AD595" s="534"/>
      <c r="AE595" s="612"/>
      <c r="AF595" s="612"/>
      <c r="AG595" s="612"/>
      <c r="AH595" s="612"/>
      <c r="AI595" s="612"/>
      <c r="AJ595" s="612"/>
      <c r="AK595" s="612"/>
      <c r="AL595" s="612"/>
      <c r="AN595" s="593"/>
      <c r="AO595" s="22" t="s">
        <v>2125</v>
      </c>
      <c r="AP595" s="547" t="b">
        <f>IF(Application!AF427&gt;=25,TRUE,FALSE)</f>
        <v>1</v>
      </c>
    </row>
    <row r="596" spans="1:42" s="547" customFormat="1" ht="12.75" customHeight="1">
      <c r="B596" s="534"/>
      <c r="C596" s="612"/>
      <c r="D596" s="657"/>
      <c r="E596" s="832" t="s">
        <v>1689</v>
      </c>
      <c r="F596" s="638"/>
      <c r="G596" s="638"/>
      <c r="H596" s="638"/>
      <c r="I596" s="638"/>
      <c r="J596" s="638"/>
      <c r="K596" s="638"/>
      <c r="L596" s="638"/>
      <c r="M596" s="638"/>
      <c r="N596" s="638"/>
      <c r="O596" s="638"/>
      <c r="P596" s="638"/>
      <c r="Q596" s="638"/>
      <c r="R596" s="638"/>
      <c r="S596" s="638"/>
      <c r="T596" s="638"/>
      <c r="U596" s="638"/>
      <c r="V596" s="638"/>
      <c r="W596" s="638"/>
      <c r="X596" s="638"/>
      <c r="Y596" s="638"/>
      <c r="Z596" s="638"/>
      <c r="AA596" s="638"/>
      <c r="AB596" s="638"/>
      <c r="AC596" s="534"/>
      <c r="AD596" s="534"/>
      <c r="AE596" s="612"/>
      <c r="AF596" s="612"/>
      <c r="AG596" s="612"/>
      <c r="AH596" s="612"/>
      <c r="AI596" s="612"/>
      <c r="AJ596" s="612"/>
      <c r="AK596" s="612"/>
      <c r="AL596" s="612"/>
      <c r="AN596" s="593"/>
      <c r="AO596" s="22" t="s">
        <v>2126</v>
      </c>
      <c r="AP596" s="547" t="b">
        <f>Application!T199="Yes"</f>
        <v>0</v>
      </c>
    </row>
    <row r="597" spans="1:42" s="547" customFormat="1" ht="12.75" customHeight="1">
      <c r="B597" s="534"/>
      <c r="C597" s="612"/>
      <c r="D597" s="657"/>
      <c r="E597" s="832"/>
      <c r="F597" s="638"/>
      <c r="G597" s="638"/>
      <c r="H597" s="638"/>
      <c r="I597" s="638"/>
      <c r="J597" s="638"/>
      <c r="K597" s="638"/>
      <c r="L597" s="638"/>
      <c r="M597" s="638"/>
      <c r="N597" s="638"/>
      <c r="O597" s="638"/>
      <c r="P597" s="638"/>
      <c r="Q597" s="638"/>
      <c r="R597" s="638"/>
      <c r="S597" s="638"/>
      <c r="T597" s="638"/>
      <c r="U597" s="638"/>
      <c r="V597" s="638"/>
      <c r="W597" s="638"/>
      <c r="X597" s="638"/>
      <c r="Y597" s="638"/>
      <c r="Z597" s="638"/>
      <c r="AA597" s="638"/>
      <c r="AB597" s="638"/>
      <c r="AC597" s="534"/>
      <c r="AD597" s="534"/>
      <c r="AE597" s="612"/>
      <c r="AF597" s="534"/>
      <c r="AG597" s="534"/>
      <c r="AH597" s="534"/>
      <c r="AI597" s="534"/>
      <c r="AJ597" s="534"/>
      <c r="AK597" s="534"/>
      <c r="AL597" s="534"/>
      <c r="AN597" s="593"/>
    </row>
    <row r="598" spans="1:42" s="547" customFormat="1" ht="12.75" customHeight="1">
      <c r="A598" s="633"/>
      <c r="B598" s="534"/>
      <c r="C598" s="925"/>
      <c r="D598" s="657" t="s">
        <v>508</v>
      </c>
      <c r="E598" s="832" t="s">
        <v>1690</v>
      </c>
      <c r="F598" s="926"/>
      <c r="G598" s="926"/>
      <c r="H598" s="926"/>
      <c r="I598" s="926"/>
      <c r="J598" s="926"/>
      <c r="K598" s="926"/>
      <c r="L598" s="926"/>
      <c r="M598" s="926"/>
      <c r="N598" s="926"/>
      <c r="O598" s="926"/>
      <c r="P598" s="926"/>
      <c r="Q598" s="926"/>
      <c r="R598" s="926"/>
      <c r="S598" s="926"/>
      <c r="T598" s="926"/>
      <c r="U598" s="926"/>
      <c r="V598" s="926"/>
      <c r="W598" s="926"/>
      <c r="X598" s="926"/>
      <c r="Y598" s="926"/>
      <c r="Z598" s="926"/>
      <c r="AA598" s="926"/>
      <c r="AB598" s="926"/>
      <c r="AC598" s="534"/>
      <c r="AD598" s="534"/>
      <c r="AE598" s="534"/>
      <c r="AF598" s="1335" t="s">
        <v>1385</v>
      </c>
      <c r="AG598" s="1335"/>
      <c r="AH598" s="1335"/>
      <c r="AI598" s="1335"/>
      <c r="AJ598" s="1335"/>
      <c r="AK598" s="1335"/>
      <c r="AL598" s="1335"/>
      <c r="AN598" s="593"/>
    </row>
    <row r="599" spans="1:42" s="547" customFormat="1" ht="12.75" customHeight="1">
      <c r="B599" s="534"/>
      <c r="C599" s="927"/>
      <c r="D599" s="657"/>
      <c r="E599" s="832" t="s">
        <v>1691</v>
      </c>
      <c r="F599" s="926"/>
      <c r="G599" s="926"/>
      <c r="H599" s="926"/>
      <c r="I599" s="926"/>
      <c r="J599" s="926"/>
      <c r="K599" s="926"/>
      <c r="L599" s="926"/>
      <c r="M599" s="926"/>
      <c r="N599" s="926"/>
      <c r="O599" s="926"/>
      <c r="P599" s="926"/>
      <c r="Q599" s="926"/>
      <c r="R599" s="926"/>
      <c r="S599" s="926"/>
      <c r="T599" s="926"/>
      <c r="U599" s="926"/>
      <c r="V599" s="926"/>
      <c r="W599" s="926"/>
      <c r="X599" s="926"/>
      <c r="Y599" s="926"/>
      <c r="Z599" s="926"/>
      <c r="AA599" s="926"/>
      <c r="AB599" s="926"/>
      <c r="AC599" s="534"/>
      <c r="AD599" s="534"/>
      <c r="AE599" s="534"/>
      <c r="AF599" s="534"/>
      <c r="AG599" s="534"/>
      <c r="AH599" s="534"/>
      <c r="AI599" s="534"/>
      <c r="AJ599" s="534"/>
      <c r="AK599" s="534"/>
      <c r="AL599" s="534"/>
      <c r="AN599" s="593"/>
      <c r="AO599" s="547" t="s">
        <v>590</v>
      </c>
      <c r="AP599" s="667">
        <v>0</v>
      </c>
    </row>
    <row r="600" spans="1:42" s="547" customFormat="1" ht="12.75" customHeight="1">
      <c r="B600" s="606"/>
      <c r="C600" s="925"/>
      <c r="D600" s="657"/>
      <c r="E600" s="832" t="s">
        <v>1692</v>
      </c>
      <c r="F600" s="926"/>
      <c r="G600" s="926"/>
      <c r="H600" s="926"/>
      <c r="I600" s="926"/>
      <c r="J600" s="926"/>
      <c r="K600" s="926"/>
      <c r="L600" s="926"/>
      <c r="M600" s="926"/>
      <c r="N600" s="926"/>
      <c r="O600" s="926"/>
      <c r="P600" s="926"/>
      <c r="Q600" s="926"/>
      <c r="R600" s="926"/>
      <c r="S600" s="926"/>
      <c r="T600" s="926"/>
      <c r="U600" s="926"/>
      <c r="V600" s="926"/>
      <c r="W600" s="926"/>
      <c r="X600" s="926"/>
      <c r="Y600" s="926"/>
      <c r="Z600" s="926"/>
      <c r="AA600" s="926"/>
      <c r="AB600" s="926"/>
      <c r="AC600" s="534"/>
      <c r="AD600" s="534"/>
      <c r="AE600" s="534"/>
      <c r="AF600" s="534"/>
      <c r="AG600" s="534"/>
      <c r="AH600" s="534"/>
      <c r="AI600" s="534"/>
      <c r="AJ600" s="534"/>
      <c r="AK600" s="534"/>
      <c r="AL600" s="534"/>
      <c r="AN600" s="593"/>
      <c r="AO600" s="607" t="s">
        <v>686</v>
      </c>
      <c r="AP600" s="547">
        <f>7*AP595</f>
        <v>7</v>
      </c>
    </row>
    <row r="601" spans="1:42" s="547" customFormat="1" ht="12.75" customHeight="1">
      <c r="B601" s="606"/>
      <c r="C601" s="925"/>
      <c r="D601" s="657"/>
      <c r="E601" s="832" t="s">
        <v>1694</v>
      </c>
      <c r="F601" s="926"/>
      <c r="G601" s="926"/>
      <c r="H601" s="926"/>
      <c r="I601" s="926"/>
      <c r="J601" s="926"/>
      <c r="K601" s="926"/>
      <c r="L601" s="926"/>
      <c r="M601" s="926"/>
      <c r="N601" s="926"/>
      <c r="O601" s="926"/>
      <c r="P601" s="926"/>
      <c r="Q601" s="926"/>
      <c r="R601" s="926"/>
      <c r="S601" s="926"/>
      <c r="T601" s="926"/>
      <c r="U601" s="926"/>
      <c r="V601" s="926"/>
      <c r="W601" s="926"/>
      <c r="X601" s="926"/>
      <c r="Y601" s="926"/>
      <c r="Z601" s="926"/>
      <c r="AA601" s="926"/>
      <c r="AB601" s="926"/>
      <c r="AC601" s="534"/>
      <c r="AD601" s="534"/>
      <c r="AE601" s="534"/>
      <c r="AF601" s="534"/>
      <c r="AG601" s="534"/>
      <c r="AH601" s="534"/>
      <c r="AI601" s="534"/>
      <c r="AJ601" s="534"/>
      <c r="AK601" s="534"/>
      <c r="AL601" s="534"/>
      <c r="AN601" s="593"/>
      <c r="AO601" s="607" t="s">
        <v>508</v>
      </c>
      <c r="AP601" s="547">
        <v>6</v>
      </c>
    </row>
    <row r="602" spans="1:42" s="547" customFormat="1" ht="12.75" customHeight="1">
      <c r="B602" s="606"/>
      <c r="C602" s="925"/>
      <c r="D602" s="657"/>
      <c r="E602" s="832" t="s">
        <v>1693</v>
      </c>
      <c r="F602" s="926"/>
      <c r="G602" s="926"/>
      <c r="H602" s="926"/>
      <c r="I602" s="926"/>
      <c r="J602" s="926"/>
      <c r="K602" s="926"/>
      <c r="L602" s="926"/>
      <c r="M602" s="926"/>
      <c r="N602" s="926"/>
      <c r="O602" s="926"/>
      <c r="P602" s="926"/>
      <c r="Q602" s="926"/>
      <c r="R602" s="926"/>
      <c r="S602" s="926"/>
      <c r="T602" s="926"/>
      <c r="U602" s="926"/>
      <c r="V602" s="926"/>
      <c r="W602" s="926"/>
      <c r="X602" s="926"/>
      <c r="Y602" s="926"/>
      <c r="Z602" s="926"/>
      <c r="AA602" s="926"/>
      <c r="AB602" s="926"/>
      <c r="AC602" s="534"/>
      <c r="AD602" s="534"/>
      <c r="AE602" s="534"/>
      <c r="AF602" s="534"/>
      <c r="AG602" s="534"/>
      <c r="AH602" s="534"/>
      <c r="AI602" s="534"/>
      <c r="AJ602" s="534"/>
      <c r="AK602" s="534"/>
      <c r="AL602" s="534"/>
      <c r="AN602" s="593"/>
      <c r="AO602" s="607" t="s">
        <v>277</v>
      </c>
      <c r="AP602" s="547">
        <v>5</v>
      </c>
    </row>
    <row r="603" spans="1:42" s="547" customFormat="1" ht="12.75" customHeight="1">
      <c r="B603" s="606"/>
      <c r="C603" s="925"/>
      <c r="D603" s="657"/>
      <c r="E603" s="928"/>
      <c r="F603" s="929"/>
      <c r="G603" s="929"/>
      <c r="H603" s="929"/>
      <c r="I603" s="612"/>
      <c r="J603" s="612"/>
      <c r="K603" s="612"/>
      <c r="L603" s="612"/>
      <c r="M603" s="612"/>
      <c r="N603" s="612"/>
      <c r="O603" s="612"/>
      <c r="P603" s="612"/>
      <c r="Q603" s="612"/>
      <c r="R603" s="612"/>
      <c r="S603" s="612"/>
      <c r="T603" s="612"/>
      <c r="U603" s="612"/>
      <c r="V603" s="612"/>
      <c r="W603" s="612"/>
      <c r="X603" s="612"/>
      <c r="Y603" s="612"/>
      <c r="Z603" s="612"/>
      <c r="AA603" s="612"/>
      <c r="AB603" s="612"/>
      <c r="AC603" s="534"/>
      <c r="AD603" s="534"/>
      <c r="AE603" s="612"/>
      <c r="AF603" s="534"/>
      <c r="AG603" s="534"/>
      <c r="AH603" s="534"/>
      <c r="AI603" s="534"/>
      <c r="AJ603" s="534"/>
      <c r="AK603" s="534"/>
      <c r="AL603" s="534"/>
      <c r="AN603" s="593"/>
      <c r="AO603" s="607" t="s">
        <v>1386</v>
      </c>
      <c r="AP603" s="547">
        <v>4</v>
      </c>
    </row>
    <row r="604" spans="1:42" s="547" customFormat="1" ht="12.75" customHeight="1">
      <c r="B604" s="534"/>
      <c r="C604" s="925"/>
      <c r="D604" s="657" t="s">
        <v>277</v>
      </c>
      <c r="E604" s="832" t="s">
        <v>1695</v>
      </c>
      <c r="F604" s="926"/>
      <c r="G604" s="926"/>
      <c r="H604" s="926"/>
      <c r="I604" s="926"/>
      <c r="J604" s="926"/>
      <c r="K604" s="926"/>
      <c r="L604" s="926"/>
      <c r="M604" s="926"/>
      <c r="N604" s="926"/>
      <c r="O604" s="926"/>
      <c r="P604" s="926"/>
      <c r="Q604" s="926"/>
      <c r="R604" s="926"/>
      <c r="S604" s="926"/>
      <c r="T604" s="926"/>
      <c r="U604" s="926"/>
      <c r="V604" s="926"/>
      <c r="W604" s="926"/>
      <c r="X604" s="926"/>
      <c r="Y604" s="926"/>
      <c r="Z604" s="926"/>
      <c r="AA604" s="926"/>
      <c r="AB604" s="926"/>
      <c r="AC604" s="534"/>
      <c r="AD604" s="534"/>
      <c r="AE604" s="534"/>
      <c r="AF604" s="1335" t="s">
        <v>1368</v>
      </c>
      <c r="AG604" s="1335"/>
      <c r="AH604" s="1335"/>
      <c r="AI604" s="1335"/>
      <c r="AJ604" s="1335"/>
      <c r="AK604" s="1335"/>
      <c r="AL604" s="1335"/>
      <c r="AN604" s="593"/>
      <c r="AO604" s="607" t="s">
        <v>1387</v>
      </c>
      <c r="AP604" s="547">
        <v>3</v>
      </c>
    </row>
    <row r="605" spans="1:42" s="547" customFormat="1" ht="12.75" customHeight="1">
      <c r="B605" s="534"/>
      <c r="C605" s="927"/>
      <c r="D605" s="657"/>
      <c r="E605" s="832" t="s">
        <v>1691</v>
      </c>
      <c r="F605" s="926"/>
      <c r="G605" s="926"/>
      <c r="H605" s="926"/>
      <c r="I605" s="926"/>
      <c r="J605" s="926"/>
      <c r="K605" s="926"/>
      <c r="L605" s="926"/>
      <c r="M605" s="926"/>
      <c r="N605" s="926"/>
      <c r="O605" s="926"/>
      <c r="P605" s="926"/>
      <c r="Q605" s="926"/>
      <c r="R605" s="926"/>
      <c r="S605" s="926"/>
      <c r="T605" s="926"/>
      <c r="U605" s="926"/>
      <c r="V605" s="926"/>
      <c r="W605" s="926"/>
      <c r="X605" s="926"/>
      <c r="Y605" s="926"/>
      <c r="Z605" s="926"/>
      <c r="AA605" s="926"/>
      <c r="AB605" s="926"/>
      <c r="AC605" s="534"/>
      <c r="AD605" s="534"/>
      <c r="AE605" s="534"/>
      <c r="AF605" s="534"/>
      <c r="AG605" s="534"/>
      <c r="AH605" s="534"/>
      <c r="AI605" s="534"/>
      <c r="AJ605" s="534"/>
      <c r="AK605" s="534"/>
      <c r="AL605" s="534"/>
      <c r="AN605" s="593"/>
    </row>
    <row r="606" spans="1:42" s="547" customFormat="1" ht="12.75" customHeight="1">
      <c r="B606" s="534"/>
      <c r="C606" s="927"/>
      <c r="D606" s="657"/>
      <c r="E606" s="832" t="s">
        <v>1692</v>
      </c>
      <c r="F606" s="926"/>
      <c r="G606" s="926"/>
      <c r="H606" s="926"/>
      <c r="I606" s="926"/>
      <c r="J606" s="926"/>
      <c r="K606" s="926"/>
      <c r="L606" s="926"/>
      <c r="M606" s="926"/>
      <c r="N606" s="926"/>
      <c r="O606" s="926"/>
      <c r="P606" s="926"/>
      <c r="Q606" s="926"/>
      <c r="R606" s="926"/>
      <c r="S606" s="926"/>
      <c r="T606" s="926"/>
      <c r="U606" s="926"/>
      <c r="V606" s="926"/>
      <c r="W606" s="926"/>
      <c r="X606" s="926"/>
      <c r="Y606" s="926"/>
      <c r="Z606" s="926"/>
      <c r="AA606" s="926"/>
      <c r="AB606" s="926"/>
      <c r="AC606" s="534"/>
      <c r="AD606" s="534"/>
      <c r="AE606" s="534"/>
      <c r="AF606" s="534"/>
      <c r="AG606" s="534"/>
      <c r="AH606" s="534"/>
      <c r="AI606" s="534"/>
      <c r="AJ606" s="534"/>
      <c r="AK606" s="534"/>
      <c r="AL606" s="534"/>
      <c r="AN606" s="593"/>
      <c r="AO606" s="22" t="s">
        <v>2128</v>
      </c>
    </row>
    <row r="607" spans="1:42" s="547" customFormat="1" ht="12.75" customHeight="1">
      <c r="B607" s="534"/>
      <c r="C607" s="927"/>
      <c r="D607" s="657"/>
      <c r="E607" s="832" t="s">
        <v>1694</v>
      </c>
      <c r="F607" s="926"/>
      <c r="G607" s="926"/>
      <c r="H607" s="926"/>
      <c r="I607" s="926"/>
      <c r="J607" s="926"/>
      <c r="K607" s="926"/>
      <c r="L607" s="926"/>
      <c r="M607" s="926"/>
      <c r="N607" s="926"/>
      <c r="O607" s="926"/>
      <c r="P607" s="926"/>
      <c r="Q607" s="926"/>
      <c r="R607" s="926"/>
      <c r="S607" s="926"/>
      <c r="T607" s="926"/>
      <c r="U607" s="926"/>
      <c r="V607" s="926"/>
      <c r="W607" s="926"/>
      <c r="X607" s="926"/>
      <c r="Y607" s="926"/>
      <c r="Z607" s="926"/>
      <c r="AA607" s="926"/>
      <c r="AB607" s="926"/>
      <c r="AC607" s="534"/>
      <c r="AD607" s="534"/>
      <c r="AE607" s="534"/>
      <c r="AF607" s="534"/>
      <c r="AG607" s="534"/>
      <c r="AH607" s="534"/>
      <c r="AI607" s="534"/>
      <c r="AJ607" s="534"/>
      <c r="AK607" s="534"/>
      <c r="AL607" s="534"/>
      <c r="AN607" s="593"/>
      <c r="AO607" s="22" t="s">
        <v>2129</v>
      </c>
    </row>
    <row r="608" spans="1:42" s="547" customFormat="1" ht="12.75" customHeight="1">
      <c r="B608" s="534"/>
      <c r="C608" s="927"/>
      <c r="D608" s="657"/>
      <c r="E608" s="832" t="s">
        <v>1693</v>
      </c>
      <c r="F608" s="926"/>
      <c r="G608" s="926"/>
      <c r="H608" s="926"/>
      <c r="I608" s="926"/>
      <c r="J608" s="926"/>
      <c r="K608" s="926"/>
      <c r="L608" s="926"/>
      <c r="M608" s="926"/>
      <c r="N608" s="926"/>
      <c r="O608" s="926"/>
      <c r="P608" s="926"/>
      <c r="Q608" s="926"/>
      <c r="R608" s="926"/>
      <c r="S608" s="926"/>
      <c r="T608" s="926"/>
      <c r="U608" s="926"/>
      <c r="V608" s="926"/>
      <c r="W608" s="926"/>
      <c r="X608" s="926"/>
      <c r="Y608" s="926"/>
      <c r="Z608" s="926"/>
      <c r="AA608" s="926"/>
      <c r="AB608" s="926"/>
      <c r="AC608" s="534"/>
      <c r="AD608" s="534"/>
      <c r="AE608" s="534"/>
      <c r="AF608" s="534"/>
      <c r="AG608" s="534"/>
      <c r="AH608" s="534"/>
      <c r="AI608" s="534"/>
      <c r="AJ608" s="534"/>
      <c r="AK608" s="534"/>
      <c r="AL608" s="534"/>
      <c r="AN608" s="593"/>
      <c r="AO608" s="22" t="s">
        <v>2130</v>
      </c>
    </row>
    <row r="609" spans="1:53" s="547" customFormat="1" ht="12.75" customHeight="1">
      <c r="A609" s="14"/>
      <c r="B609" s="14"/>
      <c r="C609" s="14"/>
      <c r="D609" s="657"/>
      <c r="E609" s="668"/>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4"/>
      <c r="AD609" s="534"/>
      <c r="AE609" s="14"/>
      <c r="AF609" s="534"/>
      <c r="AG609" s="534"/>
      <c r="AH609" s="534"/>
      <c r="AI609" s="534"/>
      <c r="AJ609" s="534"/>
      <c r="AK609" s="534"/>
      <c r="AL609" s="534"/>
      <c r="AM609" s="14"/>
      <c r="AN609" s="593"/>
    </row>
    <row r="610" spans="1:53" s="547" customFormat="1" ht="12.75" customHeight="1">
      <c r="B610" s="534"/>
      <c r="C610" s="925"/>
      <c r="D610" s="657" t="s">
        <v>1386</v>
      </c>
      <c r="E610" s="832" t="s">
        <v>1696</v>
      </c>
      <c r="F610" s="926"/>
      <c r="G610" s="926"/>
      <c r="H610" s="926"/>
      <c r="I610" s="926"/>
      <c r="J610" s="926"/>
      <c r="K610" s="926"/>
      <c r="L610" s="926"/>
      <c r="M610" s="926"/>
      <c r="N610" s="926"/>
      <c r="O610" s="926"/>
      <c r="P610" s="926"/>
      <c r="Q610" s="926"/>
      <c r="R610" s="926"/>
      <c r="S610" s="926"/>
      <c r="T610" s="926"/>
      <c r="U610" s="926"/>
      <c r="V610" s="926"/>
      <c r="W610" s="926"/>
      <c r="X610" s="926"/>
      <c r="Y610" s="926"/>
      <c r="Z610" s="926"/>
      <c r="AA610" s="926"/>
      <c r="AB610" s="926"/>
      <c r="AC610" s="534"/>
      <c r="AD610" s="534"/>
      <c r="AE610" s="534"/>
      <c r="AF610" s="1335" t="s">
        <v>1388</v>
      </c>
      <c r="AG610" s="1335"/>
      <c r="AH610" s="1335"/>
      <c r="AI610" s="1335"/>
      <c r="AJ610" s="1335"/>
      <c r="AK610" s="1335"/>
      <c r="AL610" s="1335"/>
      <c r="AN610" s="593"/>
      <c r="AO610" s="547" t="str">
        <f>X647</f>
        <v>N/A</v>
      </c>
    </row>
    <row r="611" spans="1:53" s="547" customFormat="1" ht="12.75" customHeight="1">
      <c r="B611" s="534"/>
      <c r="C611" s="927"/>
      <c r="D611" s="657"/>
      <c r="E611" s="832" t="s">
        <v>1697</v>
      </c>
      <c r="F611" s="926"/>
      <c r="G611" s="926"/>
      <c r="H611" s="926"/>
      <c r="I611" s="926"/>
      <c r="J611" s="926"/>
      <c r="K611" s="926"/>
      <c r="L611" s="926"/>
      <c r="M611" s="926"/>
      <c r="N611" s="926"/>
      <c r="O611" s="926"/>
      <c r="P611" s="926"/>
      <c r="Q611" s="926"/>
      <c r="R611" s="926"/>
      <c r="S611" s="926"/>
      <c r="T611" s="926"/>
      <c r="U611" s="926"/>
      <c r="V611" s="926"/>
      <c r="W611" s="926"/>
      <c r="X611" s="926"/>
      <c r="Y611" s="926"/>
      <c r="Z611" s="926"/>
      <c r="AA611" s="926"/>
      <c r="AB611" s="926"/>
      <c r="AC611" s="14"/>
      <c r="AD611" s="14"/>
      <c r="AE611" s="534"/>
      <c r="AF611" s="534"/>
      <c r="AG611" s="534"/>
      <c r="AH611" s="534"/>
      <c r="AI611" s="534"/>
      <c r="AJ611" s="534"/>
      <c r="AK611" s="534"/>
      <c r="AL611" s="534"/>
      <c r="AN611" s="593"/>
      <c r="AU611" s="590"/>
      <c r="AV611" s="590"/>
      <c r="AW611" s="590"/>
      <c r="AX611" s="590"/>
      <c r="AY611" s="590"/>
      <c r="AZ611" s="590"/>
      <c r="BA611" s="590"/>
    </row>
    <row r="612" spans="1:53" s="547" customFormat="1" ht="12.75" customHeight="1">
      <c r="B612" s="606"/>
      <c r="C612" s="925"/>
      <c r="D612" s="657"/>
      <c r="E612" s="832" t="s">
        <v>1698</v>
      </c>
      <c r="F612" s="926"/>
      <c r="G612" s="926"/>
      <c r="H612" s="926"/>
      <c r="I612" s="926"/>
      <c r="J612" s="926"/>
      <c r="K612" s="926"/>
      <c r="L612" s="926"/>
      <c r="M612" s="926"/>
      <c r="N612" s="926"/>
      <c r="O612" s="926"/>
      <c r="P612" s="926"/>
      <c r="Q612" s="926"/>
      <c r="R612" s="926"/>
      <c r="S612" s="926"/>
      <c r="T612" s="926"/>
      <c r="U612" s="926"/>
      <c r="V612" s="926"/>
      <c r="W612" s="926"/>
      <c r="X612" s="926"/>
      <c r="Y612" s="926"/>
      <c r="Z612" s="926"/>
      <c r="AA612" s="926"/>
      <c r="AB612" s="926"/>
      <c r="AC612" s="534"/>
      <c r="AD612" s="534"/>
      <c r="AE612" s="534"/>
      <c r="AF612" s="534"/>
      <c r="AG612" s="534"/>
      <c r="AH612" s="534"/>
      <c r="AI612" s="534"/>
      <c r="AJ612" s="534"/>
      <c r="AK612" s="534"/>
      <c r="AL612" s="534"/>
      <c r="AN612" s="593"/>
      <c r="AO612" s="22" t="s">
        <v>2131</v>
      </c>
    </row>
    <row r="613" spans="1:53" s="547" customFormat="1" ht="12.75" customHeight="1">
      <c r="B613" s="606"/>
      <c r="C613" s="925"/>
      <c r="D613" s="657"/>
      <c r="E613" s="832"/>
      <c r="F613" s="926"/>
      <c r="G613" s="926"/>
      <c r="H613" s="926"/>
      <c r="I613" s="926"/>
      <c r="J613" s="926"/>
      <c r="K613" s="926"/>
      <c r="L613" s="926"/>
      <c r="M613" s="926"/>
      <c r="N613" s="926"/>
      <c r="O613" s="926"/>
      <c r="P613" s="926"/>
      <c r="Q613" s="926"/>
      <c r="R613" s="926"/>
      <c r="S613" s="926"/>
      <c r="T613" s="926"/>
      <c r="U613" s="926"/>
      <c r="V613" s="926"/>
      <c r="W613" s="926"/>
      <c r="X613" s="926"/>
      <c r="Y613" s="926"/>
      <c r="Z613" s="926"/>
      <c r="AA613" s="926"/>
      <c r="AB613" s="926"/>
      <c r="AC613" s="534"/>
      <c r="AD613" s="534"/>
      <c r="AE613" s="534"/>
      <c r="AF613" s="534"/>
      <c r="AG613" s="534"/>
      <c r="AH613" s="534"/>
      <c r="AI613" s="534"/>
      <c r="AJ613" s="534"/>
      <c r="AK613" s="534"/>
      <c r="AL613" s="534"/>
      <c r="AN613" s="593"/>
      <c r="AO613" s="22" t="s">
        <v>2132</v>
      </c>
    </row>
    <row r="614" spans="1:53" s="547" customFormat="1" ht="12.75" customHeight="1">
      <c r="B614" s="606"/>
      <c r="C614" s="925"/>
      <c r="D614" s="657"/>
      <c r="E614" s="534" t="s">
        <v>1836</v>
      </c>
      <c r="O614" s="1418" t="s">
        <v>1181</v>
      </c>
      <c r="P614" s="1418"/>
      <c r="Q614" s="1418"/>
      <c r="R614" s="1418"/>
      <c r="S614" s="1418"/>
      <c r="T614" s="1418"/>
      <c r="U614" s="1418"/>
      <c r="V614" s="1418"/>
      <c r="W614" s="1418"/>
      <c r="X614" s="1418"/>
      <c r="Y614" s="1418"/>
      <c r="Z614" s="1418"/>
      <c r="AA614" s="1418"/>
      <c r="AB614" s="1418"/>
      <c r="AH614" s="534"/>
      <c r="AI614" s="534"/>
      <c r="AJ614" s="534"/>
      <c r="AK614" s="534"/>
      <c r="AL614" s="534"/>
      <c r="AN614" s="593"/>
    </row>
    <row r="615" spans="1:53" s="547" customFormat="1" ht="12.75" customHeight="1">
      <c r="B615" s="606"/>
      <c r="C615" s="925"/>
      <c r="D615" s="657"/>
      <c r="E615" s="832"/>
      <c r="F615" s="926"/>
      <c r="G615" s="926"/>
      <c r="H615" s="926"/>
      <c r="I615" s="926"/>
      <c r="J615" s="926"/>
      <c r="K615" s="926"/>
      <c r="L615" s="926"/>
      <c r="M615" s="926"/>
      <c r="N615" s="926"/>
      <c r="O615" s="926"/>
      <c r="P615" s="926"/>
      <c r="Q615" s="926"/>
      <c r="R615" s="926"/>
      <c r="S615" s="926"/>
      <c r="T615" s="926"/>
      <c r="U615" s="926"/>
      <c r="V615" s="926"/>
      <c r="W615" s="926"/>
      <c r="X615" s="926"/>
      <c r="Y615" s="926"/>
      <c r="Z615" s="926"/>
      <c r="AA615" s="926"/>
      <c r="AB615" s="926"/>
      <c r="AC615" s="534"/>
      <c r="AD615" s="534"/>
      <c r="AE615" s="534"/>
      <c r="AF615" s="534"/>
      <c r="AG615" s="534"/>
      <c r="AH615" s="534"/>
      <c r="AI615" s="534"/>
      <c r="AJ615" s="534"/>
      <c r="AK615" s="534"/>
      <c r="AL615" s="534"/>
      <c r="AN615" s="593"/>
    </row>
    <row r="616" spans="1:53" s="547" customFormat="1" ht="12.75" customHeight="1">
      <c r="B616" s="534"/>
      <c r="C616" s="925"/>
      <c r="D616" s="657" t="s">
        <v>1387</v>
      </c>
      <c r="E616" s="832" t="s">
        <v>1700</v>
      </c>
      <c r="F616" s="926"/>
      <c r="G616" s="926"/>
      <c r="H616" s="926"/>
      <c r="I616" s="926"/>
      <c r="J616" s="926"/>
      <c r="K616" s="926"/>
      <c r="L616" s="926"/>
      <c r="M616" s="926"/>
      <c r="N616" s="926"/>
      <c r="O616" s="926"/>
      <c r="P616" s="926"/>
      <c r="Q616" s="926"/>
      <c r="R616" s="926"/>
      <c r="S616" s="926"/>
      <c r="T616" s="926"/>
      <c r="U616" s="926"/>
      <c r="V616" s="926"/>
      <c r="W616" s="926"/>
      <c r="X616" s="926"/>
      <c r="Y616" s="926"/>
      <c r="Z616" s="926"/>
      <c r="AA616" s="926"/>
      <c r="AB616" s="926"/>
      <c r="AC616" s="534"/>
      <c r="AD616" s="534"/>
      <c r="AE616" s="534"/>
      <c r="AF616" s="1335" t="s">
        <v>1343</v>
      </c>
      <c r="AG616" s="1335"/>
      <c r="AH616" s="1335"/>
      <c r="AI616" s="1335"/>
      <c r="AJ616" s="1335"/>
      <c r="AK616" s="1335"/>
      <c r="AL616" s="1335"/>
      <c r="AN616" s="593"/>
    </row>
    <row r="617" spans="1:53" s="547" customFormat="1" ht="12.75" customHeight="1">
      <c r="B617" s="534"/>
      <c r="C617" s="925"/>
      <c r="D617" s="657"/>
      <c r="E617" s="832" t="s">
        <v>1699</v>
      </c>
      <c r="F617" s="926"/>
      <c r="G617" s="926"/>
      <c r="H617" s="926"/>
      <c r="I617" s="926"/>
      <c r="J617" s="926"/>
      <c r="K617" s="926"/>
      <c r="L617" s="926"/>
      <c r="M617" s="926"/>
      <c r="N617" s="926"/>
      <c r="O617" s="926"/>
      <c r="P617" s="926"/>
      <c r="Q617" s="926"/>
      <c r="R617" s="926"/>
      <c r="S617" s="926"/>
      <c r="T617" s="926"/>
      <c r="U617" s="926"/>
      <c r="V617" s="926"/>
      <c r="W617" s="926"/>
      <c r="X617" s="926"/>
      <c r="Y617" s="926"/>
      <c r="Z617" s="926"/>
      <c r="AA617" s="926"/>
      <c r="AB617" s="926"/>
      <c r="AC617" s="534"/>
      <c r="AD617" s="534"/>
      <c r="AE617" s="590"/>
      <c r="AF617" s="534"/>
      <c r="AG617" s="534"/>
      <c r="AH617" s="534"/>
      <c r="AI617" s="534"/>
      <c r="AJ617" s="534"/>
      <c r="AK617" s="534"/>
      <c r="AL617" s="534"/>
      <c r="AN617" s="593"/>
    </row>
    <row r="618" spans="1:53" s="547" customFormat="1" ht="12.75" customHeight="1">
      <c r="B618" s="534"/>
      <c r="C618" s="927"/>
      <c r="D618" s="534"/>
      <c r="E618" s="612"/>
      <c r="F618" s="930"/>
      <c r="G618" s="930"/>
      <c r="H618" s="930"/>
      <c r="I618" s="930"/>
      <c r="J618" s="930"/>
      <c r="K618" s="930"/>
      <c r="L618" s="930"/>
      <c r="M618" s="930"/>
      <c r="N618" s="930"/>
      <c r="O618" s="930"/>
      <c r="P618" s="930"/>
      <c r="Q618" s="930"/>
      <c r="R618" s="930"/>
      <c r="S618" s="930"/>
      <c r="T618" s="930"/>
      <c r="U618" s="930"/>
      <c r="V618" s="930"/>
      <c r="W618" s="930"/>
      <c r="X618" s="930"/>
      <c r="Y618" s="930"/>
      <c r="Z618" s="930"/>
      <c r="AA618" s="930"/>
      <c r="AB618" s="930"/>
      <c r="AC618" s="534"/>
      <c r="AD618" s="534"/>
      <c r="AE618" s="534"/>
      <c r="AF618" s="534"/>
      <c r="AG618" s="534"/>
      <c r="AH618" s="534"/>
      <c r="AI618" s="534"/>
      <c r="AJ618" s="534"/>
      <c r="AK618" s="534"/>
      <c r="AL618" s="534"/>
      <c r="AN618" s="593"/>
      <c r="AO618" s="547" t="s">
        <v>590</v>
      </c>
      <c r="AP618" s="667">
        <v>0</v>
      </c>
      <c r="AT618" s="547" t="s">
        <v>590</v>
      </c>
      <c r="AU618" s="667">
        <v>0</v>
      </c>
    </row>
    <row r="619" spans="1:53" s="547" customFormat="1" ht="12.75" customHeight="1">
      <c r="B619" s="534"/>
      <c r="C619" s="927"/>
      <c r="D619" s="534" t="s">
        <v>1389</v>
      </c>
      <c r="E619" s="930"/>
      <c r="F619" s="930"/>
      <c r="G619" s="930"/>
      <c r="H619" s="1416" t="s">
        <v>686</v>
      </c>
      <c r="I619" s="1416"/>
      <c r="J619" s="930"/>
      <c r="K619" s="930"/>
      <c r="L619" s="930"/>
      <c r="N619" s="22"/>
      <c r="O619" s="22"/>
      <c r="P619" s="22"/>
      <c r="Q619" s="1140" t="s">
        <v>2127</v>
      </c>
      <c r="R619" s="1419"/>
      <c r="S619" s="1419"/>
      <c r="T619" s="1419"/>
      <c r="U619" s="1419"/>
      <c r="V619" s="1419"/>
      <c r="W619" s="1419"/>
      <c r="X619" s="534"/>
      <c r="Y619" s="534"/>
      <c r="Z619" s="534"/>
      <c r="AA619" s="534"/>
      <c r="AB619" s="534"/>
      <c r="AC619" s="534"/>
      <c r="AD619" s="534"/>
      <c r="AE619" s="534"/>
      <c r="AF619" s="534"/>
      <c r="AG619" s="534"/>
      <c r="AH619" s="534"/>
      <c r="AI619" s="534"/>
      <c r="AJ619" s="534"/>
      <c r="AK619" s="534"/>
      <c r="AL619" s="534"/>
      <c r="AN619" s="593"/>
      <c r="AO619" s="607" t="s">
        <v>686</v>
      </c>
      <c r="AP619" s="547">
        <v>3</v>
      </c>
      <c r="AT619" s="607" t="s">
        <v>686</v>
      </c>
      <c r="AU619" s="547">
        <v>3</v>
      </c>
    </row>
    <row r="620" spans="1:53" s="547" customFormat="1" ht="12.75" customHeight="1">
      <c r="B620" s="534"/>
      <c r="C620" s="927"/>
      <c r="D620" s="534"/>
      <c r="E620" s="930"/>
      <c r="F620" s="930"/>
      <c r="G620" s="930"/>
      <c r="H620" s="930"/>
      <c r="I620" s="930"/>
      <c r="J620" s="930"/>
      <c r="K620" s="930"/>
      <c r="L620" s="930"/>
      <c r="M620" s="930"/>
      <c r="N620" s="534"/>
      <c r="O620" s="534"/>
      <c r="P620" s="534"/>
      <c r="Q620" s="534"/>
      <c r="R620" s="534"/>
      <c r="S620" s="534"/>
      <c r="T620" s="534"/>
      <c r="U620" s="534"/>
      <c r="V620" s="534"/>
      <c r="W620" s="534"/>
      <c r="X620" s="534"/>
      <c r="Y620" s="1420" t="str">
        <f>IF(AND(H619="(i)",NOT(AP595)),AO612,IF(AND(H619="(iv)",OR(R619=AO608,R619=AO607),NOT(AP596)),AO613,""))</f>
        <v/>
      </c>
      <c r="Z620" s="1420"/>
      <c r="AA620" s="1420"/>
      <c r="AB620" s="1420"/>
      <c r="AC620" s="1420"/>
      <c r="AD620" s="1420"/>
      <c r="AE620" s="1420"/>
      <c r="AF620" s="1420"/>
      <c r="AG620" s="1420"/>
      <c r="AH620" s="1420"/>
      <c r="AI620" s="1420"/>
      <c r="AJ620" s="1420"/>
      <c r="AK620" s="1420"/>
      <c r="AL620" s="1420"/>
      <c r="AM620" s="1421"/>
      <c r="AN620" s="593"/>
      <c r="AO620" s="607" t="s">
        <v>508</v>
      </c>
      <c r="AP620" s="547">
        <v>2</v>
      </c>
      <c r="AT620" s="607" t="s">
        <v>508</v>
      </c>
      <c r="AU620" s="547">
        <v>2</v>
      </c>
    </row>
    <row r="621" spans="1:53" s="547" customFormat="1" ht="12.75" customHeight="1">
      <c r="B621" s="534"/>
      <c r="C621" s="927"/>
      <c r="D621" s="534"/>
      <c r="E621" s="930"/>
      <c r="F621" s="930"/>
      <c r="G621" s="930"/>
      <c r="H621" s="930"/>
      <c r="I621" s="930"/>
      <c r="J621" s="930"/>
      <c r="K621" s="930"/>
      <c r="L621" s="930"/>
      <c r="M621" s="930"/>
      <c r="N621" s="534"/>
      <c r="O621" s="534"/>
      <c r="P621" s="534"/>
      <c r="Q621" s="534"/>
      <c r="X621" s="534"/>
      <c r="Y621" s="1420"/>
      <c r="Z621" s="1420"/>
      <c r="AA621" s="1420"/>
      <c r="AB621" s="1420"/>
      <c r="AC621" s="1420"/>
      <c r="AD621" s="1420"/>
      <c r="AE621" s="1420"/>
      <c r="AF621" s="1420"/>
      <c r="AG621" s="1420"/>
      <c r="AH621" s="1420"/>
      <c r="AI621" s="1420"/>
      <c r="AJ621" s="1420"/>
      <c r="AK621" s="1420"/>
      <c r="AL621" s="1420"/>
      <c r="AM621" s="1421"/>
      <c r="AN621" s="593"/>
      <c r="AO621" s="607"/>
      <c r="AT621" s="607"/>
    </row>
    <row r="622" spans="1:53" s="547" customFormat="1" ht="12.75" customHeight="1">
      <c r="B622" s="534"/>
      <c r="C622" s="927"/>
      <c r="D622" s="534" t="s">
        <v>1701</v>
      </c>
      <c r="E622" s="930"/>
      <c r="F622" s="930"/>
      <c r="G622" s="930"/>
      <c r="H622" s="930"/>
      <c r="I622" s="930"/>
      <c r="J622" s="930"/>
      <c r="K622" s="930"/>
      <c r="L622" s="930"/>
      <c r="M622" s="930"/>
      <c r="N622" s="534"/>
      <c r="O622" s="534"/>
      <c r="P622" s="534"/>
      <c r="Q622" s="534"/>
      <c r="R622" s="534"/>
      <c r="S622" s="534"/>
      <c r="T622" s="534"/>
      <c r="U622" s="534"/>
      <c r="V622" s="534"/>
      <c r="W622" s="534"/>
      <c r="X622" s="534"/>
      <c r="Y622" s="534"/>
      <c r="Z622" s="534"/>
      <c r="AA622" s="534"/>
      <c r="AB622" s="534"/>
      <c r="AC622" s="534"/>
      <c r="AD622" s="534"/>
      <c r="AE622" s="534"/>
      <c r="AF622" s="534"/>
      <c r="AG622" s="534"/>
      <c r="AH622" s="534"/>
      <c r="AI622" s="534"/>
      <c r="AJ622" s="534"/>
      <c r="AK622" s="534"/>
      <c r="AL622" s="534"/>
      <c r="AN622" s="593"/>
    </row>
    <row r="623" spans="1:53" s="547" customFormat="1" ht="12.75" customHeight="1">
      <c r="B623" s="534"/>
      <c r="C623" s="927"/>
      <c r="D623" s="534" t="s">
        <v>1702</v>
      </c>
      <c r="E623" s="930"/>
      <c r="F623" s="930"/>
      <c r="G623" s="930"/>
      <c r="H623" s="930"/>
      <c r="I623" s="930"/>
      <c r="J623" s="930"/>
      <c r="K623" s="930"/>
      <c r="L623" s="930"/>
      <c r="M623" s="930"/>
      <c r="N623" s="534"/>
      <c r="O623" s="534"/>
      <c r="P623" s="534"/>
      <c r="Q623" s="534"/>
      <c r="R623" s="534"/>
      <c r="S623" s="534"/>
      <c r="T623" s="534"/>
      <c r="U623" s="534"/>
      <c r="V623" s="534"/>
      <c r="W623" s="534"/>
      <c r="X623" s="534"/>
      <c r="Y623" s="534"/>
      <c r="Z623" s="534"/>
      <c r="AA623" s="534"/>
      <c r="AB623" s="534"/>
      <c r="AC623" s="534"/>
      <c r="AD623" s="534"/>
      <c r="AE623" s="534"/>
      <c r="AF623" s="534"/>
      <c r="AG623" s="534"/>
      <c r="AH623" s="534"/>
      <c r="AI623" s="534"/>
      <c r="AJ623" s="534"/>
      <c r="AK623" s="534"/>
      <c r="AL623" s="534"/>
      <c r="AN623" s="593"/>
    </row>
    <row r="624" spans="1:53" s="547" customFormat="1" ht="12.75" customHeight="1">
      <c r="B624" s="534"/>
      <c r="C624" s="927"/>
      <c r="D624" s="534" t="s">
        <v>1703</v>
      </c>
      <c r="E624" s="930"/>
      <c r="F624" s="930"/>
      <c r="G624" s="930"/>
      <c r="H624" s="930"/>
      <c r="I624" s="930"/>
      <c r="J624" s="930"/>
      <c r="K624" s="930"/>
      <c r="L624" s="930"/>
      <c r="M624" s="930"/>
      <c r="N624" s="534"/>
      <c r="O624" s="534"/>
      <c r="P624" s="534"/>
      <c r="Q624" s="534"/>
      <c r="R624" s="534"/>
      <c r="S624" s="534"/>
      <c r="T624" s="534"/>
      <c r="U624" s="534"/>
      <c r="V624" s="534"/>
      <c r="W624" s="534"/>
      <c r="X624" s="534"/>
      <c r="Y624" s="534"/>
      <c r="Z624" s="534"/>
      <c r="AA624" s="534"/>
      <c r="AB624" s="534"/>
      <c r="AC624" s="534"/>
      <c r="AD624" s="534"/>
      <c r="AE624" s="534"/>
      <c r="AF624" s="534"/>
      <c r="AG624" s="534"/>
      <c r="AH624" s="534"/>
      <c r="AI624" s="534"/>
      <c r="AJ624" s="534"/>
      <c r="AK624" s="534"/>
      <c r="AL624" s="534"/>
      <c r="AN624" s="593"/>
    </row>
    <row r="625" spans="1:42" s="547" customFormat="1" ht="12.75" customHeight="1">
      <c r="B625" s="534"/>
      <c r="C625" s="927"/>
      <c r="D625" s="601" t="s">
        <v>1704</v>
      </c>
      <c r="E625" s="930"/>
      <c r="F625" s="930"/>
      <c r="G625" s="930"/>
      <c r="H625" s="930"/>
      <c r="I625" s="930"/>
      <c r="J625" s="930"/>
      <c r="K625" s="930"/>
      <c r="L625" s="930"/>
      <c r="M625" s="930"/>
      <c r="N625" s="534"/>
      <c r="O625" s="534"/>
      <c r="P625" s="534"/>
      <c r="Q625" s="534"/>
      <c r="R625" s="534"/>
      <c r="S625" s="534"/>
      <c r="T625" s="534"/>
      <c r="U625" s="534"/>
      <c r="V625" s="534"/>
      <c r="W625" s="534"/>
      <c r="X625" s="534"/>
      <c r="Y625" s="534"/>
      <c r="Z625" s="534"/>
      <c r="AA625" s="534"/>
      <c r="AB625" s="534"/>
      <c r="AC625" s="534"/>
      <c r="AD625" s="534"/>
      <c r="AE625" s="534"/>
      <c r="AF625" s="534"/>
      <c r="AG625" s="534"/>
      <c r="AH625" s="534"/>
      <c r="AI625" s="534"/>
      <c r="AJ625" s="534"/>
      <c r="AK625" s="534"/>
      <c r="AL625" s="534"/>
      <c r="AN625" s="593"/>
    </row>
    <row r="626" spans="1:42" s="547" customFormat="1" ht="12.75" customHeight="1">
      <c r="B626" s="534"/>
      <c r="C626" s="927"/>
      <c r="D626" s="534"/>
      <c r="E626" s="534"/>
      <c r="F626" s="534"/>
      <c r="G626" s="534"/>
      <c r="H626" s="534"/>
      <c r="I626" s="534"/>
      <c r="J626" s="534"/>
      <c r="K626" s="534"/>
      <c r="L626" s="534"/>
      <c r="M626" s="534"/>
      <c r="N626" s="534"/>
      <c r="O626" s="534"/>
      <c r="P626" s="534"/>
      <c r="Q626" s="534"/>
      <c r="R626" s="534"/>
      <c r="S626" s="534"/>
      <c r="T626" s="534"/>
      <c r="U626" s="534"/>
      <c r="V626" s="534"/>
      <c r="W626" s="534"/>
      <c r="X626" s="534"/>
      <c r="Y626" s="534"/>
      <c r="Z626" s="534"/>
      <c r="AA626" s="534"/>
      <c r="AB626" s="534"/>
      <c r="AC626" s="534"/>
      <c r="AD626" s="534"/>
      <c r="AE626" s="534"/>
      <c r="AF626" s="534"/>
      <c r="AG626" s="534"/>
      <c r="AH626" s="534"/>
      <c r="AI626" s="534"/>
      <c r="AJ626" s="534"/>
      <c r="AK626" s="534"/>
      <c r="AL626" s="534"/>
      <c r="AN626" s="593"/>
      <c r="AO626" s="547" t="s">
        <v>590</v>
      </c>
      <c r="AP626" s="667">
        <v>0</v>
      </c>
    </row>
    <row r="627" spans="1:42" s="547" customFormat="1" ht="12.75" customHeight="1">
      <c r="B627" s="534"/>
      <c r="C627" s="927"/>
      <c r="D627" s="534"/>
      <c r="E627" s="534" t="s">
        <v>1389</v>
      </c>
      <c r="F627" s="930"/>
      <c r="G627" s="930"/>
      <c r="I627" s="1417" t="s">
        <v>590</v>
      </c>
      <c r="J627" s="1417"/>
      <c r="K627" s="1417"/>
      <c r="L627" s="1417"/>
      <c r="M627" s="1417"/>
      <c r="N627" s="1417"/>
      <c r="O627" s="1417"/>
      <c r="P627" s="1417"/>
      <c r="Q627" s="1417"/>
      <c r="R627" s="1417"/>
      <c r="S627" s="1417"/>
      <c r="T627" s="1417"/>
      <c r="U627" s="1417"/>
      <c r="V627" s="1417"/>
      <c r="W627" s="1417"/>
      <c r="X627" s="1417"/>
      <c r="Y627" s="1417"/>
      <c r="Z627" s="1417"/>
      <c r="AA627" s="1417"/>
      <c r="AB627" s="1417"/>
      <c r="AC627" s="1417"/>
      <c r="AD627" s="1417"/>
      <c r="AE627" s="1417"/>
      <c r="AF627" s="534"/>
      <c r="AG627" s="534"/>
      <c r="AH627" s="534"/>
      <c r="AI627" s="534"/>
      <c r="AJ627" s="534"/>
      <c r="AK627" s="534"/>
      <c r="AL627" s="534"/>
      <c r="AN627" s="593"/>
      <c r="AO627" s="547" t="s">
        <v>1390</v>
      </c>
      <c r="AP627" s="547">
        <v>3</v>
      </c>
    </row>
    <row r="628" spans="1:42" s="547" customFormat="1" ht="12.75" customHeight="1">
      <c r="B628" s="534"/>
      <c r="C628" s="534"/>
      <c r="D628" s="534"/>
      <c r="E628" s="534"/>
      <c r="F628" s="638"/>
      <c r="G628" s="638"/>
      <c r="H628" s="638"/>
      <c r="I628" s="638"/>
      <c r="J628" s="638"/>
      <c r="K628" s="638"/>
      <c r="L628" s="638"/>
      <c r="M628" s="638"/>
      <c r="N628" s="638"/>
      <c r="O628" s="638"/>
      <c r="P628" s="638"/>
      <c r="Q628" s="638"/>
      <c r="R628" s="638"/>
      <c r="S628" s="638"/>
      <c r="T628" s="638"/>
      <c r="U628" s="638"/>
      <c r="V628" s="638"/>
      <c r="W628" s="638"/>
      <c r="X628" s="638"/>
      <c r="Y628" s="638"/>
      <c r="Z628" s="638"/>
      <c r="AA628" s="638"/>
      <c r="AB628" s="638"/>
      <c r="AC628" s="638"/>
      <c r="AD628" s="638"/>
      <c r="AE628" s="638"/>
      <c r="AF628" s="638"/>
      <c r="AG628" s="638"/>
      <c r="AH628" s="638"/>
      <c r="AI628" s="638"/>
      <c r="AJ628" s="638"/>
      <c r="AK628" s="638"/>
      <c r="AL628" s="638"/>
      <c r="AN628" s="593"/>
      <c r="AO628" s="547" t="s">
        <v>1391</v>
      </c>
      <c r="AP628" s="547">
        <v>2</v>
      </c>
    </row>
    <row r="629" spans="1:42" s="547" customFormat="1" ht="12.75" customHeight="1">
      <c r="B629" s="1347" t="s">
        <v>590</v>
      </c>
      <c r="C629" s="1347"/>
      <c r="D629" s="638"/>
      <c r="E629" s="1352" t="s">
        <v>1392</v>
      </c>
      <c r="F629" s="1352"/>
      <c r="G629" s="1352"/>
      <c r="H629" s="1352"/>
      <c r="I629" s="1352"/>
      <c r="J629" s="1352"/>
      <c r="K629" s="1352"/>
      <c r="L629" s="1352"/>
      <c r="M629" s="1352"/>
      <c r="N629" s="1352"/>
      <c r="O629" s="1352"/>
      <c r="P629" s="1352"/>
      <c r="Q629" s="1352"/>
      <c r="R629" s="1352"/>
      <c r="S629" s="1352"/>
      <c r="T629" s="1352"/>
      <c r="U629" s="1352"/>
      <c r="V629" s="1352"/>
      <c r="W629" s="1352"/>
      <c r="X629" s="1352"/>
      <c r="Y629" s="1352"/>
      <c r="Z629" s="1352"/>
      <c r="AA629" s="1352"/>
      <c r="AB629" s="1352"/>
      <c r="AC629" s="1352"/>
      <c r="AD629" s="1352"/>
      <c r="AE629" s="1352"/>
      <c r="AF629" s="1352"/>
      <c r="AG629" s="1352"/>
      <c r="AH629" s="638"/>
      <c r="AI629" s="638"/>
      <c r="AJ629" s="638"/>
      <c r="AK629" s="638"/>
      <c r="AL629" s="638"/>
      <c r="AN629" s="593"/>
    </row>
    <row r="630" spans="1:42" s="547" customFormat="1" ht="12.75" customHeight="1">
      <c r="B630" s="534"/>
      <c r="C630" s="927"/>
      <c r="D630" s="638"/>
      <c r="E630" s="1352"/>
      <c r="F630" s="1352"/>
      <c r="G630" s="1352"/>
      <c r="H630" s="1352"/>
      <c r="I630" s="1352"/>
      <c r="J630" s="1352"/>
      <c r="K630" s="1352"/>
      <c r="L630" s="1352"/>
      <c r="M630" s="1352"/>
      <c r="N630" s="1352"/>
      <c r="O630" s="1352"/>
      <c r="P630" s="1352"/>
      <c r="Q630" s="1352"/>
      <c r="R630" s="1352"/>
      <c r="S630" s="1352"/>
      <c r="T630" s="1352"/>
      <c r="U630" s="1352"/>
      <c r="V630" s="1352"/>
      <c r="W630" s="1352"/>
      <c r="X630" s="1352"/>
      <c r="Y630" s="1352"/>
      <c r="Z630" s="1352"/>
      <c r="AA630" s="1352"/>
      <c r="AB630" s="1352"/>
      <c r="AC630" s="1352"/>
      <c r="AD630" s="1352"/>
      <c r="AE630" s="1352"/>
      <c r="AF630" s="1352"/>
      <c r="AG630" s="1352"/>
      <c r="AH630" s="638"/>
      <c r="AI630" s="638"/>
      <c r="AJ630" s="638"/>
      <c r="AK630" s="638"/>
      <c r="AL630" s="638"/>
      <c r="AN630" s="593"/>
    </row>
    <row r="631" spans="1:42" s="547" customFormat="1" ht="12.75" customHeight="1">
      <c r="B631" s="534"/>
      <c r="C631" s="927"/>
      <c r="D631" s="638"/>
      <c r="E631" s="1352"/>
      <c r="F631" s="1352"/>
      <c r="G631" s="1352"/>
      <c r="H631" s="1352"/>
      <c r="I631" s="1352"/>
      <c r="J631" s="1352"/>
      <c r="K631" s="1352"/>
      <c r="L631" s="1352"/>
      <c r="M631" s="1352"/>
      <c r="N631" s="1352"/>
      <c r="O631" s="1352"/>
      <c r="P631" s="1352"/>
      <c r="Q631" s="1352"/>
      <c r="R631" s="1352"/>
      <c r="S631" s="1352"/>
      <c r="T631" s="1352"/>
      <c r="U631" s="1352"/>
      <c r="V631" s="1352"/>
      <c r="W631" s="1352"/>
      <c r="X631" s="1352"/>
      <c r="Y631" s="1352"/>
      <c r="Z631" s="1352"/>
      <c r="AA631" s="1352"/>
      <c r="AB631" s="1352"/>
      <c r="AC631" s="1352"/>
      <c r="AD631" s="1352"/>
      <c r="AE631" s="1352"/>
      <c r="AF631" s="1352"/>
      <c r="AG631" s="1352"/>
      <c r="AH631" s="638"/>
      <c r="AI631" s="638"/>
      <c r="AJ631" s="638"/>
      <c r="AK631" s="638"/>
      <c r="AL631" s="638"/>
      <c r="AN631" s="593"/>
    </row>
    <row r="632" spans="1:42" s="547" customFormat="1" ht="12.75" customHeight="1">
      <c r="B632" s="534"/>
      <c r="C632" s="927"/>
      <c r="D632" s="638"/>
      <c r="E632" s="1352"/>
      <c r="F632" s="1352"/>
      <c r="G632" s="1352"/>
      <c r="H632" s="1352"/>
      <c r="I632" s="1352"/>
      <c r="J632" s="1352"/>
      <c r="K632" s="1352"/>
      <c r="L632" s="1352"/>
      <c r="M632" s="1352"/>
      <c r="N632" s="1352"/>
      <c r="O632" s="1352"/>
      <c r="P632" s="1352"/>
      <c r="Q632" s="1352"/>
      <c r="R632" s="1352"/>
      <c r="S632" s="1352"/>
      <c r="T632" s="1352"/>
      <c r="U632" s="1352"/>
      <c r="V632" s="1352"/>
      <c r="W632" s="1352"/>
      <c r="X632" s="1352"/>
      <c r="Y632" s="1352"/>
      <c r="Z632" s="1352"/>
      <c r="AA632" s="1352"/>
      <c r="AB632" s="1352"/>
      <c r="AC632" s="1352"/>
      <c r="AD632" s="1352"/>
      <c r="AE632" s="1352"/>
      <c r="AF632" s="1352"/>
      <c r="AG632" s="1352"/>
      <c r="AH632" s="638"/>
      <c r="AI632" s="638"/>
      <c r="AJ632" s="638"/>
      <c r="AK632" s="638"/>
      <c r="AL632" s="638"/>
      <c r="AN632" s="593"/>
    </row>
    <row r="633" spans="1:42" s="547" customFormat="1" ht="12.75" customHeight="1">
      <c r="B633" s="534"/>
      <c r="C633" s="927"/>
      <c r="D633" s="931"/>
      <c r="E633" s="951"/>
      <c r="F633" s="951"/>
      <c r="G633" s="951"/>
      <c r="H633" s="951"/>
      <c r="I633" s="951"/>
      <c r="J633" s="951"/>
      <c r="K633" s="951"/>
      <c r="L633" s="951"/>
      <c r="M633" s="951"/>
      <c r="N633" s="951"/>
      <c r="O633" s="951"/>
      <c r="P633" s="951"/>
      <c r="Q633" s="951"/>
      <c r="R633" s="951"/>
      <c r="S633" s="951"/>
      <c r="T633" s="951"/>
      <c r="U633" s="951"/>
      <c r="V633" s="951"/>
      <c r="W633" s="951"/>
      <c r="X633" s="951"/>
      <c r="Y633" s="951"/>
      <c r="Z633" s="951"/>
      <c r="AA633" s="951"/>
      <c r="AB633" s="951"/>
      <c r="AC633" s="951"/>
      <c r="AD633" s="951"/>
      <c r="AE633" s="951"/>
      <c r="AF633" s="951"/>
      <c r="AG633" s="951"/>
      <c r="AH633" s="931"/>
      <c r="AI633" s="931"/>
      <c r="AJ633" s="931"/>
      <c r="AK633" s="931"/>
      <c r="AL633" s="638"/>
      <c r="AN633" s="593"/>
    </row>
    <row r="634" spans="1:42" s="547" customFormat="1" ht="12.75" customHeight="1">
      <c r="A634" s="602"/>
      <c r="B634" s="597"/>
      <c r="C634" s="932"/>
      <c r="D634" s="597"/>
      <c r="E634" s="933"/>
      <c r="F634" s="933"/>
      <c r="G634" s="933"/>
      <c r="H634" s="933"/>
      <c r="I634" s="933"/>
      <c r="J634" s="933"/>
      <c r="K634" s="933"/>
      <c r="L634" s="933"/>
      <c r="M634" s="933"/>
      <c r="N634" s="933"/>
      <c r="O634" s="933"/>
      <c r="P634" s="933"/>
      <c r="Q634" s="933"/>
      <c r="R634" s="933"/>
      <c r="S634" s="933"/>
      <c r="T634" s="933"/>
      <c r="U634" s="933"/>
      <c r="V634" s="933"/>
      <c r="W634" s="933"/>
      <c r="X634" s="933"/>
      <c r="Y634" s="933"/>
      <c r="Z634" s="933"/>
      <c r="AA634" s="933"/>
      <c r="AB634" s="597"/>
      <c r="AC634" s="597"/>
      <c r="AD634" s="597"/>
      <c r="AE634" s="597"/>
      <c r="AF634" s="597"/>
      <c r="AG634" s="597"/>
      <c r="AH634" s="597"/>
      <c r="AI634" s="561" t="s">
        <v>1393</v>
      </c>
      <c r="AJ634" s="1360">
        <f>VLOOKUP($H$619,$AO$599:$AP$604,2,FALSE)+IF(R619=AO607,0,VLOOKUP($I$627,$AO$626:$AP$628,2,FALSE))</f>
        <v>7</v>
      </c>
      <c r="AK634" s="1362"/>
      <c r="AL634" s="591"/>
      <c r="AM634" s="669"/>
      <c r="AN634" s="593"/>
    </row>
    <row r="635" spans="1:42" s="547" customFormat="1" ht="12.75" customHeight="1">
      <c r="B635" s="534"/>
      <c r="C635" s="927"/>
      <c r="D635" s="534"/>
      <c r="E635" s="930"/>
      <c r="F635" s="930"/>
      <c r="G635" s="930"/>
      <c r="H635" s="930"/>
      <c r="I635" s="930"/>
      <c r="J635" s="930"/>
      <c r="K635" s="930"/>
      <c r="L635" s="930"/>
      <c r="M635" s="930"/>
      <c r="N635" s="930"/>
      <c r="O635" s="930"/>
      <c r="P635" s="930"/>
      <c r="Q635" s="930"/>
      <c r="R635" s="930"/>
      <c r="S635" s="930"/>
      <c r="T635" s="930"/>
      <c r="U635" s="930"/>
      <c r="V635" s="930"/>
      <c r="W635" s="930"/>
      <c r="X635" s="930"/>
      <c r="Y635" s="930"/>
      <c r="Z635" s="930"/>
      <c r="AA635" s="930"/>
      <c r="AB635" s="930"/>
      <c r="AC635" s="534"/>
      <c r="AD635" s="534"/>
      <c r="AE635" s="930"/>
      <c r="AF635" s="930"/>
      <c r="AG635" s="930"/>
      <c r="AH635" s="930"/>
      <c r="AI635" s="930"/>
      <c r="AJ635" s="930"/>
      <c r="AK635" s="930"/>
      <c r="AL635" s="930"/>
      <c r="AM635" s="669"/>
      <c r="AN635" s="593"/>
    </row>
    <row r="636" spans="1:42" s="547" customFormat="1" ht="12.75" customHeight="1">
      <c r="B636" s="534"/>
      <c r="C636" s="537" t="s">
        <v>1394</v>
      </c>
      <c r="D636" s="537"/>
      <c r="E636" s="930"/>
      <c r="F636" s="930"/>
      <c r="G636" s="930"/>
      <c r="H636" s="930"/>
      <c r="I636" s="930"/>
      <c r="J636" s="930"/>
      <c r="K636" s="930"/>
      <c r="L636" s="930"/>
      <c r="M636" s="930"/>
      <c r="N636" s="930"/>
      <c r="O636" s="930"/>
      <c r="P636" s="930"/>
      <c r="Q636" s="930"/>
      <c r="R636" s="930"/>
      <c r="S636" s="930"/>
      <c r="T636" s="930"/>
      <c r="U636" s="930"/>
      <c r="V636" s="930"/>
      <c r="W636" s="930"/>
      <c r="X636" s="930"/>
      <c r="Y636" s="930"/>
      <c r="Z636" s="930"/>
      <c r="AA636" s="930"/>
      <c r="AB636" s="930"/>
      <c r="AC636" s="534"/>
      <c r="AD636" s="534"/>
      <c r="AE636" s="534"/>
      <c r="AF636" s="534"/>
      <c r="AG636" s="534"/>
      <c r="AH636" s="534"/>
      <c r="AI636" s="534"/>
      <c r="AJ636" s="534"/>
      <c r="AK636" s="534"/>
      <c r="AL636" s="534"/>
      <c r="AN636" s="593"/>
    </row>
    <row r="637" spans="1:42" s="547" customFormat="1" ht="12.75" customHeight="1">
      <c r="B637" s="606"/>
      <c r="C637" s="534"/>
      <c r="D637" s="929"/>
      <c r="E637" s="930"/>
      <c r="F637" s="930"/>
      <c r="G637" s="930"/>
      <c r="H637" s="930"/>
      <c r="I637" s="930"/>
      <c r="J637" s="930"/>
      <c r="K637" s="930"/>
      <c r="L637" s="930"/>
      <c r="M637" s="930"/>
      <c r="N637" s="930"/>
      <c r="O637" s="930"/>
      <c r="P637" s="930"/>
      <c r="Q637" s="930"/>
      <c r="R637" s="930"/>
      <c r="S637" s="930"/>
      <c r="T637" s="930"/>
      <c r="U637" s="930"/>
      <c r="V637" s="930"/>
      <c r="W637" s="930"/>
      <c r="X637" s="930"/>
      <c r="Y637" s="930"/>
      <c r="Z637" s="930"/>
      <c r="AA637" s="930"/>
      <c r="AB637" s="930"/>
      <c r="AC637" s="534"/>
      <c r="AD637" s="534"/>
      <c r="AE637" s="534"/>
      <c r="AF637" s="534"/>
      <c r="AG637" s="534"/>
      <c r="AH637" s="534"/>
      <c r="AI637" s="534"/>
      <c r="AJ637" s="534"/>
      <c r="AK637" s="534"/>
      <c r="AL637" s="534"/>
      <c r="AN637" s="593"/>
    </row>
    <row r="638" spans="1:42" s="592" customFormat="1" ht="12.75" customHeight="1">
      <c r="A638" s="547"/>
      <c r="B638" s="534"/>
      <c r="C638" s="534"/>
      <c r="D638" s="657" t="s">
        <v>686</v>
      </c>
      <c r="E638" s="1415" t="s">
        <v>1680</v>
      </c>
      <c r="F638" s="1415"/>
      <c r="G638" s="1415"/>
      <c r="H638" s="1415"/>
      <c r="I638" s="1415"/>
      <c r="J638" s="1415"/>
      <c r="K638" s="1415"/>
      <c r="L638" s="1415"/>
      <c r="M638" s="1415"/>
      <c r="N638" s="1415"/>
      <c r="O638" s="1415"/>
      <c r="P638" s="1415"/>
      <c r="Q638" s="1415"/>
      <c r="R638" s="1415"/>
      <c r="S638" s="1415"/>
      <c r="T638" s="1415"/>
      <c r="U638" s="1415"/>
      <c r="V638" s="1415"/>
      <c r="W638" s="1415"/>
      <c r="X638" s="1415"/>
      <c r="Y638" s="1415"/>
      <c r="Z638" s="1415"/>
      <c r="AA638" s="1415"/>
      <c r="AB638" s="1415"/>
      <c r="AC638" s="1415"/>
      <c r="AD638" s="1415"/>
      <c r="AE638" s="537"/>
      <c r="AF638" s="1335" t="s">
        <v>1343</v>
      </c>
      <c r="AG638" s="1335"/>
      <c r="AH638" s="1335"/>
      <c r="AI638" s="1335"/>
      <c r="AJ638" s="1335"/>
      <c r="AK638" s="1335"/>
      <c r="AL638" s="1335"/>
      <c r="AM638" s="547"/>
      <c r="AN638" s="672"/>
    </row>
    <row r="639" spans="1:42" s="547" customFormat="1" ht="12.75" customHeight="1">
      <c r="A639" s="673"/>
      <c r="B639" s="534"/>
      <c r="C639" s="927"/>
      <c r="D639" s="657"/>
      <c r="E639" s="1415"/>
      <c r="F639" s="1415"/>
      <c r="G639" s="1415"/>
      <c r="H639" s="1415"/>
      <c r="I639" s="1415"/>
      <c r="J639" s="1415"/>
      <c r="K639" s="1415"/>
      <c r="L639" s="1415"/>
      <c r="M639" s="1415"/>
      <c r="N639" s="1415"/>
      <c r="O639" s="1415"/>
      <c r="P639" s="1415"/>
      <c r="Q639" s="1415"/>
      <c r="R639" s="1415"/>
      <c r="S639" s="1415"/>
      <c r="T639" s="1415"/>
      <c r="U639" s="1415"/>
      <c r="V639" s="1415"/>
      <c r="W639" s="1415"/>
      <c r="X639" s="1415"/>
      <c r="Y639" s="1415"/>
      <c r="Z639" s="1415"/>
      <c r="AA639" s="1415"/>
      <c r="AB639" s="1415"/>
      <c r="AC639" s="1415"/>
      <c r="AD639" s="1415"/>
      <c r="AE639" s="534"/>
      <c r="AF639" s="534"/>
      <c r="AG639" s="534"/>
      <c r="AH639" s="534"/>
      <c r="AI639" s="534"/>
      <c r="AJ639" s="534"/>
      <c r="AK639" s="534"/>
      <c r="AL639" s="534"/>
      <c r="AN639" s="593"/>
    </row>
    <row r="640" spans="1:42" s="547" customFormat="1" ht="12.75" customHeight="1">
      <c r="B640" s="534"/>
      <c r="C640" s="925"/>
      <c r="D640" s="657"/>
      <c r="E640" s="1415"/>
      <c r="F640" s="1415"/>
      <c r="G640" s="1415"/>
      <c r="H640" s="1415"/>
      <c r="I640" s="1415"/>
      <c r="J640" s="1415"/>
      <c r="K640" s="1415"/>
      <c r="L640" s="1415"/>
      <c r="M640" s="1415"/>
      <c r="N640" s="1415"/>
      <c r="O640" s="1415"/>
      <c r="P640" s="1415"/>
      <c r="Q640" s="1415"/>
      <c r="R640" s="1415"/>
      <c r="S640" s="1415"/>
      <c r="T640" s="1415"/>
      <c r="U640" s="1415"/>
      <c r="V640" s="1415"/>
      <c r="W640" s="1415"/>
      <c r="X640" s="1415"/>
      <c r="Y640" s="1415"/>
      <c r="Z640" s="1415"/>
      <c r="AA640" s="1415"/>
      <c r="AB640" s="1415"/>
      <c r="AC640" s="1415"/>
      <c r="AD640" s="1415"/>
      <c r="AE640" s="534"/>
      <c r="AF640" s="534"/>
      <c r="AG640" s="534"/>
      <c r="AH640" s="534"/>
      <c r="AI640" s="534"/>
      <c r="AJ640" s="534"/>
      <c r="AK640" s="534"/>
      <c r="AL640" s="534"/>
      <c r="AN640" s="593"/>
    </row>
    <row r="641" spans="1:42" s="547" customFormat="1" ht="12.75" customHeight="1">
      <c r="B641" s="534"/>
      <c r="C641" s="925"/>
      <c r="D641" s="657"/>
      <c r="E641" s="1415"/>
      <c r="F641" s="1415"/>
      <c r="G641" s="1415"/>
      <c r="H641" s="1415"/>
      <c r="I641" s="1415"/>
      <c r="J641" s="1415"/>
      <c r="K641" s="1415"/>
      <c r="L641" s="1415"/>
      <c r="M641" s="1415"/>
      <c r="N641" s="1415"/>
      <c r="O641" s="1415"/>
      <c r="P641" s="1415"/>
      <c r="Q641" s="1415"/>
      <c r="R641" s="1415"/>
      <c r="S641" s="1415"/>
      <c r="T641" s="1415"/>
      <c r="U641" s="1415"/>
      <c r="V641" s="1415"/>
      <c r="W641" s="1415"/>
      <c r="X641" s="1415"/>
      <c r="Y641" s="1415"/>
      <c r="Z641" s="1415"/>
      <c r="AA641" s="1415"/>
      <c r="AB641" s="1415"/>
      <c r="AC641" s="1415"/>
      <c r="AD641" s="1415"/>
      <c r="AE641" s="534"/>
      <c r="AF641" s="534"/>
      <c r="AG641" s="534"/>
      <c r="AH641" s="534"/>
      <c r="AI641" s="534"/>
      <c r="AJ641" s="534"/>
      <c r="AK641" s="534"/>
      <c r="AL641" s="534"/>
      <c r="AN641" s="593"/>
    </row>
    <row r="642" spans="1:42" s="547" customFormat="1" ht="12.75" customHeight="1">
      <c r="B642" s="534"/>
      <c r="C642" s="925"/>
      <c r="D642" s="657"/>
      <c r="E642" s="1415"/>
      <c r="F642" s="1415"/>
      <c r="G642" s="1415"/>
      <c r="H642" s="1415"/>
      <c r="I642" s="1415"/>
      <c r="J642" s="1415"/>
      <c r="K642" s="1415"/>
      <c r="L642" s="1415"/>
      <c r="M642" s="1415"/>
      <c r="N642" s="1415"/>
      <c r="O642" s="1415"/>
      <c r="P642" s="1415"/>
      <c r="Q642" s="1415"/>
      <c r="R642" s="1415"/>
      <c r="S642" s="1415"/>
      <c r="T642" s="1415"/>
      <c r="U642" s="1415"/>
      <c r="V642" s="1415"/>
      <c r="W642" s="1415"/>
      <c r="X642" s="1415"/>
      <c r="Y642" s="1415"/>
      <c r="Z642" s="1415"/>
      <c r="AA642" s="1415"/>
      <c r="AB642" s="1415"/>
      <c r="AC642" s="1415"/>
      <c r="AD642" s="1415"/>
      <c r="AE642" s="534"/>
      <c r="AF642" s="534"/>
      <c r="AG642" s="534"/>
      <c r="AH642" s="534"/>
      <c r="AI642" s="534"/>
      <c r="AJ642" s="534"/>
      <c r="AK642" s="534"/>
      <c r="AL642" s="534"/>
      <c r="AN642" s="593"/>
    </row>
    <row r="643" spans="1:42" s="547" customFormat="1" ht="12.75" customHeight="1">
      <c r="B643" s="534"/>
      <c r="C643" s="925"/>
      <c r="D643" s="657"/>
      <c r="E643" s="1415"/>
      <c r="F643" s="1415"/>
      <c r="G643" s="1415"/>
      <c r="H643" s="1415"/>
      <c r="I643" s="1415"/>
      <c r="J643" s="1415"/>
      <c r="K643" s="1415"/>
      <c r="L643" s="1415"/>
      <c r="M643" s="1415"/>
      <c r="N643" s="1415"/>
      <c r="O643" s="1415"/>
      <c r="P643" s="1415"/>
      <c r="Q643" s="1415"/>
      <c r="R643" s="1415"/>
      <c r="S643" s="1415"/>
      <c r="T643" s="1415"/>
      <c r="U643" s="1415"/>
      <c r="V643" s="1415"/>
      <c r="W643" s="1415"/>
      <c r="X643" s="1415"/>
      <c r="Y643" s="1415"/>
      <c r="Z643" s="1415"/>
      <c r="AA643" s="1415"/>
      <c r="AB643" s="1415"/>
      <c r="AC643" s="1415"/>
      <c r="AD643" s="1415"/>
      <c r="AE643" s="534"/>
      <c r="AF643" s="534"/>
      <c r="AG643" s="534"/>
      <c r="AH643" s="534"/>
      <c r="AI643" s="534"/>
      <c r="AJ643" s="534"/>
      <c r="AK643" s="534"/>
      <c r="AL643" s="534"/>
      <c r="AN643" s="593"/>
    </row>
    <row r="644" spans="1:42" s="547" customFormat="1" ht="12.75" customHeight="1">
      <c r="A644" s="633"/>
      <c r="B644" s="612"/>
      <c r="C644" s="934"/>
      <c r="D644" s="657"/>
      <c r="E644" s="1415"/>
      <c r="F644" s="1415"/>
      <c r="G644" s="1415"/>
      <c r="H644" s="1415"/>
      <c r="I644" s="1415"/>
      <c r="J644" s="1415"/>
      <c r="K644" s="1415"/>
      <c r="L644" s="1415"/>
      <c r="M644" s="1415"/>
      <c r="N644" s="1415"/>
      <c r="O644" s="1415"/>
      <c r="P644" s="1415"/>
      <c r="Q644" s="1415"/>
      <c r="R644" s="1415"/>
      <c r="S644" s="1415"/>
      <c r="T644" s="1415"/>
      <c r="U644" s="1415"/>
      <c r="V644" s="1415"/>
      <c r="W644" s="1415"/>
      <c r="X644" s="1415"/>
      <c r="Y644" s="1415"/>
      <c r="Z644" s="1415"/>
      <c r="AA644" s="1415"/>
      <c r="AB644" s="1415"/>
      <c r="AC644" s="1415"/>
      <c r="AD644" s="1415"/>
      <c r="AE644" s="612"/>
      <c r="AF644" s="612"/>
      <c r="AG644" s="612"/>
      <c r="AH644" s="612"/>
      <c r="AI644" s="612"/>
      <c r="AJ644" s="612"/>
      <c r="AK644" s="534"/>
      <c r="AL644" s="534"/>
      <c r="AN644" s="593"/>
    </row>
    <row r="645" spans="1:42" s="547" customFormat="1" ht="12.75" customHeight="1">
      <c r="B645" s="612"/>
      <c r="C645" s="934"/>
      <c r="D645" s="657"/>
      <c r="E645" s="1415"/>
      <c r="F645" s="1415"/>
      <c r="G645" s="1415"/>
      <c r="H645" s="1415"/>
      <c r="I645" s="1415"/>
      <c r="J645" s="1415"/>
      <c r="K645" s="1415"/>
      <c r="L645" s="1415"/>
      <c r="M645" s="1415"/>
      <c r="N645" s="1415"/>
      <c r="O645" s="1415"/>
      <c r="P645" s="1415"/>
      <c r="Q645" s="1415"/>
      <c r="R645" s="1415"/>
      <c r="S645" s="1415"/>
      <c r="T645" s="1415"/>
      <c r="U645" s="1415"/>
      <c r="V645" s="1415"/>
      <c r="W645" s="1415"/>
      <c r="X645" s="1415"/>
      <c r="Y645" s="1415"/>
      <c r="Z645" s="1415"/>
      <c r="AA645" s="1415"/>
      <c r="AB645" s="1415"/>
      <c r="AC645" s="1415"/>
      <c r="AD645" s="1415"/>
      <c r="AE645" s="612"/>
      <c r="AF645" s="612"/>
      <c r="AG645" s="612"/>
      <c r="AH645" s="612"/>
      <c r="AI645" s="612"/>
      <c r="AJ645" s="612"/>
      <c r="AK645" s="534"/>
      <c r="AL645" s="534"/>
      <c r="AN645" s="593"/>
    </row>
    <row r="646" spans="1:42" s="547" customFormat="1" ht="12" customHeight="1">
      <c r="B646" s="612"/>
      <c r="C646" s="934"/>
      <c r="D646" s="657"/>
      <c r="E646" s="950"/>
      <c r="F646" s="950"/>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612"/>
      <c r="AF646" s="612"/>
      <c r="AG646" s="612"/>
      <c r="AH646" s="612"/>
      <c r="AI646" s="612"/>
      <c r="AJ646" s="612"/>
      <c r="AK646" s="534"/>
      <c r="AL646" s="534"/>
      <c r="AN646" s="593"/>
      <c r="AO646" s="547" t="s">
        <v>590</v>
      </c>
      <c r="AP646" s="667">
        <v>0</v>
      </c>
    </row>
    <row r="647" spans="1:42" s="547" customFormat="1" ht="12.75" customHeight="1">
      <c r="B647" s="612"/>
      <c r="C647" s="925"/>
      <c r="D647" s="657"/>
      <c r="E647" s="612" t="s">
        <v>1395</v>
      </c>
      <c r="F647" s="935"/>
      <c r="G647" s="935"/>
      <c r="H647" s="935"/>
      <c r="I647" s="935"/>
      <c r="J647" s="935"/>
      <c r="K647" s="935"/>
      <c r="L647" s="935"/>
      <c r="M647" s="935"/>
      <c r="N647" s="935"/>
      <c r="O647" s="935"/>
      <c r="P647" s="935"/>
      <c r="Q647" s="935"/>
      <c r="R647" s="935"/>
      <c r="U647" s="935"/>
      <c r="V647" s="935"/>
      <c r="W647" s="935"/>
      <c r="X647" s="1347" t="s">
        <v>590</v>
      </c>
      <c r="Y647" s="1347"/>
      <c r="Z647" s="935"/>
      <c r="AA647" s="935"/>
      <c r="AB647" s="935"/>
      <c r="AC647" s="935"/>
      <c r="AD647" s="935"/>
      <c r="AE647" s="534"/>
      <c r="AF647" s="612"/>
      <c r="AG647" s="612"/>
      <c r="AH647" s="612"/>
      <c r="AI647" s="612"/>
      <c r="AJ647" s="612"/>
      <c r="AK647" s="534"/>
      <c r="AL647" s="534"/>
      <c r="AN647" s="593"/>
      <c r="AO647" s="607" t="s">
        <v>686</v>
      </c>
      <c r="AP647" s="547">
        <v>5</v>
      </c>
    </row>
    <row r="648" spans="1:42" s="547" customFormat="1" ht="12.75" customHeight="1">
      <c r="B648" s="612"/>
      <c r="C648" s="934"/>
      <c r="D648" s="534"/>
      <c r="E648" s="534"/>
      <c r="F648" s="534"/>
      <c r="G648" s="534"/>
      <c r="H648" s="534"/>
      <c r="I648" s="534"/>
      <c r="J648" s="534"/>
      <c r="K648" s="534"/>
      <c r="L648" s="534"/>
      <c r="M648" s="534"/>
      <c r="N648" s="534"/>
      <c r="O648" s="534"/>
      <c r="P648" s="534"/>
      <c r="Q648" s="534"/>
      <c r="R648" s="534"/>
      <c r="S648" s="534"/>
      <c r="T648" s="534"/>
      <c r="U648" s="534"/>
      <c r="V648" s="534"/>
      <c r="W648" s="612"/>
      <c r="X648" s="612"/>
      <c r="Y648" s="612"/>
      <c r="Z648" s="612"/>
      <c r="AA648" s="612"/>
      <c r="AB648" s="612"/>
      <c r="AC648" s="534"/>
      <c r="AD648" s="534"/>
      <c r="AE648" s="534"/>
      <c r="AF648" s="534"/>
      <c r="AG648" s="534"/>
      <c r="AH648" s="534"/>
      <c r="AI648" s="534"/>
      <c r="AJ648" s="534"/>
      <c r="AK648" s="534"/>
      <c r="AL648" s="534"/>
      <c r="AN648" s="593"/>
      <c r="AO648" s="607" t="s">
        <v>508</v>
      </c>
      <c r="AP648" s="674">
        <v>4</v>
      </c>
    </row>
    <row r="649" spans="1:42" s="547" customFormat="1" ht="12.75" customHeight="1">
      <c r="B649" s="534"/>
      <c r="C649" s="925"/>
      <c r="D649" s="657" t="s">
        <v>508</v>
      </c>
      <c r="E649" s="551" t="s">
        <v>1396</v>
      </c>
      <c r="F649" s="936"/>
      <c r="G649" s="936"/>
      <c r="H649" s="936"/>
      <c r="I649" s="936"/>
      <c r="J649" s="936"/>
      <c r="K649" s="936"/>
      <c r="L649" s="936"/>
      <c r="M649" s="936"/>
      <c r="N649" s="936"/>
      <c r="O649" s="936"/>
      <c r="P649" s="936"/>
      <c r="Q649" s="936"/>
      <c r="R649" s="936"/>
      <c r="S649" s="936"/>
      <c r="T649" s="936"/>
      <c r="U649" s="534"/>
      <c r="V649" s="534"/>
      <c r="W649" s="936"/>
      <c r="X649" s="936"/>
      <c r="Y649" s="936"/>
      <c r="Z649" s="936"/>
      <c r="AA649" s="936"/>
      <c r="AB649" s="936"/>
      <c r="AC649" s="534"/>
      <c r="AD649" s="534"/>
      <c r="AE649" s="534"/>
      <c r="AF649" s="1335" t="s">
        <v>1397</v>
      </c>
      <c r="AG649" s="1335"/>
      <c r="AH649" s="1335"/>
      <c r="AI649" s="1335"/>
      <c r="AJ649" s="1335"/>
      <c r="AK649" s="1335"/>
      <c r="AL649" s="1335"/>
      <c r="AN649" s="593"/>
      <c r="AO649" s="607" t="s">
        <v>277</v>
      </c>
      <c r="AP649" s="547">
        <v>3</v>
      </c>
    </row>
    <row r="650" spans="1:42" s="547" customFormat="1" ht="12.75" customHeight="1">
      <c r="B650" s="534"/>
      <c r="C650" s="925"/>
      <c r="D650" s="534"/>
      <c r="E650" s="534"/>
      <c r="F650" s="936"/>
      <c r="G650" s="936"/>
      <c r="H650" s="936"/>
      <c r="I650" s="936"/>
      <c r="J650" s="936"/>
      <c r="K650" s="936"/>
      <c r="L650" s="936"/>
      <c r="M650" s="936"/>
      <c r="N650" s="936"/>
      <c r="O650" s="936"/>
      <c r="P650" s="936"/>
      <c r="Q650" s="936"/>
      <c r="R650" s="936"/>
      <c r="S650" s="936"/>
      <c r="T650" s="936"/>
      <c r="U650" s="534"/>
      <c r="V650" s="534"/>
      <c r="W650" s="534"/>
      <c r="X650" s="936"/>
      <c r="Y650" s="936"/>
      <c r="Z650" s="936"/>
      <c r="AA650" s="936"/>
      <c r="AB650" s="936"/>
      <c r="AC650" s="534"/>
      <c r="AD650" s="534"/>
      <c r="AE650" s="534"/>
      <c r="AF650" s="534"/>
      <c r="AG650" s="534"/>
      <c r="AH650" s="534"/>
      <c r="AI650" s="534"/>
      <c r="AJ650" s="534"/>
      <c r="AK650" s="534"/>
      <c r="AL650" s="534"/>
      <c r="AN650" s="593"/>
      <c r="AO650" s="607" t="s">
        <v>1386</v>
      </c>
      <c r="AP650" s="674">
        <v>4</v>
      </c>
    </row>
    <row r="651" spans="1:42" s="547" customFormat="1" ht="12.75" customHeight="1">
      <c r="B651" s="534"/>
      <c r="C651" s="925"/>
      <c r="D651" s="534" t="s">
        <v>1389</v>
      </c>
      <c r="E651" s="930"/>
      <c r="F651" s="930"/>
      <c r="G651" s="930"/>
      <c r="H651" s="1416" t="s">
        <v>686</v>
      </c>
      <c r="I651" s="1416"/>
      <c r="J651" s="936"/>
      <c r="K651" s="936"/>
      <c r="L651" s="936"/>
      <c r="M651" s="936"/>
      <c r="N651" s="936"/>
      <c r="O651" s="936"/>
      <c r="P651" s="936"/>
      <c r="Q651" s="936"/>
      <c r="R651" s="936"/>
      <c r="S651" s="936"/>
      <c r="T651" s="936"/>
      <c r="U651" s="930"/>
      <c r="V651" s="930"/>
      <c r="W651" s="930"/>
      <c r="X651" s="534"/>
      <c r="Y651" s="534"/>
      <c r="Z651" s="534"/>
      <c r="AA651" s="534"/>
      <c r="AB651" s="534"/>
      <c r="AC651" s="534"/>
      <c r="AD651" s="534"/>
      <c r="AE651" s="534"/>
      <c r="AF651" s="534"/>
      <c r="AG651" s="534"/>
      <c r="AH651" s="534"/>
      <c r="AI651" s="534"/>
      <c r="AJ651" s="534"/>
      <c r="AK651" s="534"/>
      <c r="AL651" s="534"/>
      <c r="AN651" s="593"/>
      <c r="AO651" s="607" t="s">
        <v>1387</v>
      </c>
      <c r="AP651" s="547">
        <v>3</v>
      </c>
    </row>
    <row r="652" spans="1:42" s="547" customFormat="1" ht="12.75" customHeight="1">
      <c r="B652" s="534"/>
      <c r="C652" s="925"/>
      <c r="D652" s="534"/>
      <c r="E652" s="930"/>
      <c r="F652" s="936"/>
      <c r="G652" s="936"/>
      <c r="H652" s="936"/>
      <c r="I652" s="937"/>
      <c r="J652" s="936"/>
      <c r="K652" s="936"/>
      <c r="L652" s="936"/>
      <c r="M652" s="936"/>
      <c r="N652" s="936"/>
      <c r="O652" s="936"/>
      <c r="P652" s="936"/>
      <c r="Q652" s="936"/>
      <c r="R652" s="534"/>
      <c r="S652" s="534"/>
      <c r="T652" s="936"/>
      <c r="U652" s="930"/>
      <c r="V652" s="930"/>
      <c r="W652" s="930"/>
      <c r="X652" s="930"/>
      <c r="Y652" s="930"/>
      <c r="Z652" s="930"/>
      <c r="AA652" s="930"/>
      <c r="AB652" s="930"/>
      <c r="AC652" s="534"/>
      <c r="AD652" s="534"/>
      <c r="AE652" s="534"/>
      <c r="AF652" s="534"/>
      <c r="AG652" s="534"/>
      <c r="AH652" s="534"/>
      <c r="AI652" s="936"/>
      <c r="AJ652" s="936"/>
      <c r="AK652" s="936"/>
      <c r="AL652" s="936"/>
      <c r="AM652" s="675"/>
      <c r="AN652" s="593"/>
      <c r="AO652" s="607" t="s">
        <v>1398</v>
      </c>
      <c r="AP652" s="547">
        <v>2</v>
      </c>
    </row>
    <row r="653" spans="1:42" s="547" customFormat="1" ht="12.75" customHeight="1">
      <c r="A653" s="602"/>
      <c r="B653" s="597"/>
      <c r="C653" s="938"/>
      <c r="D653" s="597"/>
      <c r="E653" s="933"/>
      <c r="F653" s="933"/>
      <c r="G653" s="939"/>
      <c r="H653" s="939"/>
      <c r="I653" s="939"/>
      <c r="J653" s="939"/>
      <c r="K653" s="939"/>
      <c r="L653" s="939"/>
      <c r="M653" s="939"/>
      <c r="N653" s="939"/>
      <c r="O653" s="939"/>
      <c r="P653" s="939"/>
      <c r="Q653" s="939"/>
      <c r="R653" s="939"/>
      <c r="S653" s="939"/>
      <c r="T653" s="933"/>
      <c r="U653" s="933"/>
      <c r="V653" s="933"/>
      <c r="W653" s="933"/>
      <c r="X653" s="933"/>
      <c r="Y653" s="933"/>
      <c r="Z653" s="933"/>
      <c r="AA653" s="933"/>
      <c r="AB653" s="597"/>
      <c r="AC653" s="597"/>
      <c r="AD653" s="597"/>
      <c r="AE653" s="597"/>
      <c r="AF653" s="597"/>
      <c r="AG653" s="597"/>
      <c r="AH653" s="597"/>
      <c r="AI653" s="561" t="s">
        <v>1399</v>
      </c>
      <c r="AJ653" s="1360">
        <f>VLOOKUP($H$651,$AO$618:$AP$620,2,FALSE)</f>
        <v>3</v>
      </c>
      <c r="AK653" s="1362"/>
      <c r="AL653" s="591"/>
      <c r="AN653" s="593"/>
      <c r="AO653" s="607" t="s">
        <v>1400</v>
      </c>
      <c r="AP653" s="547">
        <v>1</v>
      </c>
    </row>
    <row r="654" spans="1:42" s="547" customFormat="1" ht="12.75" customHeight="1">
      <c r="B654" s="534"/>
      <c r="C654" s="925"/>
      <c r="D654" s="534"/>
      <c r="E654" s="930"/>
      <c r="F654" s="930"/>
      <c r="G654" s="930"/>
      <c r="H654" s="534"/>
      <c r="I654" s="534"/>
      <c r="J654" s="936"/>
      <c r="K654" s="936"/>
      <c r="L654" s="936"/>
      <c r="M654" s="936"/>
      <c r="N654" s="936"/>
      <c r="O654" s="936"/>
      <c r="P654" s="936"/>
      <c r="Q654" s="936"/>
      <c r="R654" s="936"/>
      <c r="S654" s="936"/>
      <c r="T654" s="936"/>
      <c r="U654" s="930"/>
      <c r="V654" s="930"/>
      <c r="W654" s="930"/>
      <c r="X654" s="930"/>
      <c r="Y654" s="930"/>
      <c r="Z654" s="930"/>
      <c r="AA654" s="930"/>
      <c r="AB654" s="930"/>
      <c r="AC654" s="534"/>
      <c r="AD654" s="534"/>
      <c r="AE654" s="534"/>
      <c r="AF654" s="534"/>
      <c r="AG654" s="534"/>
      <c r="AH654" s="534"/>
      <c r="AI654" s="534"/>
      <c r="AJ654" s="541"/>
      <c r="AK654" s="534"/>
      <c r="AL654" s="534"/>
      <c r="AN654" s="593"/>
    </row>
    <row r="655" spans="1:42" s="547" customFormat="1" ht="12.75" customHeight="1">
      <c r="B655" s="534"/>
      <c r="C655" s="537" t="s">
        <v>1401</v>
      </c>
      <c r="D655" s="534"/>
      <c r="E655" s="930"/>
      <c r="F655" s="936"/>
      <c r="G655" s="936"/>
      <c r="H655" s="936"/>
      <c r="I655" s="936"/>
      <c r="J655" s="936"/>
      <c r="K655" s="936"/>
      <c r="L655" s="936"/>
      <c r="M655" s="936"/>
      <c r="N655" s="936"/>
      <c r="O655" s="936"/>
      <c r="P655" s="936"/>
      <c r="Q655" s="936"/>
      <c r="R655" s="936"/>
      <c r="S655" s="936"/>
      <c r="T655" s="936"/>
      <c r="U655" s="534"/>
      <c r="V655" s="534"/>
      <c r="W655" s="936"/>
      <c r="X655" s="936"/>
      <c r="Y655" s="936"/>
      <c r="Z655" s="936"/>
      <c r="AA655" s="936"/>
      <c r="AB655" s="936"/>
      <c r="AC655" s="590"/>
      <c r="AD655" s="590"/>
      <c r="AE655" s="590"/>
      <c r="AF655" s="590"/>
      <c r="AG655" s="590"/>
      <c r="AH655" s="590"/>
      <c r="AI655" s="590"/>
      <c r="AJ655" s="534"/>
      <c r="AK655" s="534"/>
      <c r="AL655" s="534"/>
      <c r="AN655" s="593"/>
    </row>
    <row r="656" spans="1:42" s="547" customFormat="1" ht="12.75" customHeight="1">
      <c r="A656" s="633"/>
      <c r="B656" s="534"/>
      <c r="C656" s="927"/>
      <c r="D656" s="534"/>
      <c r="E656" s="936"/>
      <c r="F656" s="936"/>
      <c r="G656" s="936"/>
      <c r="H656" s="936"/>
      <c r="I656" s="936"/>
      <c r="J656" s="936"/>
      <c r="K656" s="936"/>
      <c r="L656" s="936"/>
      <c r="M656" s="936"/>
      <c r="N656" s="936"/>
      <c r="O656" s="936"/>
      <c r="P656" s="936"/>
      <c r="Q656" s="936"/>
      <c r="R656" s="936"/>
      <c r="S656" s="936"/>
      <c r="T656" s="936"/>
      <c r="U656" s="936"/>
      <c r="V656" s="936"/>
      <c r="W656" s="936"/>
      <c r="X656" s="936"/>
      <c r="Y656" s="936"/>
      <c r="Z656" s="936"/>
      <c r="AA656" s="936"/>
      <c r="AB656" s="936"/>
      <c r="AC656" s="534"/>
      <c r="AD656" s="534"/>
      <c r="AE656" s="534"/>
      <c r="AF656" s="534"/>
      <c r="AG656" s="534"/>
      <c r="AH656" s="534"/>
      <c r="AI656" s="534"/>
      <c r="AJ656" s="534"/>
      <c r="AK656" s="534"/>
      <c r="AL656" s="534"/>
      <c r="AN656" s="593"/>
    </row>
    <row r="657" spans="1:42" s="547" customFormat="1" ht="12.75" customHeight="1">
      <c r="B657" s="534"/>
      <c r="C657" s="534"/>
      <c r="D657" s="657" t="s">
        <v>686</v>
      </c>
      <c r="E657" s="1352" t="s">
        <v>2049</v>
      </c>
      <c r="F657" s="1352"/>
      <c r="G657" s="1352"/>
      <c r="H657" s="1352"/>
      <c r="I657" s="1352"/>
      <c r="J657" s="1352"/>
      <c r="K657" s="1352"/>
      <c r="L657" s="1352"/>
      <c r="M657" s="1352"/>
      <c r="N657" s="1352"/>
      <c r="O657" s="1352"/>
      <c r="P657" s="1352"/>
      <c r="Q657" s="1352"/>
      <c r="R657" s="1352"/>
      <c r="S657" s="1352"/>
      <c r="T657" s="1352"/>
      <c r="U657" s="1352"/>
      <c r="V657" s="1352"/>
      <c r="W657" s="1352"/>
      <c r="X657" s="1352"/>
      <c r="Y657" s="1352"/>
      <c r="Z657" s="1352"/>
      <c r="AA657" s="1352"/>
      <c r="AB657" s="1352"/>
      <c r="AC657" s="1352"/>
      <c r="AD657" s="1352"/>
      <c r="AE657" s="534"/>
      <c r="AF657" s="1335" t="s">
        <v>1343</v>
      </c>
      <c r="AG657" s="1335"/>
      <c r="AH657" s="1335"/>
      <c r="AI657" s="1335"/>
      <c r="AJ657" s="1335"/>
      <c r="AK657" s="1335"/>
      <c r="AL657" s="1335"/>
      <c r="AN657" s="593"/>
    </row>
    <row r="658" spans="1:42" s="547" customFormat="1" ht="12.75" customHeight="1">
      <c r="B658" s="534"/>
      <c r="C658" s="534"/>
      <c r="D658" s="657"/>
      <c r="E658" s="1352"/>
      <c r="F658" s="1352"/>
      <c r="G658" s="1352"/>
      <c r="H658" s="1352"/>
      <c r="I658" s="1352"/>
      <c r="J658" s="1352"/>
      <c r="K658" s="1352"/>
      <c r="L658" s="1352"/>
      <c r="M658" s="1352"/>
      <c r="N658" s="1352"/>
      <c r="O658" s="1352"/>
      <c r="P658" s="1352"/>
      <c r="Q658" s="1352"/>
      <c r="R658" s="1352"/>
      <c r="S658" s="1352"/>
      <c r="T658" s="1352"/>
      <c r="U658" s="1352"/>
      <c r="V658" s="1352"/>
      <c r="W658" s="1352"/>
      <c r="X658" s="1352"/>
      <c r="Y658" s="1352"/>
      <c r="Z658" s="1352"/>
      <c r="AA658" s="1352"/>
      <c r="AB658" s="1352"/>
      <c r="AC658" s="1352"/>
      <c r="AD658" s="1352"/>
      <c r="AE658" s="590"/>
      <c r="AF658" s="590"/>
      <c r="AG658" s="590"/>
      <c r="AH658" s="590"/>
      <c r="AI658" s="590"/>
      <c r="AJ658" s="590"/>
      <c r="AK658" s="590"/>
      <c r="AL658" s="590"/>
      <c r="AN658" s="593"/>
    </row>
    <row r="659" spans="1:42" s="547" customFormat="1" ht="12.75" customHeight="1">
      <c r="B659" s="612"/>
      <c r="C659" s="934"/>
      <c r="D659" s="657"/>
      <c r="E659" s="612"/>
      <c r="F659" s="612"/>
      <c r="G659" s="612"/>
      <c r="H659" s="612"/>
      <c r="I659" s="612"/>
      <c r="J659" s="612"/>
      <c r="K659" s="612"/>
      <c r="L659" s="612"/>
      <c r="M659" s="612"/>
      <c r="N659" s="612"/>
      <c r="O659" s="612"/>
      <c r="P659" s="612"/>
      <c r="Q659" s="612"/>
      <c r="R659" s="612"/>
      <c r="S659" s="612"/>
      <c r="T659" s="612"/>
      <c r="U659" s="612"/>
      <c r="V659" s="612"/>
      <c r="W659" s="612"/>
      <c r="X659" s="612"/>
      <c r="Y659" s="612"/>
      <c r="Z659" s="612"/>
      <c r="AA659" s="612"/>
      <c r="AB659" s="612"/>
      <c r="AC659" s="534"/>
      <c r="AD659" s="534"/>
      <c r="AE659" s="612"/>
      <c r="AF659" s="534"/>
      <c r="AG659" s="534"/>
      <c r="AH659" s="534"/>
      <c r="AI659" s="534"/>
      <c r="AJ659" s="534"/>
      <c r="AK659" s="534"/>
      <c r="AL659" s="534"/>
      <c r="AN659" s="593"/>
    </row>
    <row r="660" spans="1:42" s="547" customFormat="1" ht="12.75" customHeight="1">
      <c r="B660" s="534"/>
      <c r="C660" s="925"/>
      <c r="D660" s="657" t="s">
        <v>508</v>
      </c>
      <c r="E660" s="612" t="s">
        <v>1402</v>
      </c>
      <c r="F660" s="612"/>
      <c r="G660" s="612"/>
      <c r="H660" s="612"/>
      <c r="I660" s="612"/>
      <c r="J660" s="612"/>
      <c r="K660" s="612"/>
      <c r="L660" s="612"/>
      <c r="M660" s="612"/>
      <c r="N660" s="612"/>
      <c r="O660" s="612"/>
      <c r="P660" s="612"/>
      <c r="Q660" s="612"/>
      <c r="R660" s="612"/>
      <c r="S660" s="612"/>
      <c r="T660" s="612"/>
      <c r="U660" s="612"/>
      <c r="V660" s="612"/>
      <c r="W660" s="612"/>
      <c r="X660" s="612"/>
      <c r="Y660" s="612"/>
      <c r="Z660" s="612"/>
      <c r="AA660" s="612"/>
      <c r="AB660" s="612"/>
      <c r="AC660" s="534"/>
      <c r="AD660" s="534"/>
      <c r="AE660" s="534"/>
      <c r="AF660" s="1335" t="s">
        <v>1397</v>
      </c>
      <c r="AG660" s="1335"/>
      <c r="AH660" s="1335"/>
      <c r="AI660" s="1335"/>
      <c r="AJ660" s="1335"/>
      <c r="AK660" s="1335"/>
      <c r="AL660" s="1335"/>
      <c r="AN660" s="593"/>
    </row>
    <row r="661" spans="1:42" s="547" customFormat="1" ht="12.75" customHeight="1">
      <c r="B661" s="534"/>
      <c r="C661" s="925"/>
      <c r="D661" s="657"/>
      <c r="E661" s="612" t="s">
        <v>1403</v>
      </c>
      <c r="F661" s="612"/>
      <c r="G661" s="612"/>
      <c r="H661" s="612"/>
      <c r="I661" s="612"/>
      <c r="J661" s="612"/>
      <c r="K661" s="612"/>
      <c r="L661" s="612"/>
      <c r="M661" s="612"/>
      <c r="N661" s="612"/>
      <c r="O661" s="612"/>
      <c r="P661" s="612"/>
      <c r="Q661" s="612"/>
      <c r="R661" s="612"/>
      <c r="S661" s="612"/>
      <c r="T661" s="612"/>
      <c r="U661" s="612"/>
      <c r="V661" s="612"/>
      <c r="W661" s="612"/>
      <c r="X661" s="612"/>
      <c r="Y661" s="612"/>
      <c r="Z661" s="612"/>
      <c r="AA661" s="612"/>
      <c r="AB661" s="612"/>
      <c r="AC661" s="534"/>
      <c r="AD661" s="534"/>
      <c r="AE661" s="590"/>
      <c r="AF661" s="590"/>
      <c r="AG661" s="590"/>
      <c r="AH661" s="590"/>
      <c r="AI661" s="590"/>
      <c r="AJ661" s="590"/>
      <c r="AK661" s="590"/>
      <c r="AL661" s="590"/>
      <c r="AN661" s="593"/>
    </row>
    <row r="662" spans="1:42" s="547" customFormat="1" ht="12.75" customHeight="1">
      <c r="B662" s="534"/>
      <c r="C662" s="925"/>
      <c r="D662" s="534"/>
      <c r="E662" s="612"/>
      <c r="F662" s="612"/>
      <c r="G662" s="612"/>
      <c r="H662" s="612"/>
      <c r="I662" s="612"/>
      <c r="J662" s="612"/>
      <c r="K662" s="612"/>
      <c r="L662" s="612"/>
      <c r="M662" s="612"/>
      <c r="N662" s="612"/>
      <c r="O662" s="612"/>
      <c r="P662" s="612"/>
      <c r="Q662" s="612"/>
      <c r="R662" s="612"/>
      <c r="S662" s="612"/>
      <c r="T662" s="612"/>
      <c r="U662" s="612"/>
      <c r="V662" s="612"/>
      <c r="W662" s="612"/>
      <c r="X662" s="612"/>
      <c r="Y662" s="612"/>
      <c r="Z662" s="612"/>
      <c r="AA662" s="612"/>
      <c r="AB662" s="612"/>
      <c r="AC662" s="534"/>
      <c r="AD662" s="534"/>
      <c r="AE662" s="534"/>
      <c r="AF662" s="534"/>
      <c r="AG662" s="534"/>
      <c r="AH662" s="534"/>
      <c r="AI662" s="534"/>
      <c r="AJ662" s="534"/>
      <c r="AK662" s="534"/>
      <c r="AL662" s="534"/>
      <c r="AN662" s="593"/>
      <c r="AP662" s="674"/>
    </row>
    <row r="663" spans="1:42" s="547" customFormat="1" ht="12.75" customHeight="1">
      <c r="B663" s="534"/>
      <c r="C663" s="925"/>
      <c r="D663" s="534" t="s">
        <v>1389</v>
      </c>
      <c r="E663" s="930"/>
      <c r="F663" s="930"/>
      <c r="G663" s="930"/>
      <c r="H663" s="1416" t="s">
        <v>508</v>
      </c>
      <c r="I663" s="1416"/>
      <c r="J663" s="612"/>
      <c r="K663" s="612"/>
      <c r="L663" s="612"/>
      <c r="M663" s="612"/>
      <c r="N663" s="612"/>
      <c r="O663" s="612"/>
      <c r="P663" s="612"/>
      <c r="Q663" s="612"/>
      <c r="R663" s="612"/>
      <c r="S663" s="612"/>
      <c r="T663" s="612"/>
      <c r="U663" s="612"/>
      <c r="V663" s="612"/>
      <c r="W663" s="534"/>
      <c r="X663" s="534"/>
      <c r="Y663" s="534"/>
      <c r="Z663" s="534"/>
      <c r="AA663" s="534"/>
      <c r="AB663" s="534"/>
      <c r="AC663" s="534"/>
      <c r="AD663" s="534"/>
      <c r="AE663" s="534"/>
      <c r="AF663" s="534"/>
      <c r="AG663" s="534"/>
      <c r="AH663" s="534"/>
      <c r="AI663" s="534"/>
      <c r="AJ663" s="534"/>
      <c r="AK663" s="534"/>
      <c r="AL663" s="534"/>
      <c r="AN663" s="593"/>
    </row>
    <row r="664" spans="1:42" s="547" customFormat="1" ht="12.75" customHeight="1">
      <c r="B664" s="534"/>
      <c r="C664" s="925"/>
      <c r="D664" s="534"/>
      <c r="E664" s="930"/>
      <c r="F664" s="930"/>
      <c r="G664" s="612"/>
      <c r="H664" s="612"/>
      <c r="I664" s="612"/>
      <c r="J664" s="612"/>
      <c r="K664" s="612"/>
      <c r="L664" s="612"/>
      <c r="M664" s="612"/>
      <c r="N664" s="612"/>
      <c r="O664" s="612"/>
      <c r="P664" s="612"/>
      <c r="Q664" s="612"/>
      <c r="R664" s="612"/>
      <c r="S664" s="612"/>
      <c r="T664" s="612"/>
      <c r="U664" s="612"/>
      <c r="V664" s="612"/>
      <c r="W664" s="612"/>
      <c r="X664" s="612"/>
      <c r="Y664" s="612"/>
      <c r="Z664" s="930"/>
      <c r="AA664" s="930"/>
      <c r="AB664" s="930"/>
      <c r="AC664" s="534"/>
      <c r="AD664" s="534"/>
      <c r="AE664" s="534"/>
      <c r="AF664" s="534"/>
      <c r="AG664" s="534"/>
      <c r="AH664" s="534"/>
      <c r="AI664" s="534"/>
      <c r="AJ664" s="612"/>
      <c r="AK664" s="612"/>
      <c r="AL664" s="612"/>
      <c r="AM664" s="548"/>
      <c r="AN664" s="593"/>
    </row>
    <row r="665" spans="1:42" s="547" customFormat="1" ht="12.75" customHeight="1">
      <c r="A665" s="602"/>
      <c r="B665" s="597"/>
      <c r="C665" s="938"/>
      <c r="D665" s="597"/>
      <c r="E665" s="933"/>
      <c r="F665" s="933"/>
      <c r="G665" s="659"/>
      <c r="H665" s="659"/>
      <c r="I665" s="659"/>
      <c r="J665" s="659"/>
      <c r="K665" s="659"/>
      <c r="L665" s="659"/>
      <c r="M665" s="659"/>
      <c r="N665" s="659"/>
      <c r="O665" s="659"/>
      <c r="P665" s="659"/>
      <c r="Q665" s="659"/>
      <c r="R665" s="659"/>
      <c r="S665" s="659"/>
      <c r="T665" s="659"/>
      <c r="U665" s="659"/>
      <c r="V665" s="659"/>
      <c r="W665" s="659"/>
      <c r="X665" s="659"/>
      <c r="Y665" s="933"/>
      <c r="Z665" s="933"/>
      <c r="AA665" s="933"/>
      <c r="AB665" s="597"/>
      <c r="AC665" s="597"/>
      <c r="AD665" s="597"/>
      <c r="AE665" s="597"/>
      <c r="AF665" s="597"/>
      <c r="AG665" s="597"/>
      <c r="AH665" s="597"/>
      <c r="AI665" s="561" t="s">
        <v>1404</v>
      </c>
      <c r="AJ665" s="1360">
        <f>VLOOKUP(H663,AT618:AU620,2,FALSE)</f>
        <v>2</v>
      </c>
      <c r="AK665" s="1362"/>
      <c r="AL665" s="591"/>
      <c r="AN665" s="593"/>
    </row>
    <row r="666" spans="1:42" s="547" customFormat="1" ht="12.75" customHeight="1">
      <c r="B666" s="534"/>
      <c r="C666" s="925"/>
      <c r="D666" s="534"/>
      <c r="E666" s="534"/>
      <c r="F666" s="534"/>
      <c r="G666" s="534"/>
      <c r="H666" s="534"/>
      <c r="I666" s="534"/>
      <c r="J666" s="534"/>
      <c r="K666" s="534"/>
      <c r="L666" s="534"/>
      <c r="M666" s="534"/>
      <c r="N666" s="534"/>
      <c r="O666" s="534"/>
      <c r="P666" s="534"/>
      <c r="Q666" s="534"/>
      <c r="R666" s="534"/>
      <c r="S666" s="534"/>
      <c r="T666" s="534"/>
      <c r="U666" s="534"/>
      <c r="V666" s="534"/>
      <c r="W666" s="534"/>
      <c r="X666" s="534"/>
      <c r="Y666" s="534"/>
      <c r="Z666" s="534"/>
      <c r="AA666" s="534"/>
      <c r="AB666" s="534"/>
      <c r="AC666" s="534"/>
      <c r="AD666" s="534"/>
      <c r="AE666" s="534"/>
      <c r="AF666" s="534"/>
      <c r="AG666" s="534"/>
      <c r="AH666" s="534"/>
      <c r="AI666" s="534"/>
      <c r="AJ666" s="534"/>
      <c r="AK666" s="534"/>
      <c r="AL666" s="534"/>
      <c r="AN666" s="593"/>
    </row>
    <row r="667" spans="1:42" s="547" customFormat="1" ht="12.75" customHeight="1">
      <c r="B667" s="534"/>
      <c r="C667" s="537" t="s">
        <v>1405</v>
      </c>
      <c r="D667" s="534"/>
      <c r="E667" s="534"/>
      <c r="F667" s="534"/>
      <c r="G667" s="534"/>
      <c r="H667" s="534"/>
      <c r="I667" s="534"/>
      <c r="J667" s="534"/>
      <c r="K667" s="534"/>
      <c r="L667" s="534"/>
      <c r="M667" s="534"/>
      <c r="N667" s="534"/>
      <c r="O667" s="534"/>
      <c r="P667" s="534"/>
      <c r="Q667" s="534"/>
      <c r="R667" s="534"/>
      <c r="S667" s="534"/>
      <c r="T667" s="534"/>
      <c r="U667" s="534"/>
      <c r="V667" s="534"/>
      <c r="W667" s="534"/>
      <c r="X667" s="534"/>
      <c r="Y667" s="534"/>
      <c r="Z667" s="534"/>
      <c r="AA667" s="534"/>
      <c r="AB667" s="534"/>
      <c r="AC667" s="534"/>
      <c r="AD667" s="534"/>
      <c r="AE667" s="534"/>
      <c r="AF667" s="534"/>
      <c r="AG667" s="534"/>
      <c r="AH667" s="534"/>
      <c r="AI667" s="534"/>
      <c r="AJ667" s="534"/>
      <c r="AK667" s="534"/>
      <c r="AL667" s="534"/>
      <c r="AN667" s="593"/>
    </row>
    <row r="668" spans="1:42" s="547" customFormat="1" ht="12.75" customHeight="1">
      <c r="B668" s="534"/>
      <c r="C668" s="537"/>
      <c r="D668" s="676" t="s">
        <v>1406</v>
      </c>
      <c r="E668" s="534"/>
      <c r="F668" s="534"/>
      <c r="G668" s="534"/>
      <c r="H668" s="534"/>
      <c r="I668" s="534"/>
      <c r="J668" s="534"/>
      <c r="K668" s="534"/>
      <c r="L668" s="534"/>
      <c r="M668" s="534"/>
      <c r="N668" s="534"/>
      <c r="O668" s="534"/>
      <c r="P668" s="534"/>
      <c r="Q668" s="534"/>
      <c r="R668" s="534"/>
      <c r="S668" s="534"/>
      <c r="T668" s="534"/>
      <c r="U668" s="534"/>
      <c r="V668" s="534"/>
      <c r="W668" s="534"/>
      <c r="X668" s="534"/>
      <c r="Y668" s="534"/>
      <c r="Z668" s="534"/>
      <c r="AA668" s="534"/>
      <c r="AB668" s="534"/>
      <c r="AC668" s="534"/>
      <c r="AD668" s="534"/>
      <c r="AE668" s="534"/>
      <c r="AF668" s="534"/>
      <c r="AG668" s="534"/>
      <c r="AH668" s="534"/>
      <c r="AI668" s="534"/>
      <c r="AJ668" s="534"/>
      <c r="AK668" s="534"/>
      <c r="AL668" s="534"/>
      <c r="AN668" s="593"/>
    </row>
    <row r="669" spans="1:42" s="547" customFormat="1" ht="12.75" customHeight="1">
      <c r="B669" s="534"/>
      <c r="C669" s="537"/>
      <c r="D669" s="534"/>
      <c r="E669" s="534"/>
      <c r="F669" s="534"/>
      <c r="G669" s="534"/>
      <c r="H669" s="534"/>
      <c r="I669" s="534"/>
      <c r="J669" s="534"/>
      <c r="K669" s="534"/>
      <c r="L669" s="534"/>
      <c r="M669" s="534"/>
      <c r="N669" s="534"/>
      <c r="O669" s="534"/>
      <c r="P669" s="534"/>
      <c r="Q669" s="534"/>
      <c r="R669" s="534"/>
      <c r="S669" s="534"/>
      <c r="T669" s="534"/>
      <c r="U669" s="534"/>
      <c r="V669" s="534"/>
      <c r="W669" s="534"/>
      <c r="X669" s="534"/>
      <c r="Y669" s="534"/>
      <c r="Z669" s="534"/>
      <c r="AA669" s="534"/>
      <c r="AB669" s="534"/>
      <c r="AC669" s="534"/>
      <c r="AD669" s="534"/>
      <c r="AE669" s="534"/>
      <c r="AF669" s="534"/>
      <c r="AG669" s="534"/>
      <c r="AH669" s="534"/>
      <c r="AI669" s="534"/>
      <c r="AJ669" s="534"/>
      <c r="AK669" s="534"/>
      <c r="AL669" s="534"/>
      <c r="AN669" s="593"/>
    </row>
    <row r="670" spans="1:42" s="547" customFormat="1" ht="12.75" customHeight="1">
      <c r="B670" s="534"/>
      <c r="C670" s="537"/>
      <c r="D670" s="657" t="s">
        <v>686</v>
      </c>
      <c r="E670" s="1352" t="s">
        <v>1407</v>
      </c>
      <c r="F670" s="1352"/>
      <c r="G670" s="1352"/>
      <c r="H670" s="1352"/>
      <c r="I670" s="1352"/>
      <c r="J670" s="1352"/>
      <c r="K670" s="1352"/>
      <c r="L670" s="1352"/>
      <c r="M670" s="1352"/>
      <c r="N670" s="1352"/>
      <c r="O670" s="1352"/>
      <c r="P670" s="1352"/>
      <c r="Q670" s="1352"/>
      <c r="R670" s="1352"/>
      <c r="S670" s="1352"/>
      <c r="T670" s="1352"/>
      <c r="U670" s="1352"/>
      <c r="V670" s="1352"/>
      <c r="W670" s="1352"/>
      <c r="X670" s="1352"/>
      <c r="Y670" s="1352"/>
      <c r="Z670" s="1352"/>
      <c r="AA670" s="1352"/>
      <c r="AB670" s="1352"/>
      <c r="AC670" s="1352"/>
      <c r="AD670" s="534"/>
      <c r="AE670" s="534"/>
      <c r="AF670" s="1335" t="s">
        <v>1368</v>
      </c>
      <c r="AG670" s="1335"/>
      <c r="AH670" s="1335"/>
      <c r="AI670" s="1335"/>
      <c r="AJ670" s="1335"/>
      <c r="AK670" s="1335"/>
      <c r="AL670" s="1335"/>
      <c r="AN670" s="593"/>
    </row>
    <row r="671" spans="1:42" s="547" customFormat="1" ht="12.75" customHeight="1">
      <c r="B671" s="534"/>
      <c r="C671" s="537"/>
      <c r="D671" s="534"/>
      <c r="E671" s="1352"/>
      <c r="F671" s="1352"/>
      <c r="G671" s="1352"/>
      <c r="H671" s="1352"/>
      <c r="I671" s="1352"/>
      <c r="J671" s="1352"/>
      <c r="K671" s="1352"/>
      <c r="L671" s="1352"/>
      <c r="M671" s="1352"/>
      <c r="N671" s="1352"/>
      <c r="O671" s="1352"/>
      <c r="P671" s="1352"/>
      <c r="Q671" s="1352"/>
      <c r="R671" s="1352"/>
      <c r="S671" s="1352"/>
      <c r="T671" s="1352"/>
      <c r="U671" s="1352"/>
      <c r="V671" s="1352"/>
      <c r="W671" s="1352"/>
      <c r="X671" s="1352"/>
      <c r="Y671" s="1352"/>
      <c r="Z671" s="1352"/>
      <c r="AA671" s="1352"/>
      <c r="AB671" s="1352"/>
      <c r="AC671" s="1352"/>
      <c r="AD671" s="534"/>
      <c r="AE671" s="534"/>
      <c r="AF671" s="534"/>
      <c r="AG671" s="534"/>
      <c r="AH671" s="534"/>
      <c r="AI671" s="534"/>
      <c r="AJ671" s="534"/>
      <c r="AK671" s="534"/>
      <c r="AL671" s="534"/>
      <c r="AN671" s="593"/>
    </row>
    <row r="672" spans="1:42" s="547" customFormat="1" ht="12.75" customHeight="1">
      <c r="B672" s="534"/>
      <c r="C672" s="537"/>
      <c r="D672" s="657"/>
      <c r="E672" s="1352"/>
      <c r="F672" s="1352"/>
      <c r="G672" s="1352"/>
      <c r="H672" s="1352"/>
      <c r="I672" s="1352"/>
      <c r="J672" s="1352"/>
      <c r="K672" s="1352"/>
      <c r="L672" s="1352"/>
      <c r="M672" s="1352"/>
      <c r="N672" s="1352"/>
      <c r="O672" s="1352"/>
      <c r="P672" s="1352"/>
      <c r="Q672" s="1352"/>
      <c r="R672" s="1352"/>
      <c r="S672" s="1352"/>
      <c r="T672" s="1352"/>
      <c r="U672" s="1352"/>
      <c r="V672" s="1352"/>
      <c r="W672" s="1352"/>
      <c r="X672" s="1352"/>
      <c r="Y672" s="1352"/>
      <c r="Z672" s="1352"/>
      <c r="AA672" s="1352"/>
      <c r="AB672" s="1352"/>
      <c r="AC672" s="1352"/>
      <c r="AD672" s="534"/>
      <c r="AE672" s="534"/>
      <c r="AF672" s="534"/>
      <c r="AG672" s="534"/>
      <c r="AH672" s="534"/>
      <c r="AI672" s="534"/>
      <c r="AJ672" s="534"/>
      <c r="AK672" s="534"/>
      <c r="AL672" s="534"/>
      <c r="AN672" s="593"/>
    </row>
    <row r="673" spans="1:42" s="547" customFormat="1" ht="15" customHeight="1">
      <c r="B673" s="534"/>
      <c r="C673" s="537"/>
      <c r="D673" s="534"/>
      <c r="E673" s="940"/>
      <c r="F673" s="940"/>
      <c r="G673" s="940"/>
      <c r="H673" s="940"/>
      <c r="I673" s="940"/>
      <c r="J673" s="940"/>
      <c r="K673" s="940"/>
      <c r="L673" s="940"/>
      <c r="M673" s="940"/>
      <c r="N673" s="940"/>
      <c r="O673" s="940"/>
      <c r="P673" s="940"/>
      <c r="Q673" s="940"/>
      <c r="R673" s="940"/>
      <c r="S673" s="940"/>
      <c r="T673" s="940"/>
      <c r="U673" s="940"/>
      <c r="V673" s="940"/>
      <c r="W673" s="940"/>
      <c r="X673" s="940"/>
      <c r="Y673" s="940"/>
      <c r="Z673" s="940"/>
      <c r="AA673" s="940"/>
      <c r="AB673" s="940"/>
      <c r="AC673" s="534"/>
      <c r="AD673" s="534"/>
      <c r="AE673" s="534"/>
      <c r="AF673" s="534"/>
      <c r="AG673" s="534"/>
      <c r="AH673" s="534"/>
      <c r="AI673" s="534"/>
      <c r="AJ673" s="534"/>
      <c r="AK673" s="534"/>
      <c r="AL673" s="534"/>
      <c r="AN673" s="593"/>
    </row>
    <row r="674" spans="1:42" s="547" customFormat="1" ht="12.75" customHeight="1">
      <c r="B674" s="534"/>
      <c r="C674" s="537"/>
      <c r="D674" s="657" t="s">
        <v>508</v>
      </c>
      <c r="E674" s="1352" t="s">
        <v>1408</v>
      </c>
      <c r="F674" s="1352"/>
      <c r="G674" s="1352"/>
      <c r="H674" s="1352"/>
      <c r="I674" s="1352"/>
      <c r="J674" s="1352"/>
      <c r="K674" s="1352"/>
      <c r="L674" s="1352"/>
      <c r="M674" s="1352"/>
      <c r="N674" s="1352"/>
      <c r="O674" s="1352"/>
      <c r="P674" s="1352"/>
      <c r="Q674" s="1352"/>
      <c r="R674" s="1352"/>
      <c r="S674" s="1352"/>
      <c r="T674" s="1352"/>
      <c r="U674" s="1352"/>
      <c r="V674" s="1352"/>
      <c r="W674" s="1352"/>
      <c r="X674" s="1352"/>
      <c r="Y674" s="1352"/>
      <c r="Z674" s="1352"/>
      <c r="AA674" s="1352"/>
      <c r="AB674" s="1352"/>
      <c r="AC674" s="1352"/>
      <c r="AD674" s="534"/>
      <c r="AE674" s="534"/>
      <c r="AF674" s="1335" t="s">
        <v>1388</v>
      </c>
      <c r="AG674" s="1335"/>
      <c r="AH674" s="1335"/>
      <c r="AI674" s="1335"/>
      <c r="AJ674" s="1335"/>
      <c r="AK674" s="1335"/>
      <c r="AL674" s="1335"/>
      <c r="AN674" s="593"/>
    </row>
    <row r="675" spans="1:42" s="547" customFormat="1" ht="12.75" customHeight="1">
      <c r="B675" s="534"/>
      <c r="C675" s="537"/>
      <c r="D675" s="534"/>
      <c r="E675" s="1352"/>
      <c r="F675" s="1352"/>
      <c r="G675" s="1352"/>
      <c r="H675" s="1352"/>
      <c r="I675" s="1352"/>
      <c r="J675" s="1352"/>
      <c r="K675" s="1352"/>
      <c r="L675" s="1352"/>
      <c r="M675" s="1352"/>
      <c r="N675" s="1352"/>
      <c r="O675" s="1352"/>
      <c r="P675" s="1352"/>
      <c r="Q675" s="1352"/>
      <c r="R675" s="1352"/>
      <c r="S675" s="1352"/>
      <c r="T675" s="1352"/>
      <c r="U675" s="1352"/>
      <c r="V675" s="1352"/>
      <c r="W675" s="1352"/>
      <c r="X675" s="1352"/>
      <c r="Y675" s="1352"/>
      <c r="Z675" s="1352"/>
      <c r="AA675" s="1352"/>
      <c r="AB675" s="1352"/>
      <c r="AC675" s="1352"/>
      <c r="AD675" s="534"/>
      <c r="AE675" s="534"/>
      <c r="AF675" s="534"/>
      <c r="AG675" s="534"/>
      <c r="AH675" s="534"/>
      <c r="AI675" s="534"/>
      <c r="AJ675" s="534"/>
      <c r="AK675" s="534"/>
      <c r="AL675" s="534"/>
      <c r="AN675" s="593"/>
    </row>
    <row r="676" spans="1:42" s="547" customFormat="1" ht="15" customHeight="1">
      <c r="B676" s="534"/>
      <c r="C676" s="537"/>
      <c r="D676" s="657"/>
      <c r="E676" s="1352"/>
      <c r="F676" s="1352"/>
      <c r="G676" s="1352"/>
      <c r="H676" s="1352"/>
      <c r="I676" s="1352"/>
      <c r="J676" s="1352"/>
      <c r="K676" s="1352"/>
      <c r="L676" s="1352"/>
      <c r="M676" s="1352"/>
      <c r="N676" s="1352"/>
      <c r="O676" s="1352"/>
      <c r="P676" s="1352"/>
      <c r="Q676" s="1352"/>
      <c r="R676" s="1352"/>
      <c r="S676" s="1352"/>
      <c r="T676" s="1352"/>
      <c r="U676" s="1352"/>
      <c r="V676" s="1352"/>
      <c r="W676" s="1352"/>
      <c r="X676" s="1352"/>
      <c r="Y676" s="1352"/>
      <c r="Z676" s="1352"/>
      <c r="AA676" s="1352"/>
      <c r="AB676" s="1352"/>
      <c r="AC676" s="1352"/>
      <c r="AD676" s="534"/>
      <c r="AE676" s="534"/>
      <c r="AF676" s="534"/>
      <c r="AG676" s="534"/>
      <c r="AH676" s="534"/>
      <c r="AI676" s="534"/>
      <c r="AJ676" s="534"/>
      <c r="AK676" s="534"/>
      <c r="AL676" s="534"/>
      <c r="AN676" s="593"/>
    </row>
    <row r="677" spans="1:42" s="547" customFormat="1" ht="12.75" customHeight="1">
      <c r="B677" s="534"/>
      <c r="C677" s="537"/>
      <c r="D677" s="534"/>
      <c r="E677" s="940"/>
      <c r="F677" s="940"/>
      <c r="G677" s="940"/>
      <c r="H677" s="940"/>
      <c r="I677" s="940"/>
      <c r="J677" s="940"/>
      <c r="K677" s="940"/>
      <c r="L677" s="940"/>
      <c r="M677" s="940"/>
      <c r="N677" s="940"/>
      <c r="O677" s="940"/>
      <c r="P677" s="940"/>
      <c r="Q677" s="940"/>
      <c r="R677" s="940"/>
      <c r="S677" s="940"/>
      <c r="T677" s="940"/>
      <c r="U677" s="940"/>
      <c r="V677" s="940"/>
      <c r="W677" s="940"/>
      <c r="X677" s="940"/>
      <c r="Y677" s="940"/>
      <c r="Z677" s="940"/>
      <c r="AA677" s="940"/>
      <c r="AB677" s="940"/>
      <c r="AC677" s="534"/>
      <c r="AD677" s="534"/>
      <c r="AE677" s="534"/>
      <c r="AF677" s="534"/>
      <c r="AG677" s="534"/>
      <c r="AH677" s="534"/>
      <c r="AI677" s="534"/>
      <c r="AJ677" s="534"/>
      <c r="AK677" s="534"/>
      <c r="AL677" s="534"/>
      <c r="AN677" s="593"/>
    </row>
    <row r="678" spans="1:42" s="547" customFormat="1" ht="12.75" customHeight="1">
      <c r="B678" s="534"/>
      <c r="C678" s="537"/>
      <c r="D678" s="657" t="s">
        <v>277</v>
      </c>
      <c r="E678" s="1352" t="s">
        <v>1409</v>
      </c>
      <c r="F678" s="1352"/>
      <c r="G678" s="1352"/>
      <c r="H678" s="1352"/>
      <c r="I678" s="1352"/>
      <c r="J678" s="1352"/>
      <c r="K678" s="1352"/>
      <c r="L678" s="1352"/>
      <c r="M678" s="1352"/>
      <c r="N678" s="1352"/>
      <c r="O678" s="1352"/>
      <c r="P678" s="1352"/>
      <c r="Q678" s="1352"/>
      <c r="R678" s="1352"/>
      <c r="S678" s="1352"/>
      <c r="T678" s="1352"/>
      <c r="U678" s="1352"/>
      <c r="V678" s="1352"/>
      <c r="W678" s="1352"/>
      <c r="X678" s="1352"/>
      <c r="Y678" s="1352"/>
      <c r="Z678" s="1352"/>
      <c r="AA678" s="1352"/>
      <c r="AB678" s="1352"/>
      <c r="AC678" s="1352"/>
      <c r="AD678" s="534"/>
      <c r="AE678" s="534"/>
      <c r="AF678" s="1335" t="s">
        <v>1343</v>
      </c>
      <c r="AG678" s="1335"/>
      <c r="AH678" s="1335"/>
      <c r="AI678" s="1335"/>
      <c r="AJ678" s="1335"/>
      <c r="AK678" s="1335"/>
      <c r="AL678" s="1335"/>
      <c r="AN678" s="593"/>
    </row>
    <row r="679" spans="1:42" s="547" customFormat="1" ht="12.75" customHeight="1">
      <c r="B679" s="534"/>
      <c r="C679" s="925"/>
      <c r="D679" s="534"/>
      <c r="E679" s="1352"/>
      <c r="F679" s="1352"/>
      <c r="G679" s="1352"/>
      <c r="H679" s="1352"/>
      <c r="I679" s="1352"/>
      <c r="J679" s="1352"/>
      <c r="K679" s="1352"/>
      <c r="L679" s="1352"/>
      <c r="M679" s="1352"/>
      <c r="N679" s="1352"/>
      <c r="O679" s="1352"/>
      <c r="P679" s="1352"/>
      <c r="Q679" s="1352"/>
      <c r="R679" s="1352"/>
      <c r="S679" s="1352"/>
      <c r="T679" s="1352"/>
      <c r="U679" s="1352"/>
      <c r="V679" s="1352"/>
      <c r="W679" s="1352"/>
      <c r="X679" s="1352"/>
      <c r="Y679" s="1352"/>
      <c r="Z679" s="1352"/>
      <c r="AA679" s="1352"/>
      <c r="AB679" s="1352"/>
      <c r="AC679" s="1352"/>
      <c r="AD679" s="534"/>
      <c r="AE679" s="1335"/>
      <c r="AF679" s="1335"/>
      <c r="AG679" s="1335"/>
      <c r="AH679" s="1335"/>
      <c r="AI679" s="1335"/>
      <c r="AJ679" s="1335"/>
      <c r="AK679" s="1335"/>
      <c r="AL679" s="590"/>
      <c r="AN679" s="593"/>
      <c r="AO679" s="547" t="s">
        <v>590</v>
      </c>
      <c r="AP679" s="667">
        <v>0</v>
      </c>
    </row>
    <row r="680" spans="1:42" s="547" customFormat="1" ht="12.75" customHeight="1">
      <c r="A680" s="673"/>
      <c r="B680" s="534"/>
      <c r="C680" s="534"/>
      <c r="D680" s="657"/>
      <c r="E680" s="1352"/>
      <c r="F680" s="1352"/>
      <c r="G680" s="1352"/>
      <c r="H680" s="1352"/>
      <c r="I680" s="1352"/>
      <c r="J680" s="1352"/>
      <c r="K680" s="1352"/>
      <c r="L680" s="1352"/>
      <c r="M680" s="1352"/>
      <c r="N680" s="1352"/>
      <c r="O680" s="1352"/>
      <c r="P680" s="1352"/>
      <c r="Q680" s="1352"/>
      <c r="R680" s="1352"/>
      <c r="S680" s="1352"/>
      <c r="T680" s="1352"/>
      <c r="U680" s="1352"/>
      <c r="V680" s="1352"/>
      <c r="W680" s="1352"/>
      <c r="X680" s="1352"/>
      <c r="Y680" s="1352"/>
      <c r="Z680" s="1352"/>
      <c r="AA680" s="1352"/>
      <c r="AB680" s="1352"/>
      <c r="AC680" s="1352"/>
      <c r="AD680" s="534"/>
      <c r="AE680" s="534"/>
      <c r="AF680" s="534"/>
      <c r="AG680" s="534"/>
      <c r="AH680" s="534"/>
      <c r="AI680" s="534"/>
      <c r="AJ680" s="534"/>
      <c r="AK680" s="534"/>
      <c r="AL680" s="534"/>
      <c r="AN680" s="593"/>
      <c r="AO680" s="607" t="s">
        <v>686</v>
      </c>
      <c r="AP680" s="547">
        <v>3</v>
      </c>
    </row>
    <row r="681" spans="1:42" s="547" customFormat="1" ht="12.75" customHeight="1">
      <c r="B681" s="534"/>
      <c r="C681" s="925"/>
      <c r="D681" s="657"/>
      <c r="E681" s="571"/>
      <c r="F681" s="571"/>
      <c r="G681" s="571"/>
      <c r="H681" s="571"/>
      <c r="I681" s="571"/>
      <c r="J681" s="571"/>
      <c r="K681" s="571"/>
      <c r="L681" s="571"/>
      <c r="M681" s="571"/>
      <c r="N681" s="571"/>
      <c r="O681" s="571"/>
      <c r="P681" s="571"/>
      <c r="Q681" s="571"/>
      <c r="R681" s="571"/>
      <c r="S681" s="571"/>
      <c r="T681" s="571"/>
      <c r="U681" s="571"/>
      <c r="V681" s="571"/>
      <c r="W681" s="571"/>
      <c r="X681" s="571"/>
      <c r="Y681" s="571"/>
      <c r="Z681" s="571"/>
      <c r="AA681" s="571"/>
      <c r="AB681" s="571"/>
      <c r="AC681" s="534"/>
      <c r="AD681" s="534"/>
      <c r="AE681" s="534"/>
      <c r="AF681" s="534"/>
      <c r="AG681" s="534"/>
      <c r="AH681" s="534"/>
      <c r="AI681" s="534"/>
      <c r="AJ681" s="534"/>
      <c r="AK681" s="534"/>
      <c r="AL681" s="534"/>
      <c r="AN681" s="593"/>
      <c r="AO681" s="607" t="s">
        <v>508</v>
      </c>
      <c r="AP681" s="547">
        <v>2</v>
      </c>
    </row>
    <row r="682" spans="1:42" s="547" customFormat="1" ht="12.75" customHeight="1">
      <c r="A682" s="664"/>
      <c r="B682" s="534"/>
      <c r="C682" s="941"/>
      <c r="D682" s="657" t="s">
        <v>1386</v>
      </c>
      <c r="E682" s="1352" t="s">
        <v>1410</v>
      </c>
      <c r="F682" s="1352"/>
      <c r="G682" s="1352"/>
      <c r="H682" s="1352"/>
      <c r="I682" s="1352"/>
      <c r="J682" s="1352"/>
      <c r="K682" s="1352"/>
      <c r="L682" s="1352"/>
      <c r="M682" s="1352"/>
      <c r="N682" s="1352"/>
      <c r="O682" s="1352"/>
      <c r="P682" s="1352"/>
      <c r="Q682" s="1352"/>
      <c r="R682" s="1352"/>
      <c r="S682" s="1352"/>
      <c r="T682" s="1352"/>
      <c r="U682" s="1352"/>
      <c r="V682" s="1352"/>
      <c r="W682" s="1352"/>
      <c r="X682" s="1352"/>
      <c r="Y682" s="1352"/>
      <c r="Z682" s="1352"/>
      <c r="AA682" s="1352"/>
      <c r="AB682" s="1352"/>
      <c r="AC682" s="1352"/>
      <c r="AD682" s="534"/>
      <c r="AE682" s="534"/>
      <c r="AF682" s="1335" t="s">
        <v>1388</v>
      </c>
      <c r="AG682" s="1335"/>
      <c r="AH682" s="1335"/>
      <c r="AI682" s="1335"/>
      <c r="AJ682" s="1335"/>
      <c r="AK682" s="1335"/>
      <c r="AL682" s="1335"/>
      <c r="AN682" s="593"/>
    </row>
    <row r="683" spans="1:42" s="547" customFormat="1" ht="12.75" customHeight="1">
      <c r="A683" s="664"/>
      <c r="B683" s="534"/>
      <c r="C683" s="941"/>
      <c r="D683" s="657"/>
      <c r="E683" s="1352"/>
      <c r="F683" s="1352"/>
      <c r="G683" s="1352"/>
      <c r="H683" s="1352"/>
      <c r="I683" s="1352"/>
      <c r="J683" s="1352"/>
      <c r="K683" s="1352"/>
      <c r="L683" s="1352"/>
      <c r="M683" s="1352"/>
      <c r="N683" s="1352"/>
      <c r="O683" s="1352"/>
      <c r="P683" s="1352"/>
      <c r="Q683" s="1352"/>
      <c r="R683" s="1352"/>
      <c r="S683" s="1352"/>
      <c r="T683" s="1352"/>
      <c r="U683" s="1352"/>
      <c r="V683" s="1352"/>
      <c r="W683" s="1352"/>
      <c r="X683" s="1352"/>
      <c r="Y683" s="1352"/>
      <c r="Z683" s="1352"/>
      <c r="AA683" s="1352"/>
      <c r="AB683" s="1352"/>
      <c r="AC683" s="1352"/>
      <c r="AD683" s="534"/>
      <c r="AE683" s="590"/>
      <c r="AF683" s="590"/>
      <c r="AG683" s="590"/>
      <c r="AH683" s="590"/>
      <c r="AI683" s="590"/>
      <c r="AJ683" s="590"/>
      <c r="AK683" s="590"/>
      <c r="AL683" s="590"/>
      <c r="AM683" s="592"/>
      <c r="AN683" s="593"/>
    </row>
    <row r="684" spans="1:42" s="547" customFormat="1" ht="12.75" customHeight="1">
      <c r="A684" s="664"/>
      <c r="B684" s="534"/>
      <c r="C684" s="941"/>
      <c r="D684" s="657"/>
      <c r="E684" s="1352"/>
      <c r="F684" s="1352"/>
      <c r="G684" s="1352"/>
      <c r="H684" s="1352"/>
      <c r="I684" s="1352"/>
      <c r="J684" s="1352"/>
      <c r="K684" s="1352"/>
      <c r="L684" s="1352"/>
      <c r="M684" s="1352"/>
      <c r="N684" s="1352"/>
      <c r="O684" s="1352"/>
      <c r="P684" s="1352"/>
      <c r="Q684" s="1352"/>
      <c r="R684" s="1352"/>
      <c r="S684" s="1352"/>
      <c r="T684" s="1352"/>
      <c r="U684" s="1352"/>
      <c r="V684" s="1352"/>
      <c r="W684" s="1352"/>
      <c r="X684" s="1352"/>
      <c r="Y684" s="1352"/>
      <c r="Z684" s="1352"/>
      <c r="AA684" s="1352"/>
      <c r="AB684" s="1352"/>
      <c r="AC684" s="1352"/>
      <c r="AD684" s="534"/>
      <c r="AE684" s="590"/>
      <c r="AF684" s="590"/>
      <c r="AG684" s="590"/>
      <c r="AH684" s="590"/>
      <c r="AI684" s="590"/>
      <c r="AJ684" s="590"/>
      <c r="AK684" s="590"/>
      <c r="AL684" s="590"/>
      <c r="AM684" s="592"/>
      <c r="AN684" s="593"/>
    </row>
    <row r="685" spans="1:42" s="547" customFormat="1" ht="12.75" customHeight="1">
      <c r="B685" s="534"/>
      <c r="C685" s="925"/>
      <c r="D685" s="657"/>
      <c r="E685" s="638"/>
      <c r="F685" s="638"/>
      <c r="G685" s="638"/>
      <c r="H685" s="638"/>
      <c r="I685" s="638"/>
      <c r="J685" s="638"/>
      <c r="K685" s="638"/>
      <c r="L685" s="638"/>
      <c r="M685" s="638"/>
      <c r="N685" s="638"/>
      <c r="O685" s="638"/>
      <c r="P685" s="638"/>
      <c r="Q685" s="638"/>
      <c r="R685" s="638"/>
      <c r="S685" s="638"/>
      <c r="T685" s="638"/>
      <c r="U685" s="638"/>
      <c r="V685" s="638"/>
      <c r="W685" s="638"/>
      <c r="X685" s="638"/>
      <c r="Y685" s="638"/>
      <c r="Z685" s="638"/>
      <c r="AA685" s="638"/>
      <c r="AB685" s="638"/>
      <c r="AC685" s="537"/>
      <c r="AD685" s="537"/>
      <c r="AE685" s="534"/>
      <c r="AF685" s="534"/>
      <c r="AG685" s="534"/>
      <c r="AH685" s="534"/>
      <c r="AI685" s="534"/>
      <c r="AJ685" s="534"/>
      <c r="AK685" s="534"/>
      <c r="AL685" s="590"/>
      <c r="AM685" s="592"/>
      <c r="AN685" s="593"/>
    </row>
    <row r="686" spans="1:42" s="547" customFormat="1" ht="12.75" customHeight="1">
      <c r="B686" s="534"/>
      <c r="C686" s="925"/>
      <c r="D686" s="657" t="s">
        <v>1387</v>
      </c>
      <c r="E686" s="1352" t="s">
        <v>1411</v>
      </c>
      <c r="F686" s="1352"/>
      <c r="G686" s="1352"/>
      <c r="H686" s="1352"/>
      <c r="I686" s="1352"/>
      <c r="J686" s="1352"/>
      <c r="K686" s="1352"/>
      <c r="L686" s="1352"/>
      <c r="M686" s="1352"/>
      <c r="N686" s="1352"/>
      <c r="O686" s="1352"/>
      <c r="P686" s="1352"/>
      <c r="Q686" s="1352"/>
      <c r="R686" s="1352"/>
      <c r="S686" s="1352"/>
      <c r="T686" s="1352"/>
      <c r="U686" s="1352"/>
      <c r="V686" s="1352"/>
      <c r="W686" s="1352"/>
      <c r="X686" s="1352"/>
      <c r="Y686" s="1352"/>
      <c r="Z686" s="1352"/>
      <c r="AA686" s="1352"/>
      <c r="AB686" s="1352"/>
      <c r="AC686" s="1352"/>
      <c r="AD686" s="534"/>
      <c r="AE686" s="534"/>
      <c r="AF686" s="1335" t="s">
        <v>1343</v>
      </c>
      <c r="AG686" s="1335"/>
      <c r="AH686" s="1335"/>
      <c r="AI686" s="1335"/>
      <c r="AJ686" s="1335"/>
      <c r="AK686" s="1335"/>
      <c r="AL686" s="1335"/>
      <c r="AM686" s="592"/>
      <c r="AN686" s="593"/>
    </row>
    <row r="687" spans="1:42" s="547" customFormat="1" ht="12.75" customHeight="1">
      <c r="B687" s="534"/>
      <c r="C687" s="925"/>
      <c r="D687" s="657"/>
      <c r="E687" s="1352"/>
      <c r="F687" s="1352"/>
      <c r="G687" s="1352"/>
      <c r="H687" s="1352"/>
      <c r="I687" s="1352"/>
      <c r="J687" s="1352"/>
      <c r="K687" s="1352"/>
      <c r="L687" s="1352"/>
      <c r="M687" s="1352"/>
      <c r="N687" s="1352"/>
      <c r="O687" s="1352"/>
      <c r="P687" s="1352"/>
      <c r="Q687" s="1352"/>
      <c r="R687" s="1352"/>
      <c r="S687" s="1352"/>
      <c r="T687" s="1352"/>
      <c r="U687" s="1352"/>
      <c r="V687" s="1352"/>
      <c r="W687" s="1352"/>
      <c r="X687" s="1352"/>
      <c r="Y687" s="1352"/>
      <c r="Z687" s="1352"/>
      <c r="AA687" s="1352"/>
      <c r="AB687" s="1352"/>
      <c r="AC687" s="1352"/>
      <c r="AD687" s="534"/>
      <c r="AE687" s="534"/>
      <c r="AF687" s="534"/>
      <c r="AG687" s="534"/>
      <c r="AH687" s="534"/>
      <c r="AI687" s="534"/>
      <c r="AJ687" s="534"/>
      <c r="AK687" s="534"/>
      <c r="AL687" s="534"/>
      <c r="AM687" s="592"/>
      <c r="AN687" s="593"/>
    </row>
    <row r="688" spans="1:42" s="547" customFormat="1" ht="12.75" customHeight="1">
      <c r="B688" s="534"/>
      <c r="C688" s="925"/>
      <c r="D688" s="657"/>
      <c r="E688" s="1352"/>
      <c r="F688" s="1352"/>
      <c r="G688" s="1352"/>
      <c r="H688" s="1352"/>
      <c r="I688" s="1352"/>
      <c r="J688" s="1352"/>
      <c r="K688" s="1352"/>
      <c r="L688" s="1352"/>
      <c r="M688" s="1352"/>
      <c r="N688" s="1352"/>
      <c r="O688" s="1352"/>
      <c r="P688" s="1352"/>
      <c r="Q688" s="1352"/>
      <c r="R688" s="1352"/>
      <c r="S688" s="1352"/>
      <c r="T688" s="1352"/>
      <c r="U688" s="1352"/>
      <c r="V688" s="1352"/>
      <c r="W688" s="1352"/>
      <c r="X688" s="1352"/>
      <c r="Y688" s="1352"/>
      <c r="Z688" s="1352"/>
      <c r="AA688" s="1352"/>
      <c r="AB688" s="1352"/>
      <c r="AC688" s="1352"/>
      <c r="AD688" s="534"/>
      <c r="AE688" s="534"/>
      <c r="AF688" s="534"/>
      <c r="AG688" s="534"/>
      <c r="AH688" s="534"/>
      <c r="AI688" s="534"/>
      <c r="AJ688" s="534"/>
      <c r="AK688" s="534"/>
      <c r="AL688" s="534"/>
      <c r="AM688" s="592"/>
      <c r="AN688" s="593"/>
    </row>
    <row r="689" spans="1:50" s="547" customFormat="1" ht="12.75" customHeight="1">
      <c r="B689" s="534"/>
      <c r="C689" s="925"/>
      <c r="D689" s="657"/>
      <c r="E689" s="534"/>
      <c r="F689" s="534"/>
      <c r="G689" s="534"/>
      <c r="H689" s="534"/>
      <c r="I689" s="534"/>
      <c r="J689" s="534"/>
      <c r="K689" s="534"/>
      <c r="L689" s="534"/>
      <c r="M689" s="534"/>
      <c r="N689" s="534"/>
      <c r="O689" s="534"/>
      <c r="P689" s="534"/>
      <c r="Q689" s="534"/>
      <c r="R689" s="534"/>
      <c r="S689" s="534"/>
      <c r="T689" s="534"/>
      <c r="U689" s="534"/>
      <c r="V689" s="534"/>
      <c r="W689" s="534"/>
      <c r="X689" s="534"/>
      <c r="Y689" s="534"/>
      <c r="Z689" s="534"/>
      <c r="AA689" s="534"/>
      <c r="AB689" s="534"/>
      <c r="AC689" s="534"/>
      <c r="AD689" s="534"/>
      <c r="AE689" s="534"/>
      <c r="AF689" s="534"/>
      <c r="AG689" s="534"/>
      <c r="AH689" s="534"/>
      <c r="AI689" s="534"/>
      <c r="AJ689" s="534"/>
      <c r="AK689" s="534"/>
      <c r="AL689" s="534"/>
      <c r="AM689" s="592"/>
      <c r="AN689" s="593"/>
    </row>
    <row r="690" spans="1:50" s="547" customFormat="1" ht="12.75" customHeight="1">
      <c r="A690" s="673"/>
      <c r="B690" s="534"/>
      <c r="C690" s="925"/>
      <c r="D690" s="657" t="s">
        <v>1398</v>
      </c>
      <c r="E690" s="1352" t="s">
        <v>1412</v>
      </c>
      <c r="F690" s="1352"/>
      <c r="G690" s="1352"/>
      <c r="H690" s="1352"/>
      <c r="I690" s="1352"/>
      <c r="J690" s="1352"/>
      <c r="K690" s="1352"/>
      <c r="L690" s="1352"/>
      <c r="M690" s="1352"/>
      <c r="N690" s="1352"/>
      <c r="O690" s="1352"/>
      <c r="P690" s="1352"/>
      <c r="Q690" s="1352"/>
      <c r="R690" s="1352"/>
      <c r="S690" s="1352"/>
      <c r="T690" s="1352"/>
      <c r="U690" s="1352"/>
      <c r="V690" s="1352"/>
      <c r="W690" s="1352"/>
      <c r="X690" s="1352"/>
      <c r="Y690" s="1352"/>
      <c r="Z690" s="1352"/>
      <c r="AA690" s="1352"/>
      <c r="AB690" s="1352"/>
      <c r="AC690" s="1352"/>
      <c r="AD690" s="534"/>
      <c r="AE690" s="534"/>
      <c r="AF690" s="1335" t="s">
        <v>1397</v>
      </c>
      <c r="AG690" s="1335"/>
      <c r="AH690" s="1335"/>
      <c r="AI690" s="1335"/>
      <c r="AJ690" s="1335"/>
      <c r="AK690" s="1335"/>
      <c r="AL690" s="1335"/>
      <c r="AM690" s="592"/>
      <c r="AN690" s="593"/>
    </row>
    <row r="691" spans="1:50" s="547" customFormat="1" ht="12.75" customHeight="1">
      <c r="A691" s="673"/>
      <c r="B691" s="534"/>
      <c r="C691" s="925"/>
      <c r="D691" s="657"/>
      <c r="E691" s="1352"/>
      <c r="F691" s="1352"/>
      <c r="G691" s="1352"/>
      <c r="H691" s="1352"/>
      <c r="I691" s="1352"/>
      <c r="J691" s="1352"/>
      <c r="K691" s="1352"/>
      <c r="L691" s="1352"/>
      <c r="M691" s="1352"/>
      <c r="N691" s="1352"/>
      <c r="O691" s="1352"/>
      <c r="P691" s="1352"/>
      <c r="Q691" s="1352"/>
      <c r="R691" s="1352"/>
      <c r="S691" s="1352"/>
      <c r="T691" s="1352"/>
      <c r="U691" s="1352"/>
      <c r="V691" s="1352"/>
      <c r="W691" s="1352"/>
      <c r="X691" s="1352"/>
      <c r="Y691" s="1352"/>
      <c r="Z691" s="1352"/>
      <c r="AA691" s="1352"/>
      <c r="AB691" s="1352"/>
      <c r="AC691" s="1352"/>
      <c r="AD691" s="534"/>
      <c r="AE691" s="534"/>
      <c r="AF691" s="590"/>
      <c r="AG691" s="590"/>
      <c r="AH691" s="590"/>
      <c r="AI691" s="590"/>
      <c r="AJ691" s="590"/>
      <c r="AK691" s="590"/>
      <c r="AL691" s="590"/>
      <c r="AM691" s="592"/>
      <c r="AN691" s="593"/>
    </row>
    <row r="692" spans="1:50" s="547" customFormat="1" ht="12.75" customHeight="1">
      <c r="A692" s="673"/>
      <c r="B692" s="534"/>
      <c r="C692" s="925"/>
      <c r="D692" s="657"/>
      <c r="E692" s="1352"/>
      <c r="F692" s="1352"/>
      <c r="G692" s="1352"/>
      <c r="H692" s="1352"/>
      <c r="I692" s="1352"/>
      <c r="J692" s="1352"/>
      <c r="K692" s="1352"/>
      <c r="L692" s="1352"/>
      <c r="M692" s="1352"/>
      <c r="N692" s="1352"/>
      <c r="O692" s="1352"/>
      <c r="P692" s="1352"/>
      <c r="Q692" s="1352"/>
      <c r="R692" s="1352"/>
      <c r="S692" s="1352"/>
      <c r="T692" s="1352"/>
      <c r="U692" s="1352"/>
      <c r="V692" s="1352"/>
      <c r="W692" s="1352"/>
      <c r="X692" s="1352"/>
      <c r="Y692" s="1352"/>
      <c r="Z692" s="1352"/>
      <c r="AA692" s="1352"/>
      <c r="AB692" s="1352"/>
      <c r="AC692" s="1352"/>
      <c r="AD692" s="534"/>
      <c r="AE692" s="590"/>
      <c r="AF692" s="590"/>
      <c r="AG692" s="590"/>
      <c r="AH692" s="590"/>
      <c r="AI692" s="590"/>
      <c r="AJ692" s="590"/>
      <c r="AK692" s="590"/>
      <c r="AL692" s="590"/>
      <c r="AM692" s="592"/>
      <c r="AN692" s="593"/>
    </row>
    <row r="693" spans="1:50" s="547" customFormat="1" ht="12.75" customHeight="1">
      <c r="A693" s="673"/>
      <c r="B693" s="534"/>
      <c r="C693" s="925"/>
      <c r="D693" s="657"/>
      <c r="E693" s="638"/>
      <c r="F693" s="638"/>
      <c r="G693" s="638"/>
      <c r="H693" s="638"/>
      <c r="I693" s="638"/>
      <c r="J693" s="638"/>
      <c r="K693" s="638"/>
      <c r="L693" s="638"/>
      <c r="M693" s="638"/>
      <c r="N693" s="638"/>
      <c r="O693" s="638"/>
      <c r="P693" s="638"/>
      <c r="Q693" s="638"/>
      <c r="R693" s="638"/>
      <c r="S693" s="638"/>
      <c r="T693" s="638"/>
      <c r="U693" s="638"/>
      <c r="V693" s="638"/>
      <c r="W693" s="638"/>
      <c r="X693" s="638"/>
      <c r="Y693" s="638"/>
      <c r="Z693" s="638"/>
      <c r="AA693" s="638"/>
      <c r="AB693" s="638"/>
      <c r="AC693" s="638"/>
      <c r="AD693" s="534"/>
      <c r="AE693" s="590"/>
      <c r="AF693" s="534"/>
      <c r="AG693" s="534"/>
      <c r="AH693" s="534"/>
      <c r="AI693" s="534"/>
      <c r="AJ693" s="534"/>
      <c r="AK693" s="534"/>
      <c r="AL693" s="534"/>
      <c r="AM693" s="592"/>
      <c r="AN693" s="593"/>
      <c r="AO693" s="547" t="s">
        <v>590</v>
      </c>
      <c r="AP693" s="633">
        <v>0</v>
      </c>
    </row>
    <row r="694" spans="1:50" s="547" customFormat="1" ht="12.75" customHeight="1">
      <c r="A694" s="673"/>
      <c r="B694" s="534"/>
      <c r="C694" s="925"/>
      <c r="D694" s="657" t="s">
        <v>1400</v>
      </c>
      <c r="E694" s="1352" t="s">
        <v>1413</v>
      </c>
      <c r="F694" s="1352"/>
      <c r="G694" s="1352"/>
      <c r="H694" s="1352"/>
      <c r="I694" s="1352"/>
      <c r="J694" s="1352"/>
      <c r="K694" s="1352"/>
      <c r="L694" s="1352"/>
      <c r="M694" s="1352"/>
      <c r="N694" s="1352"/>
      <c r="O694" s="1352"/>
      <c r="P694" s="1352"/>
      <c r="Q694" s="1352"/>
      <c r="R694" s="1352"/>
      <c r="S694" s="1352"/>
      <c r="T694" s="1352"/>
      <c r="U694" s="1352"/>
      <c r="V694" s="1352"/>
      <c r="W694" s="1352"/>
      <c r="X694" s="1352"/>
      <c r="Y694" s="1352"/>
      <c r="Z694" s="1352"/>
      <c r="AA694" s="1352"/>
      <c r="AB694" s="1352"/>
      <c r="AC694" s="1352"/>
      <c r="AD694" s="534"/>
      <c r="AE694" s="534"/>
      <c r="AF694" s="1335" t="s">
        <v>1414</v>
      </c>
      <c r="AG694" s="1335"/>
      <c r="AH694" s="1335"/>
      <c r="AI694" s="1335"/>
      <c r="AJ694" s="1335"/>
      <c r="AK694" s="1335"/>
      <c r="AL694" s="1335"/>
      <c r="AM694" s="592"/>
      <c r="AN694" s="593"/>
      <c r="AO694" s="607" t="s">
        <v>686</v>
      </c>
      <c r="AP694" s="547">
        <v>3</v>
      </c>
    </row>
    <row r="695" spans="1:50" s="547" customFormat="1" ht="12.75" customHeight="1">
      <c r="A695" s="673"/>
      <c r="B695" s="534"/>
      <c r="C695" s="925"/>
      <c r="D695" s="657"/>
      <c r="E695" s="1352"/>
      <c r="F695" s="1352"/>
      <c r="G695" s="1352"/>
      <c r="H695" s="1352"/>
      <c r="I695" s="1352"/>
      <c r="J695" s="1352"/>
      <c r="K695" s="1352"/>
      <c r="L695" s="1352"/>
      <c r="M695" s="1352"/>
      <c r="N695" s="1352"/>
      <c r="O695" s="1352"/>
      <c r="P695" s="1352"/>
      <c r="Q695" s="1352"/>
      <c r="R695" s="1352"/>
      <c r="S695" s="1352"/>
      <c r="T695" s="1352"/>
      <c r="U695" s="1352"/>
      <c r="V695" s="1352"/>
      <c r="W695" s="1352"/>
      <c r="X695" s="1352"/>
      <c r="Y695" s="1352"/>
      <c r="Z695" s="1352"/>
      <c r="AA695" s="1352"/>
      <c r="AB695" s="1352"/>
      <c r="AC695" s="1352"/>
      <c r="AD695" s="534"/>
      <c r="AE695" s="534"/>
      <c r="AF695" s="590"/>
      <c r="AG695" s="590"/>
      <c r="AH695" s="590"/>
      <c r="AI695" s="590"/>
      <c r="AJ695" s="590"/>
      <c r="AK695" s="590"/>
      <c r="AL695" s="590"/>
      <c r="AM695" s="592"/>
      <c r="AN695" s="593"/>
      <c r="AO695" s="607" t="s">
        <v>508</v>
      </c>
      <c r="AP695" s="547">
        <v>2</v>
      </c>
    </row>
    <row r="696" spans="1:50" s="547" customFormat="1" ht="12.75" customHeight="1">
      <c r="A696" s="673"/>
      <c r="B696" s="534"/>
      <c r="C696" s="925"/>
      <c r="D696" s="657"/>
      <c r="E696" s="1352"/>
      <c r="F696" s="1352"/>
      <c r="G696" s="1352"/>
      <c r="H696" s="1352"/>
      <c r="I696" s="1352"/>
      <c r="J696" s="1352"/>
      <c r="K696" s="1352"/>
      <c r="L696" s="1352"/>
      <c r="M696" s="1352"/>
      <c r="N696" s="1352"/>
      <c r="O696" s="1352"/>
      <c r="P696" s="1352"/>
      <c r="Q696" s="1352"/>
      <c r="R696" s="1352"/>
      <c r="S696" s="1352"/>
      <c r="T696" s="1352"/>
      <c r="U696" s="1352"/>
      <c r="V696" s="1352"/>
      <c r="W696" s="1352"/>
      <c r="X696" s="1352"/>
      <c r="Y696" s="1352"/>
      <c r="Z696" s="1352"/>
      <c r="AA696" s="1352"/>
      <c r="AB696" s="1352"/>
      <c r="AC696" s="1352"/>
      <c r="AD696" s="534"/>
      <c r="AE696" s="590"/>
      <c r="AF696" s="590"/>
      <c r="AG696" s="590"/>
      <c r="AH696" s="590"/>
      <c r="AI696" s="590"/>
      <c r="AJ696" s="590"/>
      <c r="AK696" s="590"/>
      <c r="AL696" s="590"/>
      <c r="AM696" s="592"/>
      <c r="AN696" s="593"/>
    </row>
    <row r="697" spans="1:50" s="547" customFormat="1" ht="12.75" customHeight="1">
      <c r="A697" s="664"/>
      <c r="B697" s="534"/>
      <c r="C697" s="941"/>
      <c r="D697" s="657"/>
      <c r="E697" s="639"/>
      <c r="F697" s="639"/>
      <c r="G697" s="639"/>
      <c r="H697" s="639"/>
      <c r="I697" s="639"/>
      <c r="J697" s="639"/>
      <c r="K697" s="639"/>
      <c r="L697" s="639"/>
      <c r="M697" s="639"/>
      <c r="N697" s="639"/>
      <c r="O697" s="639"/>
      <c r="P697" s="639"/>
      <c r="Q697" s="639"/>
      <c r="R697" s="639"/>
      <c r="S697" s="639"/>
      <c r="T697" s="639"/>
      <c r="U697" s="639"/>
      <c r="V697" s="639"/>
      <c r="W697" s="639"/>
      <c r="X697" s="639"/>
      <c r="Y697" s="639"/>
      <c r="Z697" s="639"/>
      <c r="AA697" s="639"/>
      <c r="AB697" s="639"/>
      <c r="AC697" s="639"/>
      <c r="AD697" s="534"/>
      <c r="AE697" s="590"/>
      <c r="AF697" s="590"/>
      <c r="AG697" s="590"/>
      <c r="AH697" s="590"/>
      <c r="AI697" s="590"/>
      <c r="AJ697" s="590"/>
      <c r="AK697" s="590"/>
      <c r="AL697" s="590"/>
      <c r="AM697" s="592"/>
      <c r="AN697" s="593"/>
    </row>
    <row r="698" spans="1:50" s="547" customFormat="1" ht="12.75" customHeight="1">
      <c r="A698" s="673"/>
      <c r="B698" s="534"/>
      <c r="C698" s="925"/>
      <c r="D698" s="534" t="s">
        <v>1389</v>
      </c>
      <c r="E698" s="930"/>
      <c r="F698" s="930"/>
      <c r="G698" s="930"/>
      <c r="H698" s="1416" t="s">
        <v>686</v>
      </c>
      <c r="I698" s="1416"/>
      <c r="J698" s="612"/>
      <c r="K698" s="612"/>
      <c r="L698" s="534"/>
      <c r="M698" s="534"/>
      <c r="N698" s="534"/>
      <c r="O698" s="534"/>
      <c r="P698" s="534"/>
      <c r="Q698" s="534"/>
      <c r="R698" s="534"/>
      <c r="S698" s="534"/>
      <c r="T698" s="534"/>
      <c r="U698" s="534"/>
      <c r="V698" s="534"/>
      <c r="W698" s="534"/>
      <c r="X698" s="534"/>
      <c r="Y698" s="534"/>
      <c r="Z698" s="534"/>
      <c r="AA698" s="534"/>
      <c r="AB698" s="534"/>
      <c r="AC698" s="534"/>
      <c r="AD698" s="534"/>
      <c r="AE698" s="534"/>
      <c r="AF698" s="534"/>
      <c r="AG698" s="534"/>
      <c r="AH698" s="534"/>
      <c r="AI698" s="534"/>
      <c r="AJ698" s="534"/>
      <c r="AK698" s="534"/>
      <c r="AL698" s="534"/>
      <c r="AN698" s="593"/>
    </row>
    <row r="699" spans="1:50" s="547" customFormat="1" ht="12.75" customHeight="1">
      <c r="A699" s="673"/>
      <c r="B699" s="534"/>
      <c r="C699" s="925"/>
      <c r="D699" s="534"/>
      <c r="E699" s="930"/>
      <c r="F699" s="930"/>
      <c r="G699" s="612"/>
      <c r="H699" s="612"/>
      <c r="I699" s="612"/>
      <c r="J699" s="612"/>
      <c r="K699" s="612"/>
      <c r="L699" s="612"/>
      <c r="M699" s="612"/>
      <c r="N699" s="612"/>
      <c r="O699" s="612"/>
      <c r="P699" s="612"/>
      <c r="Q699" s="612"/>
      <c r="R699" s="612"/>
      <c r="S699" s="612"/>
      <c r="T699" s="612"/>
      <c r="U699" s="612"/>
      <c r="V699" s="612"/>
      <c r="W699" s="612"/>
      <c r="X699" s="612"/>
      <c r="Y699" s="612"/>
      <c r="Z699" s="930"/>
      <c r="AA699" s="930"/>
      <c r="AB699" s="930"/>
      <c r="AC699" s="534"/>
      <c r="AD699" s="534"/>
      <c r="AE699" s="534"/>
      <c r="AF699" s="534"/>
      <c r="AG699" s="612"/>
      <c r="AH699" s="612"/>
      <c r="AI699" s="612"/>
      <c r="AJ699" s="612"/>
      <c r="AK699" s="612"/>
      <c r="AL699" s="612"/>
      <c r="AM699" s="548"/>
      <c r="AN699" s="593"/>
    </row>
    <row r="700" spans="1:50" s="547" customFormat="1" ht="12.75" customHeight="1">
      <c r="A700" s="677"/>
      <c r="B700" s="597"/>
      <c r="C700" s="938"/>
      <c r="D700" s="597"/>
      <c r="E700" s="933"/>
      <c r="F700" s="659"/>
      <c r="G700" s="659"/>
      <c r="H700" s="659"/>
      <c r="I700" s="659"/>
      <c r="J700" s="659"/>
      <c r="K700" s="659"/>
      <c r="L700" s="659"/>
      <c r="M700" s="659"/>
      <c r="N700" s="659"/>
      <c r="O700" s="659"/>
      <c r="P700" s="659"/>
      <c r="Q700" s="659"/>
      <c r="R700" s="659"/>
      <c r="S700" s="659"/>
      <c r="T700" s="659"/>
      <c r="U700" s="659"/>
      <c r="V700" s="659"/>
      <c r="W700" s="659"/>
      <c r="X700" s="659"/>
      <c r="Y700" s="933"/>
      <c r="Z700" s="933"/>
      <c r="AA700" s="933"/>
      <c r="AB700" s="597"/>
      <c r="AC700" s="597"/>
      <c r="AD700" s="597"/>
      <c r="AE700" s="597"/>
      <c r="AF700" s="597"/>
      <c r="AG700" s="597"/>
      <c r="AH700" s="597"/>
      <c r="AI700" s="561" t="s">
        <v>1415</v>
      </c>
      <c r="AJ700" s="1360">
        <f>VLOOKUP($H$698,$AO$646:$AP$653,2,FALSE)</f>
        <v>5</v>
      </c>
      <c r="AK700" s="1362"/>
      <c r="AL700" s="591"/>
      <c r="AN700" s="593"/>
    </row>
    <row r="701" spans="1:50" s="547" customFormat="1" ht="12.75" customHeight="1">
      <c r="A701" s="673"/>
      <c r="B701" s="534"/>
      <c r="C701" s="925"/>
      <c r="D701" s="534"/>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c r="AA701" s="612"/>
      <c r="AB701" s="612"/>
      <c r="AC701" s="612"/>
      <c r="AD701" s="636"/>
      <c r="AE701" s="534"/>
      <c r="AF701" s="534"/>
      <c r="AG701" s="534"/>
      <c r="AH701" s="534"/>
      <c r="AI701" s="534"/>
      <c r="AJ701" s="534"/>
      <c r="AK701" s="534"/>
      <c r="AL701" s="534"/>
      <c r="AN701" s="593"/>
    </row>
    <row r="702" spans="1:50" s="547" customFormat="1" ht="12.75" customHeight="1">
      <c r="A702" s="673"/>
      <c r="B702" s="534"/>
      <c r="C702" s="537" t="s">
        <v>2087</v>
      </c>
      <c r="D702" s="706"/>
      <c r="E702" s="612"/>
      <c r="F702" s="612"/>
      <c r="G702" s="612"/>
      <c r="H702" s="612"/>
      <c r="I702" s="612"/>
      <c r="J702" s="612"/>
      <c r="K702" s="612"/>
      <c r="L702" s="612"/>
      <c r="M702" s="612"/>
      <c r="N702" s="612"/>
      <c r="O702" s="612"/>
      <c r="P702" s="612"/>
      <c r="Q702" s="612"/>
      <c r="R702" s="612"/>
      <c r="S702" s="612"/>
      <c r="T702" s="612"/>
      <c r="U702" s="612"/>
      <c r="V702" s="612"/>
      <c r="W702" s="612"/>
      <c r="X702" s="612"/>
      <c r="Y702" s="612"/>
      <c r="Z702" s="612"/>
      <c r="AA702" s="612"/>
      <c r="AB702" s="612"/>
      <c r="AC702" s="612"/>
      <c r="AD702" s="636"/>
      <c r="AE702" s="534"/>
      <c r="AF702" s="534"/>
      <c r="AG702" s="534"/>
      <c r="AH702" s="534"/>
      <c r="AI702" s="534"/>
      <c r="AJ702" s="534"/>
      <c r="AK702" s="534"/>
      <c r="AL702" s="534"/>
      <c r="AN702" s="593"/>
      <c r="AW702" s="22" t="s">
        <v>2133</v>
      </c>
      <c r="AX702" s="547">
        <f>Application!Q212</f>
        <v>0</v>
      </c>
    </row>
    <row r="703" spans="1:50" s="547" customFormat="1" ht="12.75" customHeight="1">
      <c r="A703" s="673"/>
      <c r="B703" s="534"/>
      <c r="C703" s="942"/>
      <c r="D703" s="534"/>
      <c r="E703" s="534"/>
      <c r="F703" s="534"/>
      <c r="G703" s="534"/>
      <c r="H703" s="534"/>
      <c r="I703" s="534"/>
      <c r="J703" s="534"/>
      <c r="K703" s="534"/>
      <c r="L703" s="534"/>
      <c r="M703" s="534"/>
      <c r="N703" s="534"/>
      <c r="O703" s="534"/>
      <c r="P703" s="534"/>
      <c r="Q703" s="534"/>
      <c r="R703" s="534"/>
      <c r="S703" s="534"/>
      <c r="T703" s="534"/>
      <c r="U703" s="534"/>
      <c r="V703" s="534"/>
      <c r="W703" s="534"/>
      <c r="X703" s="534"/>
      <c r="Y703" s="534"/>
      <c r="Z703" s="534"/>
      <c r="AA703" s="534"/>
      <c r="AB703" s="534"/>
      <c r="AC703" s="534"/>
      <c r="AD703" s="534"/>
      <c r="AE703" s="534"/>
      <c r="AF703" s="534"/>
      <c r="AG703" s="534"/>
      <c r="AH703" s="534"/>
      <c r="AI703" s="534"/>
      <c r="AJ703" s="534"/>
      <c r="AK703" s="534"/>
      <c r="AL703" s="534"/>
      <c r="AN703" s="593"/>
      <c r="AW703" s="22" t="s">
        <v>2134</v>
      </c>
      <c r="AX703" s="1141">
        <f>Application!G761</f>
        <v>118</v>
      </c>
    </row>
    <row r="704" spans="1:50" s="547" customFormat="1" ht="12.75" customHeight="1">
      <c r="A704" s="673"/>
      <c r="B704" s="534"/>
      <c r="C704" s="942"/>
      <c r="D704" s="657" t="s">
        <v>686</v>
      </c>
      <c r="E704" s="1423" t="s">
        <v>2140</v>
      </c>
      <c r="F704" s="1423"/>
      <c r="G704" s="1423"/>
      <c r="H704" s="1423"/>
      <c r="I704" s="1423"/>
      <c r="J704" s="1423"/>
      <c r="K704" s="1423"/>
      <c r="L704" s="1423"/>
      <c r="M704" s="1423"/>
      <c r="N704" s="1423"/>
      <c r="O704" s="1423"/>
      <c r="P704" s="1423"/>
      <c r="Q704" s="1423"/>
      <c r="R704" s="1423"/>
      <c r="S704" s="1423"/>
      <c r="T704" s="1423"/>
      <c r="U704" s="1423"/>
      <c r="V704" s="1423"/>
      <c r="W704" s="1423"/>
      <c r="X704" s="1423"/>
      <c r="Y704" s="1423"/>
      <c r="Z704" s="1423"/>
      <c r="AA704" s="1423"/>
      <c r="AB704" s="1423"/>
      <c r="AC704" s="534"/>
      <c r="AD704" s="534"/>
      <c r="AE704" s="534"/>
      <c r="AF704" s="1335" t="s">
        <v>1343</v>
      </c>
      <c r="AG704" s="1335"/>
      <c r="AH704" s="1335"/>
      <c r="AI704" s="1335"/>
      <c r="AJ704" s="1335"/>
      <c r="AK704" s="1335"/>
      <c r="AL704" s="1335"/>
      <c r="AN704" s="593"/>
      <c r="AW704" s="22" t="s">
        <v>2135</v>
      </c>
      <c r="AX704" s="547">
        <f>Application!DE761</f>
        <v>32</v>
      </c>
    </row>
    <row r="705" spans="1:51" s="547" customFormat="1" ht="12.75" customHeight="1">
      <c r="A705" s="673"/>
      <c r="B705" s="534"/>
      <c r="C705" s="942"/>
      <c r="D705" s="657"/>
      <c r="E705" s="1423"/>
      <c r="F705" s="1423"/>
      <c r="G705" s="1423"/>
      <c r="H705" s="1423"/>
      <c r="I705" s="1423"/>
      <c r="J705" s="1423"/>
      <c r="K705" s="1423"/>
      <c r="L705" s="1423"/>
      <c r="M705" s="1423"/>
      <c r="N705" s="1423"/>
      <c r="O705" s="1423"/>
      <c r="P705" s="1423"/>
      <c r="Q705" s="1423"/>
      <c r="R705" s="1423"/>
      <c r="S705" s="1423"/>
      <c r="T705" s="1423"/>
      <c r="U705" s="1423"/>
      <c r="V705" s="1423"/>
      <c r="W705" s="1423"/>
      <c r="X705" s="1423"/>
      <c r="Y705" s="1423"/>
      <c r="Z705" s="1423"/>
      <c r="AA705" s="1423"/>
      <c r="AB705" s="1423"/>
      <c r="AC705" s="534"/>
      <c r="AD705" s="534"/>
      <c r="AE705" s="534"/>
      <c r="AF705" s="534"/>
      <c r="AG705" s="534"/>
      <c r="AH705" s="534"/>
      <c r="AI705" s="534"/>
      <c r="AJ705" s="534"/>
      <c r="AK705" s="534"/>
      <c r="AL705" s="534"/>
      <c r="AN705" s="593"/>
      <c r="AW705" s="22" t="s">
        <v>2136</v>
      </c>
      <c r="AX705" s="547">
        <f>Application!DJ761</f>
        <v>0</v>
      </c>
    </row>
    <row r="706" spans="1:51" s="547" customFormat="1" ht="12.75" customHeight="1">
      <c r="A706" s="673"/>
      <c r="B706" s="534"/>
      <c r="C706" s="942"/>
      <c r="D706" s="657"/>
      <c r="E706" s="534"/>
      <c r="F706" s="534"/>
      <c r="G706" s="534"/>
      <c r="H706" s="534"/>
      <c r="I706" s="534"/>
      <c r="J706" s="534"/>
      <c r="K706" s="534"/>
      <c r="L706" s="534"/>
      <c r="M706" s="534"/>
      <c r="N706" s="534"/>
      <c r="O706" s="534"/>
      <c r="P706" s="534"/>
      <c r="Q706" s="534"/>
      <c r="R706" s="534"/>
      <c r="S706" s="534"/>
      <c r="T706" s="534"/>
      <c r="U706" s="534"/>
      <c r="V706" s="534"/>
      <c r="W706" s="534"/>
      <c r="X706" s="534"/>
      <c r="Y706" s="534"/>
      <c r="Z706" s="534"/>
      <c r="AA706" s="534"/>
      <c r="AB706" s="534"/>
      <c r="AC706" s="534"/>
      <c r="AD706" s="534"/>
      <c r="AE706" s="534"/>
      <c r="AF706" s="534"/>
      <c r="AG706" s="534"/>
      <c r="AH706" s="534"/>
      <c r="AI706" s="534"/>
      <c r="AJ706" s="534"/>
      <c r="AK706" s="534"/>
      <c r="AL706" s="534"/>
      <c r="AN706" s="593"/>
      <c r="AW706" s="22" t="s">
        <v>2137</v>
      </c>
      <c r="AX706" s="547">
        <f>Application!DO761</f>
        <v>0</v>
      </c>
    </row>
    <row r="707" spans="1:51" s="547" customFormat="1" ht="12.75" customHeight="1">
      <c r="B707" s="534"/>
      <c r="C707" s="925"/>
      <c r="D707" s="657" t="s">
        <v>508</v>
      </c>
      <c r="E707" s="1352" t="s">
        <v>2085</v>
      </c>
      <c r="F707" s="1352"/>
      <c r="G707" s="1352"/>
      <c r="H707" s="1352"/>
      <c r="I707" s="1352"/>
      <c r="J707" s="1352"/>
      <c r="K707" s="1352"/>
      <c r="L707" s="1352"/>
      <c r="M707" s="1352"/>
      <c r="N707" s="1352"/>
      <c r="O707" s="1352"/>
      <c r="P707" s="1352"/>
      <c r="Q707" s="1352"/>
      <c r="R707" s="1352"/>
      <c r="S707" s="1352"/>
      <c r="T707" s="1352"/>
      <c r="U707" s="1352"/>
      <c r="V707" s="1352"/>
      <c r="W707" s="1352"/>
      <c r="X707" s="1352"/>
      <c r="Y707" s="1352"/>
      <c r="Z707" s="1352"/>
      <c r="AA707" s="1352"/>
      <c r="AB707" s="1352"/>
      <c r="AC707" s="534"/>
      <c r="AD707" s="534"/>
      <c r="AE707" s="534"/>
      <c r="AF707" s="1335" t="s">
        <v>1343</v>
      </c>
      <c r="AG707" s="1335"/>
      <c r="AH707" s="1335"/>
      <c r="AI707" s="1335"/>
      <c r="AJ707" s="1335"/>
      <c r="AK707" s="1335"/>
      <c r="AL707" s="1335"/>
      <c r="AN707" s="593"/>
      <c r="AW707" s="22" t="s">
        <v>2138</v>
      </c>
      <c r="AX707" s="547">
        <f>AX704+AX705+AX706</f>
        <v>32</v>
      </c>
    </row>
    <row r="708" spans="1:51" s="547" customFormat="1" ht="12.75" customHeight="1">
      <c r="B708" s="534"/>
      <c r="C708" s="934"/>
      <c r="D708" s="657"/>
      <c r="E708" s="1352"/>
      <c r="F708" s="1352"/>
      <c r="G708" s="1352"/>
      <c r="H708" s="1352"/>
      <c r="I708" s="1352"/>
      <c r="J708" s="1352"/>
      <c r="K708" s="1352"/>
      <c r="L708" s="1352"/>
      <c r="M708" s="1352"/>
      <c r="N708" s="1352"/>
      <c r="O708" s="1352"/>
      <c r="P708" s="1352"/>
      <c r="Q708" s="1352"/>
      <c r="R708" s="1352"/>
      <c r="S708" s="1352"/>
      <c r="T708" s="1352"/>
      <c r="U708" s="1352"/>
      <c r="V708" s="1352"/>
      <c r="W708" s="1352"/>
      <c r="X708" s="1352"/>
      <c r="Y708" s="1352"/>
      <c r="Z708" s="1352"/>
      <c r="AA708" s="1352"/>
      <c r="AB708" s="1352"/>
      <c r="AC708" s="534"/>
      <c r="AD708" s="534"/>
      <c r="AE708" s="612"/>
      <c r="AF708" s="534"/>
      <c r="AG708" s="534"/>
      <c r="AH708" s="534"/>
      <c r="AI708" s="534"/>
      <c r="AJ708" s="534"/>
      <c r="AK708" s="534"/>
      <c r="AL708" s="534"/>
      <c r="AN708" s="593"/>
      <c r="AO708" s="1422" t="b">
        <f>IF(Application!D211="Special Needs",IF(AY708&gt;=0.25,TRUE,FALSE),IF(AX708&gt;=0.25,TRUE,FALSE))</f>
        <v>1</v>
      </c>
      <c r="AP708" s="1422"/>
      <c r="AW708" s="22" t="s">
        <v>2139</v>
      </c>
      <c r="AX708" s="547">
        <f>IFERROR(AX707/AX703,0)</f>
        <v>0.2711864406779661</v>
      </c>
      <c r="AY708" s="547">
        <f>IFERROR(AX707/(AX703-AX702),0)</f>
        <v>0.2711864406779661</v>
      </c>
    </row>
    <row r="709" spans="1:51" s="547" customFormat="1" ht="12.75" customHeight="1">
      <c r="B709" s="534"/>
      <c r="C709" s="934"/>
      <c r="E709" s="1352"/>
      <c r="F709" s="1352"/>
      <c r="G709" s="1352"/>
      <c r="H709" s="1352"/>
      <c r="I709" s="1352"/>
      <c r="J709" s="1352"/>
      <c r="K709" s="1352"/>
      <c r="L709" s="1352"/>
      <c r="M709" s="1352"/>
      <c r="N709" s="1352"/>
      <c r="O709" s="1352"/>
      <c r="P709" s="1352"/>
      <c r="Q709" s="1352"/>
      <c r="R709" s="1352"/>
      <c r="S709" s="1352"/>
      <c r="T709" s="1352"/>
      <c r="U709" s="1352"/>
      <c r="V709" s="1352"/>
      <c r="W709" s="1352"/>
      <c r="X709" s="1352"/>
      <c r="Y709" s="1352"/>
      <c r="Z709" s="1352"/>
      <c r="AA709" s="1352"/>
      <c r="AB709" s="1352"/>
      <c r="AC709" s="534"/>
      <c r="AD709" s="534"/>
      <c r="AE709" s="612"/>
      <c r="AF709" s="612"/>
      <c r="AG709" s="612"/>
      <c r="AH709" s="612"/>
      <c r="AI709" s="612"/>
      <c r="AJ709" s="612"/>
      <c r="AK709" s="612"/>
      <c r="AL709" s="612"/>
      <c r="AN709" s="593"/>
      <c r="AW709" s="14"/>
    </row>
    <row r="710" spans="1:51" s="547" customFormat="1" ht="28.5" customHeight="1">
      <c r="B710" s="534"/>
      <c r="C710" s="934"/>
      <c r="D710" s="534"/>
      <c r="E710" s="1352"/>
      <c r="F710" s="1352"/>
      <c r="G710" s="1352"/>
      <c r="H710" s="1352"/>
      <c r="I710" s="1352"/>
      <c r="J710" s="1352"/>
      <c r="K710" s="1352"/>
      <c r="L710" s="1352"/>
      <c r="M710" s="1352"/>
      <c r="N710" s="1352"/>
      <c r="O710" s="1352"/>
      <c r="P710" s="1352"/>
      <c r="Q710" s="1352"/>
      <c r="R710" s="1352"/>
      <c r="S710" s="1352"/>
      <c r="T710" s="1352"/>
      <c r="U710" s="1352"/>
      <c r="V710" s="1352"/>
      <c r="W710" s="1352"/>
      <c r="X710" s="1352"/>
      <c r="Y710" s="1352"/>
      <c r="Z710" s="1352"/>
      <c r="AA710" s="1352"/>
      <c r="AB710" s="1352"/>
      <c r="AC710" s="534"/>
      <c r="AD710" s="534"/>
      <c r="AE710" s="612"/>
      <c r="AF710" s="612"/>
      <c r="AG710" s="612"/>
      <c r="AH710" s="612"/>
      <c r="AI710" s="612"/>
      <c r="AJ710" s="612"/>
      <c r="AK710" s="612"/>
      <c r="AL710" s="612"/>
      <c r="AN710" s="593"/>
      <c r="AO710" s="547" t="s">
        <v>590</v>
      </c>
      <c r="AP710" s="667">
        <v>0</v>
      </c>
    </row>
    <row r="711" spans="1:51" s="547" customFormat="1" ht="12.75" customHeight="1">
      <c r="B711" s="534"/>
      <c r="C711" s="934"/>
      <c r="E711" s="571"/>
      <c r="F711" s="571"/>
      <c r="G711" s="571"/>
      <c r="H711" s="571"/>
      <c r="I711" s="571"/>
      <c r="J711" s="571"/>
      <c r="K711" s="571"/>
      <c r="L711" s="571"/>
      <c r="M711" s="571"/>
      <c r="N711" s="571"/>
      <c r="O711" s="571"/>
      <c r="P711" s="571"/>
      <c r="Q711" s="571"/>
      <c r="R711" s="571"/>
      <c r="S711" s="571"/>
      <c r="T711" s="571"/>
      <c r="U711" s="571"/>
      <c r="V711" s="571"/>
      <c r="W711" s="571"/>
      <c r="X711" s="571"/>
      <c r="Y711" s="571"/>
      <c r="Z711" s="571"/>
      <c r="AA711" s="571"/>
      <c r="AB711" s="571"/>
      <c r="AC711" s="534"/>
      <c r="AD711" s="534"/>
      <c r="AE711" s="612"/>
      <c r="AF711" s="612"/>
      <c r="AG711" s="612"/>
      <c r="AH711" s="612"/>
      <c r="AI711" s="612"/>
      <c r="AJ711" s="612"/>
      <c r="AK711" s="612"/>
      <c r="AL711" s="612"/>
      <c r="AN711" s="593"/>
      <c r="AO711" s="607" t="s">
        <v>686</v>
      </c>
      <c r="AP711" s="547">
        <v>2</v>
      </c>
    </row>
    <row r="712" spans="1:51" s="547" customFormat="1" ht="12.75" customHeight="1">
      <c r="B712" s="534"/>
      <c r="C712" s="925"/>
      <c r="D712" s="657" t="s">
        <v>277</v>
      </c>
      <c r="E712" s="1352" t="s">
        <v>2086</v>
      </c>
      <c r="F712" s="1352"/>
      <c r="G712" s="1352"/>
      <c r="H712" s="1352"/>
      <c r="I712" s="1352"/>
      <c r="J712" s="1352"/>
      <c r="K712" s="1352"/>
      <c r="L712" s="1352"/>
      <c r="M712" s="1352"/>
      <c r="N712" s="1352"/>
      <c r="O712" s="1352"/>
      <c r="P712" s="1352"/>
      <c r="Q712" s="1352"/>
      <c r="R712" s="1352"/>
      <c r="S712" s="1352"/>
      <c r="T712" s="1352"/>
      <c r="U712" s="1352"/>
      <c r="V712" s="1352"/>
      <c r="W712" s="1352"/>
      <c r="X712" s="1352"/>
      <c r="Y712" s="1352"/>
      <c r="Z712" s="1352"/>
      <c r="AA712" s="1352"/>
      <c r="AB712" s="1352"/>
      <c r="AC712" s="534"/>
      <c r="AD712" s="534"/>
      <c r="AE712" s="534"/>
      <c r="AF712" s="1335" t="s">
        <v>1397</v>
      </c>
      <c r="AG712" s="1335"/>
      <c r="AH712" s="1335"/>
      <c r="AI712" s="1335"/>
      <c r="AJ712" s="1335"/>
      <c r="AK712" s="1335"/>
      <c r="AL712" s="1335"/>
      <c r="AN712" s="593"/>
      <c r="AO712" s="607" t="s">
        <v>508</v>
      </c>
      <c r="AP712" s="547">
        <v>1</v>
      </c>
    </row>
    <row r="713" spans="1:51" s="547" customFormat="1" ht="12" customHeight="1">
      <c r="B713" s="534"/>
      <c r="C713" s="925"/>
      <c r="E713" s="1352"/>
      <c r="F713" s="1352"/>
      <c r="G713" s="1352"/>
      <c r="H713" s="1352"/>
      <c r="I713" s="1352"/>
      <c r="J713" s="1352"/>
      <c r="K713" s="1352"/>
      <c r="L713" s="1352"/>
      <c r="M713" s="1352"/>
      <c r="N713" s="1352"/>
      <c r="O713" s="1352"/>
      <c r="P713" s="1352"/>
      <c r="Q713" s="1352"/>
      <c r="R713" s="1352"/>
      <c r="S713" s="1352"/>
      <c r="T713" s="1352"/>
      <c r="U713" s="1352"/>
      <c r="V713" s="1352"/>
      <c r="W713" s="1352"/>
      <c r="X713" s="1352"/>
      <c r="Y713" s="1352"/>
      <c r="Z713" s="1352"/>
      <c r="AA713" s="1352"/>
      <c r="AB713" s="1352"/>
      <c r="AC713" s="534"/>
      <c r="AD713" s="534"/>
      <c r="AE713" s="612"/>
      <c r="AF713" s="534"/>
      <c r="AG713" s="534"/>
      <c r="AH713" s="534"/>
      <c r="AI713" s="534"/>
      <c r="AJ713" s="534"/>
      <c r="AK713" s="534"/>
      <c r="AL713" s="534"/>
      <c r="AN713" s="593"/>
    </row>
    <row r="714" spans="1:51" s="547" customFormat="1" ht="12" customHeight="1">
      <c r="B714" s="534"/>
      <c r="C714" s="925"/>
      <c r="D714" s="534"/>
      <c r="E714" s="1352"/>
      <c r="F714" s="1352"/>
      <c r="G714" s="1352"/>
      <c r="H714" s="1352"/>
      <c r="I714" s="1352"/>
      <c r="J714" s="1352"/>
      <c r="K714" s="1352"/>
      <c r="L714" s="1352"/>
      <c r="M714" s="1352"/>
      <c r="N714" s="1352"/>
      <c r="O714" s="1352"/>
      <c r="P714" s="1352"/>
      <c r="Q714" s="1352"/>
      <c r="R714" s="1352"/>
      <c r="S714" s="1352"/>
      <c r="T714" s="1352"/>
      <c r="U714" s="1352"/>
      <c r="V714" s="1352"/>
      <c r="W714" s="1352"/>
      <c r="X714" s="1352"/>
      <c r="Y714" s="1352"/>
      <c r="Z714" s="1352"/>
      <c r="AA714" s="1352"/>
      <c r="AB714" s="1352"/>
      <c r="AC714" s="534"/>
      <c r="AD714" s="534"/>
      <c r="AE714" s="612"/>
      <c r="AF714" s="534"/>
      <c r="AG714" s="534"/>
      <c r="AH714" s="534"/>
      <c r="AI714" s="534"/>
      <c r="AJ714" s="534"/>
      <c r="AK714" s="534"/>
      <c r="AL714" s="534"/>
      <c r="AN714" s="593"/>
    </row>
    <row r="715" spans="1:51" s="547" customFormat="1" ht="12" customHeight="1">
      <c r="B715" s="534"/>
      <c r="C715" s="925"/>
      <c r="D715" s="534"/>
      <c r="E715" s="1352"/>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534"/>
      <c r="AD715" s="534"/>
      <c r="AE715" s="612"/>
      <c r="AF715" s="534"/>
      <c r="AG715" s="534"/>
      <c r="AH715" s="534"/>
      <c r="AI715" s="534"/>
      <c r="AJ715" s="534"/>
      <c r="AK715" s="534"/>
      <c r="AL715" s="534"/>
      <c r="AN715" s="593"/>
    </row>
    <row r="716" spans="1:51" s="566" customFormat="1" ht="12.95" customHeight="1">
      <c r="A716" s="547"/>
      <c r="B716" s="534"/>
      <c r="C716" s="925"/>
      <c r="D716" s="534"/>
      <c r="E716" s="1352"/>
      <c r="F716" s="1352"/>
      <c r="G716" s="1352"/>
      <c r="H716" s="1352"/>
      <c r="I716" s="1352"/>
      <c r="J716" s="1352"/>
      <c r="K716" s="1352"/>
      <c r="L716" s="1352"/>
      <c r="M716" s="1352"/>
      <c r="N716" s="1352"/>
      <c r="O716" s="1352"/>
      <c r="P716" s="1352"/>
      <c r="Q716" s="1352"/>
      <c r="R716" s="1352"/>
      <c r="S716" s="1352"/>
      <c r="T716" s="1352"/>
      <c r="U716" s="1352"/>
      <c r="V716" s="1352"/>
      <c r="W716" s="1352"/>
      <c r="X716" s="1352"/>
      <c r="Y716" s="1352"/>
      <c r="Z716" s="1352"/>
      <c r="AA716" s="1352"/>
      <c r="AB716" s="1352"/>
      <c r="AC716" s="534"/>
      <c r="AD716" s="534"/>
      <c r="AE716" s="612"/>
      <c r="AF716" s="612"/>
      <c r="AG716" s="612"/>
      <c r="AH716" s="612"/>
      <c r="AI716" s="612"/>
      <c r="AJ716" s="534"/>
      <c r="AK716" s="534"/>
      <c r="AL716" s="534"/>
      <c r="AM716" s="547"/>
      <c r="AN716" s="678"/>
      <c r="AO716" s="547" t="s">
        <v>590</v>
      </c>
      <c r="AP716" s="667">
        <v>0</v>
      </c>
    </row>
    <row r="717" spans="1:51" s="566" customFormat="1" ht="12" customHeight="1">
      <c r="A717" s="547"/>
      <c r="B717" s="534"/>
      <c r="C717" s="925"/>
      <c r="D717" s="534"/>
      <c r="E717" s="639"/>
      <c r="F717" s="639"/>
      <c r="G717" s="639"/>
      <c r="H717" s="639"/>
      <c r="I717" s="639"/>
      <c r="J717" s="639"/>
      <c r="K717" s="639"/>
      <c r="L717" s="639"/>
      <c r="M717" s="639"/>
      <c r="N717" s="639"/>
      <c r="O717" s="639"/>
      <c r="P717" s="639"/>
      <c r="Q717" s="639"/>
      <c r="R717" s="639"/>
      <c r="S717" s="639"/>
      <c r="T717" s="639"/>
      <c r="U717" s="639"/>
      <c r="V717" s="639"/>
      <c r="W717" s="639"/>
      <c r="X717" s="639"/>
      <c r="Y717" s="639"/>
      <c r="Z717" s="639"/>
      <c r="AA717" s="639"/>
      <c r="AB717" s="639"/>
      <c r="AC717" s="534"/>
      <c r="AD717" s="534"/>
      <c r="AE717" s="612"/>
      <c r="AF717" s="612"/>
      <c r="AG717" s="612"/>
      <c r="AH717" s="612"/>
      <c r="AI717" s="612"/>
      <c r="AJ717" s="534"/>
      <c r="AK717" s="534"/>
      <c r="AL717" s="534"/>
      <c r="AM717" s="547"/>
      <c r="AN717" s="678"/>
      <c r="AO717" s="607" t="s">
        <v>686</v>
      </c>
      <c r="AP717" s="547">
        <v>3</v>
      </c>
    </row>
    <row r="718" spans="1:51" s="566" customFormat="1" ht="12.75" customHeight="1">
      <c r="A718" s="547"/>
      <c r="B718" s="534"/>
      <c r="C718" s="925"/>
      <c r="D718" s="534"/>
      <c r="E718" s="1352" t="s">
        <v>1679</v>
      </c>
      <c r="F718" s="1352"/>
      <c r="G718" s="1352"/>
      <c r="H718" s="1352"/>
      <c r="I718" s="1352"/>
      <c r="J718" s="1352"/>
      <c r="K718" s="1352"/>
      <c r="L718" s="1352"/>
      <c r="M718" s="1352"/>
      <c r="N718" s="1352"/>
      <c r="O718" s="1352"/>
      <c r="P718" s="1352"/>
      <c r="Q718" s="1352"/>
      <c r="R718" s="1352"/>
      <c r="S718" s="1352"/>
      <c r="T718" s="1352"/>
      <c r="U718" s="1352"/>
      <c r="V718" s="1352"/>
      <c r="W718" s="1352"/>
      <c r="X718" s="1352"/>
      <c r="Y718" s="1352"/>
      <c r="Z718" s="1352"/>
      <c r="AA718" s="1352"/>
      <c r="AB718" s="1352"/>
      <c r="AC718" s="534"/>
      <c r="AD718" s="534"/>
      <c r="AE718" s="612"/>
      <c r="AF718" s="612"/>
      <c r="AG718" s="612"/>
      <c r="AH718" s="612"/>
      <c r="AI718" s="612"/>
      <c r="AJ718" s="534"/>
      <c r="AK718" s="534"/>
      <c r="AL718" s="534"/>
      <c r="AM718" s="547"/>
      <c r="AN718" s="678"/>
      <c r="AO718" s="607" t="s">
        <v>508</v>
      </c>
      <c r="AP718" s="547">
        <f>3*$AO$708</f>
        <v>3</v>
      </c>
    </row>
    <row r="719" spans="1:51" s="566" customFormat="1" ht="12.75" customHeight="1">
      <c r="A719" s="547"/>
      <c r="B719" s="534"/>
      <c r="C719" s="925"/>
      <c r="D719" s="534"/>
      <c r="E719" s="1352"/>
      <c r="F719" s="1352"/>
      <c r="G719" s="1352"/>
      <c r="H719" s="1352"/>
      <c r="I719" s="1352"/>
      <c r="J719" s="1352"/>
      <c r="K719" s="1352"/>
      <c r="L719" s="1352"/>
      <c r="M719" s="1352"/>
      <c r="N719" s="1352"/>
      <c r="O719" s="1352"/>
      <c r="P719" s="1352"/>
      <c r="Q719" s="1352"/>
      <c r="R719" s="1352"/>
      <c r="S719" s="1352"/>
      <c r="T719" s="1352"/>
      <c r="U719" s="1352"/>
      <c r="V719" s="1352"/>
      <c r="W719" s="1352"/>
      <c r="X719" s="1352"/>
      <c r="Y719" s="1352"/>
      <c r="Z719" s="1352"/>
      <c r="AA719" s="1352"/>
      <c r="AB719" s="1352"/>
      <c r="AC719" s="534"/>
      <c r="AD719" s="534"/>
      <c r="AE719" s="612"/>
      <c r="AF719" s="612"/>
      <c r="AG719" s="612"/>
      <c r="AH719" s="612"/>
      <c r="AI719" s="612"/>
      <c r="AJ719" s="534"/>
      <c r="AK719" s="534"/>
      <c r="AL719" s="534"/>
      <c r="AM719" s="547"/>
      <c r="AN719" s="678"/>
      <c r="AO719" s="607" t="s">
        <v>277</v>
      </c>
      <c r="AP719" s="547">
        <f>2*$AO$708</f>
        <v>2</v>
      </c>
    </row>
    <row r="720" spans="1:51" s="566" customFormat="1" ht="12.75" customHeight="1">
      <c r="A720" s="547"/>
      <c r="B720" s="534"/>
      <c r="C720" s="925"/>
      <c r="D720" s="534"/>
      <c r="E720" s="1352"/>
      <c r="F720" s="1352"/>
      <c r="G720" s="1352"/>
      <c r="H720" s="1352"/>
      <c r="I720" s="1352"/>
      <c r="J720" s="1352"/>
      <c r="K720" s="1352"/>
      <c r="L720" s="1352"/>
      <c r="M720" s="1352"/>
      <c r="N720" s="1352"/>
      <c r="O720" s="1352"/>
      <c r="P720" s="1352"/>
      <c r="Q720" s="1352"/>
      <c r="R720" s="1352"/>
      <c r="S720" s="1352"/>
      <c r="T720" s="1352"/>
      <c r="U720" s="1352"/>
      <c r="V720" s="1352"/>
      <c r="W720" s="1352"/>
      <c r="X720" s="1352"/>
      <c r="Y720" s="1352"/>
      <c r="Z720" s="1352"/>
      <c r="AA720" s="1352"/>
      <c r="AB720" s="1352"/>
      <c r="AC720" s="534"/>
      <c r="AD720" s="534"/>
      <c r="AE720" s="612"/>
      <c r="AF720" s="612"/>
      <c r="AG720" s="612"/>
      <c r="AH720" s="612"/>
      <c r="AI720" s="612"/>
      <c r="AJ720" s="534"/>
      <c r="AK720" s="534"/>
      <c r="AL720" s="534"/>
      <c r="AM720" s="547"/>
      <c r="AN720" s="678"/>
    </row>
    <row r="721" spans="1:43" s="566" customFormat="1" ht="12.75" customHeight="1">
      <c r="A721" s="547"/>
      <c r="B721" s="534"/>
      <c r="C721" s="925"/>
      <c r="D721" s="534"/>
      <c r="E721" s="639"/>
      <c r="F721" s="639"/>
      <c r="G721" s="639"/>
      <c r="H721" s="639"/>
      <c r="I721" s="639"/>
      <c r="J721" s="639"/>
      <c r="K721" s="639"/>
      <c r="L721" s="639"/>
      <c r="M721" s="639"/>
      <c r="N721" s="639"/>
      <c r="O721" s="639"/>
      <c r="P721" s="639"/>
      <c r="Q721" s="639"/>
      <c r="R721" s="639"/>
      <c r="S721" s="639"/>
      <c r="T721" s="639"/>
      <c r="U721" s="639"/>
      <c r="V721" s="639"/>
      <c r="W721" s="639"/>
      <c r="X721" s="639"/>
      <c r="Y721" s="639"/>
      <c r="Z721" s="639"/>
      <c r="AA721" s="639"/>
      <c r="AB721" s="639"/>
      <c r="AC721" s="534"/>
      <c r="AD721" s="534"/>
      <c r="AE721" s="612"/>
      <c r="AF721" s="612"/>
      <c r="AG721" s="612"/>
      <c r="AH721" s="612"/>
      <c r="AI721" s="612"/>
      <c r="AJ721" s="534"/>
      <c r="AK721" s="534"/>
      <c r="AL721" s="534"/>
      <c r="AM721" s="547"/>
      <c r="AN721" s="678"/>
    </row>
    <row r="722" spans="1:43" s="566" customFormat="1" ht="12.75" customHeight="1">
      <c r="A722" s="547"/>
      <c r="B722" s="534"/>
      <c r="C722" s="925"/>
      <c r="D722" s="534" t="s">
        <v>1389</v>
      </c>
      <c r="E722" s="930"/>
      <c r="F722" s="930"/>
      <c r="G722" s="930"/>
      <c r="H722" s="1416" t="s">
        <v>508</v>
      </c>
      <c r="I722" s="1416"/>
      <c r="J722" s="639"/>
      <c r="K722" s="639"/>
      <c r="L722" s="639"/>
      <c r="M722" s="639"/>
      <c r="N722" s="639"/>
      <c r="O722" s="639"/>
      <c r="P722" s="639"/>
      <c r="Q722" s="639"/>
      <c r="R722" s="639"/>
      <c r="S722" s="639"/>
      <c r="T722" s="639"/>
      <c r="U722" s="639"/>
      <c r="V722" s="639"/>
      <c r="W722" s="639"/>
      <c r="X722" s="639"/>
      <c r="Y722" s="639"/>
      <c r="Z722" s="639"/>
      <c r="AA722" s="639"/>
      <c r="AB722" s="639"/>
      <c r="AC722" s="534"/>
      <c r="AD722" s="534"/>
      <c r="AE722" s="612"/>
      <c r="AF722" s="612"/>
      <c r="AG722" s="612"/>
      <c r="AH722" s="612"/>
      <c r="AI722" s="612"/>
      <c r="AJ722" s="534"/>
      <c r="AK722" s="534"/>
      <c r="AL722" s="534"/>
      <c r="AM722" s="547"/>
      <c r="AN722" s="678"/>
      <c r="AP722" s="566" t="s">
        <v>1416</v>
      </c>
    </row>
    <row r="723" spans="1:43" s="566" customFormat="1">
      <c r="A723" s="547"/>
      <c r="B723" s="534"/>
      <c r="C723" s="925"/>
      <c r="D723" s="534"/>
      <c r="E723" s="639"/>
      <c r="F723" s="639"/>
      <c r="G723" s="639"/>
      <c r="H723" s="639"/>
      <c r="I723" s="639"/>
      <c r="J723" s="639"/>
      <c r="K723" s="639"/>
      <c r="L723" s="639"/>
      <c r="M723" s="639"/>
      <c r="N723" s="639"/>
      <c r="O723" s="639"/>
      <c r="P723" s="639"/>
      <c r="Q723" s="639"/>
      <c r="R723" s="639"/>
      <c r="S723" s="639"/>
      <c r="T723" s="639"/>
      <c r="U723" s="639"/>
      <c r="V723" s="639"/>
      <c r="W723" s="639"/>
      <c r="X723" s="639"/>
      <c r="Y723" s="639"/>
      <c r="Z723" s="639"/>
      <c r="AA723" s="639"/>
      <c r="AB723" s="639"/>
      <c r="AC723" s="534"/>
      <c r="AD723" s="534"/>
      <c r="AE723" s="612"/>
      <c r="AF723" s="612"/>
      <c r="AG723" s="612"/>
      <c r="AH723" s="612"/>
      <c r="AI723" s="612"/>
      <c r="AJ723" s="534"/>
      <c r="AK723" s="534"/>
      <c r="AL723" s="534"/>
      <c r="AM723" s="547"/>
      <c r="AN723" s="678"/>
      <c r="AP723" s="566" t="s">
        <v>1394</v>
      </c>
    </row>
    <row r="724" spans="1:43" s="566" customFormat="1" ht="12.75" customHeight="1">
      <c r="A724" s="602"/>
      <c r="B724" s="597"/>
      <c r="C724" s="938"/>
      <c r="D724" s="597"/>
      <c r="E724" s="597"/>
      <c r="F724" s="597"/>
      <c r="G724" s="597"/>
      <c r="H724" s="597"/>
      <c r="I724" s="597"/>
      <c r="J724" s="943"/>
      <c r="K724" s="943"/>
      <c r="L724" s="659"/>
      <c r="M724" s="659"/>
      <c r="N724" s="659"/>
      <c r="O724" s="659"/>
      <c r="P724" s="659"/>
      <c r="Q724" s="659"/>
      <c r="R724" s="659"/>
      <c r="S724" s="659"/>
      <c r="T724" s="659"/>
      <c r="U724" s="659"/>
      <c r="V724" s="659"/>
      <c r="W724" s="659"/>
      <c r="X724" s="659"/>
      <c r="Y724" s="933"/>
      <c r="Z724" s="933"/>
      <c r="AA724" s="933"/>
      <c r="AB724" s="597"/>
      <c r="AC724" s="597"/>
      <c r="AD724" s="597"/>
      <c r="AE724" s="597"/>
      <c r="AF724" s="597"/>
      <c r="AG724" s="597"/>
      <c r="AH724" s="597"/>
      <c r="AI724" s="561" t="s">
        <v>2088</v>
      </c>
      <c r="AJ724" s="1360">
        <f>VLOOKUP($H$722,$AO$716:$AP$719,2,FALSE)</f>
        <v>3</v>
      </c>
      <c r="AK724" s="1362"/>
      <c r="AL724" s="591"/>
      <c r="AM724" s="547"/>
      <c r="AN724" s="678"/>
      <c r="AP724" s="566" t="s">
        <v>1401</v>
      </c>
    </row>
    <row r="725" spans="1:43" s="566" customFormat="1">
      <c r="A725" s="547"/>
      <c r="B725" s="534"/>
      <c r="C725" s="534"/>
      <c r="D725" s="534"/>
      <c r="E725" s="534"/>
      <c r="F725" s="534"/>
      <c r="G725" s="534"/>
      <c r="H725" s="534"/>
      <c r="I725" s="534"/>
      <c r="J725" s="534"/>
      <c r="K725" s="534"/>
      <c r="L725" s="534"/>
      <c r="M725" s="534"/>
      <c r="N725" s="534"/>
      <c r="O725" s="534"/>
      <c r="P725" s="534"/>
      <c r="Q725" s="534"/>
      <c r="R725" s="534"/>
      <c r="S725" s="534"/>
      <c r="T725" s="534"/>
      <c r="U725" s="534"/>
      <c r="V725" s="534"/>
      <c r="W725" s="534"/>
      <c r="X725" s="534"/>
      <c r="Y725" s="534"/>
      <c r="Z725" s="534"/>
      <c r="AA725" s="534"/>
      <c r="AB725" s="534"/>
      <c r="AC725" s="534"/>
      <c r="AD725" s="534"/>
      <c r="AE725" s="612"/>
      <c r="AF725" s="612"/>
      <c r="AG725" s="612"/>
      <c r="AH725" s="612"/>
      <c r="AI725" s="612"/>
      <c r="AJ725" s="534"/>
      <c r="AK725" s="534"/>
      <c r="AL725" s="534"/>
      <c r="AM725" s="547"/>
      <c r="AN725" s="678"/>
      <c r="AP725" s="566" t="s">
        <v>1417</v>
      </c>
    </row>
    <row r="726" spans="1:43" s="566" customFormat="1" ht="12.75" customHeight="1">
      <c r="A726" s="547"/>
      <c r="B726" s="534"/>
      <c r="C726" s="537" t="s">
        <v>1418</v>
      </c>
      <c r="D726" s="706"/>
      <c r="E726" s="534"/>
      <c r="F726" s="534"/>
      <c r="G726" s="534"/>
      <c r="H726" s="534"/>
      <c r="I726" s="534"/>
      <c r="J726" s="534"/>
      <c r="K726" s="534"/>
      <c r="L726" s="534"/>
      <c r="M726" s="534"/>
      <c r="N726" s="534"/>
      <c r="O726" s="534"/>
      <c r="P726" s="534"/>
      <c r="Q726" s="534"/>
      <c r="R726" s="534"/>
      <c r="S726" s="534"/>
      <c r="T726" s="534"/>
      <c r="U726" s="534"/>
      <c r="V726" s="534"/>
      <c r="W726" s="534"/>
      <c r="X726" s="534"/>
      <c r="Y726" s="534"/>
      <c r="Z726" s="534"/>
      <c r="AA726" s="534"/>
      <c r="AB726" s="534"/>
      <c r="AC726" s="534"/>
      <c r="AD726" s="534"/>
      <c r="AE726" s="612"/>
      <c r="AF726" s="612"/>
      <c r="AG726" s="612"/>
      <c r="AH726" s="612"/>
      <c r="AI726" s="612"/>
      <c r="AJ726" s="534"/>
      <c r="AK726" s="534"/>
      <c r="AL726" s="534"/>
      <c r="AM726" s="547"/>
      <c r="AN726" s="678"/>
      <c r="AP726" s="566" t="s">
        <v>1419</v>
      </c>
    </row>
    <row r="727" spans="1:43" s="566" customFormat="1" ht="12.75" customHeight="1">
      <c r="A727" s="547"/>
      <c r="B727" s="534"/>
      <c r="C727" s="925"/>
      <c r="D727" s="534"/>
      <c r="E727" s="534"/>
      <c r="F727" s="534"/>
      <c r="G727" s="534"/>
      <c r="H727" s="534"/>
      <c r="I727" s="534"/>
      <c r="J727" s="534"/>
      <c r="K727" s="534"/>
      <c r="L727" s="534"/>
      <c r="M727" s="534"/>
      <c r="N727" s="534"/>
      <c r="O727" s="534"/>
      <c r="P727" s="534"/>
      <c r="Q727" s="534"/>
      <c r="R727" s="534"/>
      <c r="S727" s="534"/>
      <c r="T727" s="534"/>
      <c r="U727" s="534"/>
      <c r="V727" s="534"/>
      <c r="W727" s="534"/>
      <c r="X727" s="534"/>
      <c r="Y727" s="534"/>
      <c r="Z727" s="534"/>
      <c r="AA727" s="534"/>
      <c r="AB727" s="534"/>
      <c r="AC727" s="534"/>
      <c r="AD727" s="534"/>
      <c r="AE727" s="612"/>
      <c r="AF727" s="612"/>
      <c r="AG727" s="612"/>
      <c r="AH727" s="612"/>
      <c r="AI727" s="612"/>
      <c r="AJ727" s="534"/>
      <c r="AK727" s="534"/>
      <c r="AL727" s="534"/>
      <c r="AM727" s="547"/>
      <c r="AN727" s="678"/>
      <c r="AP727" s="566" t="s">
        <v>1420</v>
      </c>
    </row>
    <row r="728" spans="1:43" s="566" customFormat="1" ht="12.75" customHeight="1">
      <c r="A728" s="633"/>
      <c r="B728" s="534"/>
      <c r="C728" s="925"/>
      <c r="D728" s="657" t="s">
        <v>686</v>
      </c>
      <c r="E728" s="1424" t="s">
        <v>1681</v>
      </c>
      <c r="F728" s="1424"/>
      <c r="G728" s="1424"/>
      <c r="H728" s="1424"/>
      <c r="I728" s="1424"/>
      <c r="J728" s="1424"/>
      <c r="K728" s="1424"/>
      <c r="L728" s="1424"/>
      <c r="M728" s="1424"/>
      <c r="N728" s="1424"/>
      <c r="O728" s="1424"/>
      <c r="P728" s="1424"/>
      <c r="Q728" s="1424"/>
      <c r="R728" s="1424"/>
      <c r="S728" s="1424"/>
      <c r="T728" s="1424"/>
      <c r="U728" s="1424"/>
      <c r="V728" s="1424"/>
      <c r="W728" s="1424"/>
      <c r="X728" s="1424"/>
      <c r="Y728" s="1424"/>
      <c r="Z728" s="1424"/>
      <c r="AA728" s="1424"/>
      <c r="AB728" s="1424"/>
      <c r="AC728" s="534"/>
      <c r="AD728" s="534"/>
      <c r="AE728" s="534"/>
      <c r="AF728" s="1335" t="s">
        <v>1343</v>
      </c>
      <c r="AG728" s="1335"/>
      <c r="AH728" s="1335"/>
      <c r="AI728" s="1335"/>
      <c r="AJ728" s="1335"/>
      <c r="AK728" s="1335"/>
      <c r="AL728" s="1335"/>
      <c r="AM728" s="547"/>
      <c r="AN728" s="678"/>
      <c r="AP728" s="566" t="s">
        <v>1421</v>
      </c>
    </row>
    <row r="729" spans="1:43" s="566" customFormat="1" ht="11.85" customHeight="1">
      <c r="A729" s="547"/>
      <c r="B729" s="534"/>
      <c r="C729" s="927"/>
      <c r="D729" s="657"/>
      <c r="E729" s="1424"/>
      <c r="F729" s="1424"/>
      <c r="G729" s="1424"/>
      <c r="H729" s="1424"/>
      <c r="I729" s="1424"/>
      <c r="J729" s="1424"/>
      <c r="K729" s="1424"/>
      <c r="L729" s="1424"/>
      <c r="M729" s="1424"/>
      <c r="N729" s="1424"/>
      <c r="O729" s="1424"/>
      <c r="P729" s="1424"/>
      <c r="Q729" s="1424"/>
      <c r="R729" s="1424"/>
      <c r="S729" s="1424"/>
      <c r="T729" s="1424"/>
      <c r="U729" s="1424"/>
      <c r="V729" s="1424"/>
      <c r="W729" s="1424"/>
      <c r="X729" s="1424"/>
      <c r="Y729" s="1424"/>
      <c r="Z729" s="1424"/>
      <c r="AA729" s="1424"/>
      <c r="AB729" s="1424"/>
      <c r="AC729" s="534"/>
      <c r="AD729" s="534"/>
      <c r="AE729" s="534"/>
      <c r="AF729" s="534"/>
      <c r="AG729" s="534"/>
      <c r="AH729" s="534"/>
      <c r="AI729" s="534"/>
      <c r="AJ729" s="534"/>
      <c r="AK729" s="534"/>
      <c r="AL729" s="534"/>
      <c r="AM729" s="547"/>
      <c r="AN729" s="678"/>
      <c r="AP729" s="566" t="s">
        <v>1422</v>
      </c>
    </row>
    <row r="730" spans="1:43" s="566" customFormat="1" ht="14.1" customHeight="1">
      <c r="A730" s="547"/>
      <c r="B730" s="606"/>
      <c r="C730" s="925"/>
      <c r="D730" s="657"/>
      <c r="E730" s="1424"/>
      <c r="F730" s="1424"/>
      <c r="G730" s="1424"/>
      <c r="H730" s="1424"/>
      <c r="I730" s="1424"/>
      <c r="J730" s="1424"/>
      <c r="K730" s="1424"/>
      <c r="L730" s="1424"/>
      <c r="M730" s="1424"/>
      <c r="N730" s="1424"/>
      <c r="O730" s="1424"/>
      <c r="P730" s="1424"/>
      <c r="Q730" s="1424"/>
      <c r="R730" s="1424"/>
      <c r="S730" s="1424"/>
      <c r="T730" s="1424"/>
      <c r="U730" s="1424"/>
      <c r="V730" s="1424"/>
      <c r="W730" s="1424"/>
      <c r="X730" s="1424"/>
      <c r="Y730" s="1424"/>
      <c r="Z730" s="1424"/>
      <c r="AA730" s="1424"/>
      <c r="AB730" s="1424"/>
      <c r="AC730" s="534"/>
      <c r="AD730" s="534"/>
      <c r="AE730" s="612"/>
      <c r="AF730" s="534"/>
      <c r="AG730" s="534"/>
      <c r="AH730" s="534"/>
      <c r="AI730" s="534"/>
      <c r="AJ730" s="534"/>
      <c r="AK730" s="534"/>
      <c r="AL730" s="534"/>
      <c r="AM730" s="547"/>
      <c r="AN730" s="678"/>
      <c r="AP730" s="566" t="s">
        <v>1423</v>
      </c>
    </row>
    <row r="731" spans="1:43" s="566" customFormat="1" ht="14.1" customHeight="1">
      <c r="A731" s="547"/>
      <c r="B731" s="606"/>
      <c r="C731" s="925"/>
      <c r="D731" s="657"/>
      <c r="E731" s="930"/>
      <c r="F731" s="930"/>
      <c r="G731" s="930"/>
      <c r="H731" s="930"/>
      <c r="I731" s="930"/>
      <c r="J731" s="930"/>
      <c r="K731" s="930"/>
      <c r="L731" s="930"/>
      <c r="M731" s="930"/>
      <c r="N731" s="930"/>
      <c r="O731" s="930"/>
      <c r="P731" s="930"/>
      <c r="Q731" s="930"/>
      <c r="R731" s="930"/>
      <c r="S731" s="930"/>
      <c r="T731" s="930"/>
      <c r="U731" s="930"/>
      <c r="V731" s="930"/>
      <c r="W731" s="930"/>
      <c r="X731" s="930"/>
      <c r="Y731" s="930"/>
      <c r="Z731" s="930"/>
      <c r="AA731" s="930"/>
      <c r="AB731" s="930"/>
      <c r="AC731" s="534"/>
      <c r="AD731" s="534"/>
      <c r="AE731" s="612"/>
      <c r="AF731" s="534"/>
      <c r="AG731" s="534"/>
      <c r="AH731" s="534"/>
      <c r="AI731" s="534"/>
      <c r="AJ731" s="534"/>
      <c r="AK731" s="534"/>
      <c r="AL731" s="534"/>
      <c r="AM731" s="547"/>
      <c r="AN731" s="678"/>
      <c r="AP731" s="680" t="s">
        <v>1425</v>
      </c>
    </row>
    <row r="732" spans="1:43" s="566" customFormat="1" ht="14.1" customHeight="1">
      <c r="A732" s="547"/>
      <c r="B732" s="534"/>
      <c r="C732" s="925"/>
      <c r="D732" s="657" t="s">
        <v>508</v>
      </c>
      <c r="E732" s="1425" t="s">
        <v>1424</v>
      </c>
      <c r="F732" s="1425"/>
      <c r="G732" s="1425"/>
      <c r="H732" s="1425"/>
      <c r="I732" s="1425"/>
      <c r="J732" s="1425"/>
      <c r="K732" s="1425"/>
      <c r="L732" s="1425"/>
      <c r="M732" s="1425"/>
      <c r="N732" s="1425"/>
      <c r="O732" s="1425"/>
      <c r="P732" s="1425"/>
      <c r="Q732" s="1425"/>
      <c r="R732" s="1425"/>
      <c r="S732" s="1425"/>
      <c r="T732" s="1425"/>
      <c r="U732" s="1425"/>
      <c r="V732" s="1425"/>
      <c r="W732" s="1425"/>
      <c r="X732" s="1425"/>
      <c r="Y732" s="1425"/>
      <c r="Z732" s="1425"/>
      <c r="AA732" s="1425"/>
      <c r="AB732" s="1425"/>
      <c r="AC732" s="534"/>
      <c r="AD732" s="534"/>
      <c r="AE732" s="534"/>
      <c r="AF732" s="1335" t="s">
        <v>1397</v>
      </c>
      <c r="AG732" s="1335"/>
      <c r="AH732" s="1335"/>
      <c r="AI732" s="1335"/>
      <c r="AJ732" s="1335"/>
      <c r="AK732" s="1335"/>
      <c r="AL732" s="1335"/>
      <c r="AM732" s="547"/>
      <c r="AN732" s="679"/>
    </row>
    <row r="733" spans="1:43" s="566" customFormat="1" ht="12.75" customHeight="1">
      <c r="A733" s="547"/>
      <c r="B733" s="534"/>
      <c r="C733" s="927"/>
      <c r="D733" s="534"/>
      <c r="E733" s="1425"/>
      <c r="F733" s="1425"/>
      <c r="G733" s="1425"/>
      <c r="H733" s="1425"/>
      <c r="I733" s="1425"/>
      <c r="J733" s="1425"/>
      <c r="K733" s="1425"/>
      <c r="L733" s="1425"/>
      <c r="M733" s="1425"/>
      <c r="N733" s="1425"/>
      <c r="O733" s="1425"/>
      <c r="P733" s="1425"/>
      <c r="Q733" s="1425"/>
      <c r="R733" s="1425"/>
      <c r="S733" s="1425"/>
      <c r="T733" s="1425"/>
      <c r="U733" s="1425"/>
      <c r="V733" s="1425"/>
      <c r="W733" s="1425"/>
      <c r="X733" s="1425"/>
      <c r="Y733" s="1425"/>
      <c r="Z733" s="1425"/>
      <c r="AA733" s="1425"/>
      <c r="AB733" s="1425"/>
      <c r="AC733" s="534"/>
      <c r="AD733" s="534"/>
      <c r="AE733" s="534"/>
      <c r="AF733" s="534"/>
      <c r="AG733" s="534"/>
      <c r="AH733" s="534"/>
      <c r="AI733" s="534"/>
      <c r="AJ733" s="534"/>
      <c r="AK733" s="534"/>
      <c r="AL733" s="534"/>
      <c r="AM733" s="547"/>
      <c r="AN733" s="678"/>
      <c r="AP733" s="547" t="s">
        <v>590</v>
      </c>
      <c r="AQ733" s="667">
        <v>0</v>
      </c>
    </row>
    <row r="734" spans="1:43" s="566" customFormat="1" ht="14.1" customHeight="1">
      <c r="A734" s="547"/>
      <c r="B734" s="534"/>
      <c r="C734" s="927"/>
      <c r="D734" s="534"/>
      <c r="E734" s="1425"/>
      <c r="F734" s="1425"/>
      <c r="G734" s="1425"/>
      <c r="H734" s="1425"/>
      <c r="I734" s="1425"/>
      <c r="J734" s="1425"/>
      <c r="K734" s="1425"/>
      <c r="L734" s="1425"/>
      <c r="M734" s="1425"/>
      <c r="N734" s="1425"/>
      <c r="O734" s="1425"/>
      <c r="P734" s="1425"/>
      <c r="Q734" s="1425"/>
      <c r="R734" s="1425"/>
      <c r="S734" s="1425"/>
      <c r="T734" s="1425"/>
      <c r="U734" s="1425"/>
      <c r="V734" s="1425"/>
      <c r="W734" s="1425"/>
      <c r="X734" s="1425"/>
      <c r="Y734" s="1425"/>
      <c r="Z734" s="1425"/>
      <c r="AA734" s="1425"/>
      <c r="AB734" s="1425"/>
      <c r="AC734" s="534"/>
      <c r="AD734" s="534"/>
      <c r="AE734" s="534"/>
      <c r="AF734" s="534"/>
      <c r="AG734" s="534"/>
      <c r="AH734" s="534"/>
      <c r="AI734" s="534"/>
      <c r="AJ734" s="534"/>
      <c r="AK734" s="534"/>
      <c r="AL734" s="534"/>
      <c r="AM734" s="547"/>
      <c r="AN734" s="678"/>
      <c r="AP734" s="607" t="s">
        <v>686</v>
      </c>
      <c r="AQ734" s="547">
        <v>3</v>
      </c>
    </row>
    <row r="735" spans="1:43" s="566" customFormat="1" ht="14.1" customHeight="1">
      <c r="A735" s="547"/>
      <c r="B735" s="534"/>
      <c r="C735" s="927"/>
      <c r="D735" s="534"/>
      <c r="E735" s="944"/>
      <c r="F735" s="944"/>
      <c r="G735" s="944"/>
      <c r="H735" s="944"/>
      <c r="I735" s="944"/>
      <c r="J735" s="944"/>
      <c r="K735" s="944"/>
      <c r="L735" s="944"/>
      <c r="M735" s="944"/>
      <c r="N735" s="944"/>
      <c r="O735" s="944"/>
      <c r="P735" s="944"/>
      <c r="Q735" s="944"/>
      <c r="R735" s="944"/>
      <c r="S735" s="944"/>
      <c r="T735" s="944"/>
      <c r="U735" s="944"/>
      <c r="V735" s="944"/>
      <c r="W735" s="944"/>
      <c r="X735" s="944"/>
      <c r="Y735" s="944"/>
      <c r="Z735" s="944"/>
      <c r="AA735" s="944"/>
      <c r="AB735" s="944"/>
      <c r="AC735" s="534"/>
      <c r="AD735" s="534"/>
      <c r="AE735" s="534"/>
      <c r="AF735" s="534"/>
      <c r="AG735" s="534"/>
      <c r="AH735" s="534"/>
      <c r="AI735" s="534"/>
      <c r="AJ735" s="534"/>
      <c r="AK735" s="534"/>
      <c r="AL735" s="534"/>
      <c r="AM735" s="547"/>
      <c r="AN735" s="678"/>
      <c r="AP735" s="607" t="s">
        <v>508</v>
      </c>
      <c r="AQ735" s="547">
        <v>2</v>
      </c>
    </row>
    <row r="736" spans="1:43" s="566" customFormat="1" ht="14.1" customHeight="1">
      <c r="A736" s="547"/>
      <c r="B736" s="534"/>
      <c r="C736" s="927"/>
      <c r="D736" s="534" t="s">
        <v>1389</v>
      </c>
      <c r="E736" s="930"/>
      <c r="F736" s="930"/>
      <c r="G736" s="930"/>
      <c r="H736" s="1416" t="s">
        <v>590</v>
      </c>
      <c r="I736" s="1416"/>
      <c r="J736" s="944"/>
      <c r="K736" s="944"/>
      <c r="L736" s="944"/>
      <c r="M736" s="944"/>
      <c r="N736" s="944"/>
      <c r="O736" s="944"/>
      <c r="P736" s="944"/>
      <c r="Q736" s="944"/>
      <c r="R736" s="944"/>
      <c r="S736" s="944"/>
      <c r="T736" s="944"/>
      <c r="U736" s="944"/>
      <c r="V736" s="944"/>
      <c r="W736" s="944"/>
      <c r="X736" s="944"/>
      <c r="Y736" s="944"/>
      <c r="Z736" s="944"/>
      <c r="AA736" s="944"/>
      <c r="AB736" s="944"/>
      <c r="AC736" s="534"/>
      <c r="AD736" s="534"/>
      <c r="AE736" s="534"/>
      <c r="AF736" s="534"/>
      <c r="AG736" s="534"/>
      <c r="AH736" s="534"/>
      <c r="AI736" s="534"/>
      <c r="AJ736" s="534"/>
      <c r="AK736" s="534"/>
      <c r="AL736" s="534"/>
      <c r="AM736" s="547"/>
      <c r="AN736" s="678"/>
    </row>
    <row r="737" spans="1:81" s="566" customFormat="1" ht="14.25" customHeight="1">
      <c r="A737" s="547"/>
      <c r="B737" s="534"/>
      <c r="C737" s="927"/>
      <c r="D737" s="534"/>
      <c r="E737" s="944"/>
      <c r="F737" s="944"/>
      <c r="G737" s="944"/>
      <c r="H737" s="944"/>
      <c r="I737" s="944"/>
      <c r="J737" s="944"/>
      <c r="K737" s="944"/>
      <c r="L737" s="944"/>
      <c r="M737" s="944"/>
      <c r="N737" s="944"/>
      <c r="O737" s="944"/>
      <c r="P737" s="944"/>
      <c r="Q737" s="944"/>
      <c r="R737" s="944"/>
      <c r="S737" s="944"/>
      <c r="T737" s="944"/>
      <c r="U737" s="944"/>
      <c r="V737" s="944"/>
      <c r="W737" s="944"/>
      <c r="X737" s="944"/>
      <c r="Y737" s="944"/>
      <c r="Z737" s="944"/>
      <c r="AA737" s="944"/>
      <c r="AB737" s="944"/>
      <c r="AC737" s="534"/>
      <c r="AD737" s="534"/>
      <c r="AE737" s="534"/>
      <c r="AF737" s="534"/>
      <c r="AG737" s="534"/>
      <c r="AH737" s="534"/>
      <c r="AI737" s="534"/>
      <c r="AJ737" s="534"/>
      <c r="AK737" s="534"/>
      <c r="AL737" s="534"/>
      <c r="AM737" s="547"/>
      <c r="AN737" s="678"/>
    </row>
    <row r="738" spans="1:81" s="566" customFormat="1" ht="12.75" customHeight="1">
      <c r="A738" s="602"/>
      <c r="B738" s="597"/>
      <c r="C738" s="932"/>
      <c r="D738" s="597"/>
      <c r="E738" s="597"/>
      <c r="F738" s="597"/>
      <c r="G738" s="597"/>
      <c r="H738" s="597"/>
      <c r="I738" s="597"/>
      <c r="J738" s="945"/>
      <c r="K738" s="945"/>
      <c r="L738" s="945"/>
      <c r="M738" s="945"/>
      <c r="N738" s="945"/>
      <c r="O738" s="945"/>
      <c r="P738" s="945"/>
      <c r="Q738" s="945"/>
      <c r="R738" s="945"/>
      <c r="S738" s="945"/>
      <c r="T738" s="945"/>
      <c r="U738" s="659"/>
      <c r="V738" s="659"/>
      <c r="W738" s="659"/>
      <c r="X738" s="659"/>
      <c r="Y738" s="933"/>
      <c r="Z738" s="933"/>
      <c r="AA738" s="933"/>
      <c r="AB738" s="597"/>
      <c r="AC738" s="597"/>
      <c r="AD738" s="597"/>
      <c r="AE738" s="597"/>
      <c r="AF738" s="597"/>
      <c r="AG738" s="597"/>
      <c r="AH738" s="597"/>
      <c r="AI738" s="561" t="s">
        <v>1426</v>
      </c>
      <c r="AJ738" s="1360">
        <f>VLOOKUP($H$736,$AP$733:$AQ$735,2,FALSE)</f>
        <v>0</v>
      </c>
      <c r="AK738" s="1362"/>
      <c r="AL738" s="591"/>
      <c r="AM738" s="547"/>
      <c r="AN738" s="678"/>
      <c r="AP738" s="1360"/>
      <c r="AQ738" s="1362"/>
    </row>
    <row r="739" spans="1:81" s="566" customFormat="1">
      <c r="A739" s="547"/>
      <c r="B739" s="606"/>
      <c r="C739" s="925"/>
      <c r="D739" s="929"/>
      <c r="E739" s="612"/>
      <c r="F739" s="612"/>
      <c r="G739" s="612"/>
      <c r="H739" s="612"/>
      <c r="I739" s="612"/>
      <c r="J739" s="612"/>
      <c r="K739" s="612"/>
      <c r="L739" s="612"/>
      <c r="M739" s="612"/>
      <c r="N739" s="612"/>
      <c r="O739" s="612"/>
      <c r="P739" s="612"/>
      <c r="Q739" s="612"/>
      <c r="R739" s="612"/>
      <c r="S739" s="612"/>
      <c r="T739" s="612"/>
      <c r="U739" s="612"/>
      <c r="V739" s="612"/>
      <c r="W739" s="612"/>
      <c r="X739" s="612"/>
      <c r="Y739" s="612"/>
      <c r="Z739" s="612"/>
      <c r="AA739" s="612"/>
      <c r="AB739" s="612"/>
      <c r="AC739" s="534"/>
      <c r="AD739" s="534"/>
      <c r="AE739" s="534"/>
      <c r="AF739" s="534"/>
      <c r="AG739" s="534"/>
      <c r="AH739" s="534"/>
      <c r="AI739" s="534"/>
      <c r="AJ739" s="534"/>
      <c r="AK739" s="534"/>
      <c r="AL739" s="534"/>
      <c r="AM739" s="547"/>
      <c r="AN739" s="678"/>
      <c r="AT739" s="14"/>
      <c r="AU739" s="14"/>
      <c r="AV739" s="14"/>
      <c r="AW739" s="14"/>
      <c r="AX739" s="14"/>
      <c r="AY739" s="14"/>
      <c r="AZ739" s="14"/>
    </row>
    <row r="740" spans="1:81" s="566" customFormat="1">
      <c r="A740" s="547"/>
      <c r="B740" s="534"/>
      <c r="C740" s="537" t="s">
        <v>1427</v>
      </c>
      <c r="D740" s="946"/>
      <c r="E740" s="612"/>
      <c r="F740" s="612"/>
      <c r="G740" s="612"/>
      <c r="H740" s="612"/>
      <c r="I740" s="612"/>
      <c r="J740" s="612"/>
      <c r="K740" s="612"/>
      <c r="L740" s="612"/>
      <c r="M740" s="612"/>
      <c r="N740" s="612"/>
      <c r="O740" s="612"/>
      <c r="P740" s="612"/>
      <c r="Q740" s="612"/>
      <c r="R740" s="612"/>
      <c r="S740" s="612"/>
      <c r="T740" s="612"/>
      <c r="U740" s="612"/>
      <c r="V740" s="612"/>
      <c r="W740" s="612"/>
      <c r="X740" s="612"/>
      <c r="Y740" s="612"/>
      <c r="Z740" s="612"/>
      <c r="AA740" s="612"/>
      <c r="AB740" s="612"/>
      <c r="AC740" s="534"/>
      <c r="AD740" s="534"/>
      <c r="AE740" s="534"/>
      <c r="AF740" s="534"/>
      <c r="AG740" s="534"/>
      <c r="AH740" s="534"/>
      <c r="AI740" s="534"/>
      <c r="AJ740" s="534"/>
      <c r="AK740" s="534"/>
      <c r="AL740" s="534"/>
      <c r="AM740" s="547"/>
      <c r="AN740" s="678"/>
      <c r="AT740" s="14"/>
      <c r="AU740" s="14"/>
      <c r="AV740" s="14"/>
      <c r="AW740" s="14"/>
      <c r="AX740" s="14"/>
      <c r="AY740" s="14"/>
      <c r="AZ740" s="14"/>
    </row>
    <row r="741" spans="1:81" s="566" customFormat="1">
      <c r="A741" s="547"/>
      <c r="B741" s="606"/>
      <c r="C741" s="925"/>
      <c r="D741" s="929"/>
      <c r="E741" s="612"/>
      <c r="F741" s="612"/>
      <c r="G741" s="612"/>
      <c r="H741" s="612"/>
      <c r="I741" s="612"/>
      <c r="J741" s="612"/>
      <c r="K741" s="612"/>
      <c r="L741" s="612"/>
      <c r="M741" s="612"/>
      <c r="N741" s="612"/>
      <c r="O741" s="612"/>
      <c r="P741" s="612"/>
      <c r="Q741" s="612"/>
      <c r="R741" s="612"/>
      <c r="S741" s="612"/>
      <c r="T741" s="612"/>
      <c r="U741" s="612"/>
      <c r="V741" s="612"/>
      <c r="W741" s="612"/>
      <c r="X741" s="612"/>
      <c r="Y741" s="612"/>
      <c r="Z741" s="612"/>
      <c r="AA741" s="612"/>
      <c r="AB741" s="612"/>
      <c r="AC741" s="534"/>
      <c r="AD741" s="534"/>
      <c r="AE741" s="534"/>
      <c r="AF741" s="534"/>
      <c r="AG741" s="534"/>
      <c r="AH741" s="534"/>
      <c r="AI741" s="534"/>
      <c r="AJ741" s="534"/>
      <c r="AK741" s="534"/>
      <c r="AL741" s="534"/>
      <c r="AM741" s="547"/>
      <c r="AN741" s="678"/>
      <c r="AT741" s="14"/>
      <c r="AU741" s="14"/>
      <c r="AV741" s="14"/>
      <c r="AW741" s="14"/>
      <c r="AX741" s="14"/>
      <c r="AY741" s="14"/>
      <c r="AZ741" s="14"/>
    </row>
    <row r="742" spans="1:81" s="566" customFormat="1">
      <c r="A742" s="547"/>
      <c r="B742" s="534"/>
      <c r="C742" s="925"/>
      <c r="D742" s="657" t="s">
        <v>686</v>
      </c>
      <c r="E742" s="1352" t="s">
        <v>1682</v>
      </c>
      <c r="F742" s="1352"/>
      <c r="G742" s="1352"/>
      <c r="H742" s="1352"/>
      <c r="I742" s="1352"/>
      <c r="J742" s="1352"/>
      <c r="K742" s="1352"/>
      <c r="L742" s="1352"/>
      <c r="M742" s="1352"/>
      <c r="N742" s="1352"/>
      <c r="O742" s="1352"/>
      <c r="P742" s="1352"/>
      <c r="Q742" s="1352"/>
      <c r="R742" s="1352"/>
      <c r="S742" s="1352"/>
      <c r="T742" s="1352"/>
      <c r="U742" s="1352"/>
      <c r="V742" s="1352"/>
      <c r="W742" s="1352"/>
      <c r="X742" s="1352"/>
      <c r="Y742" s="1352"/>
      <c r="Z742" s="1352"/>
      <c r="AA742" s="1352"/>
      <c r="AB742" s="1352"/>
      <c r="AC742" s="534"/>
      <c r="AD742" s="534"/>
      <c r="AE742" s="534"/>
      <c r="AF742" s="1335" t="s">
        <v>1343</v>
      </c>
      <c r="AG742" s="1335"/>
      <c r="AH742" s="1335"/>
      <c r="AI742" s="1335"/>
      <c r="AJ742" s="1335"/>
      <c r="AK742" s="1335"/>
      <c r="AL742" s="1335"/>
      <c r="AM742" s="547"/>
      <c r="AN742" s="678"/>
      <c r="AT742" s="14"/>
      <c r="AU742" s="14"/>
      <c r="AV742" s="14"/>
      <c r="AW742" s="14"/>
      <c r="AX742" s="14"/>
      <c r="AY742" s="14"/>
      <c r="AZ742" s="14"/>
    </row>
    <row r="743" spans="1:81" s="566" customFormat="1">
      <c r="A743" s="547"/>
      <c r="B743" s="534"/>
      <c r="C743" s="927"/>
      <c r="D743" s="657"/>
      <c r="E743" s="1352"/>
      <c r="F743" s="1352"/>
      <c r="G743" s="1352"/>
      <c r="H743" s="1352"/>
      <c r="I743" s="1352"/>
      <c r="J743" s="1352"/>
      <c r="K743" s="1352"/>
      <c r="L743" s="1352"/>
      <c r="M743" s="1352"/>
      <c r="N743" s="1352"/>
      <c r="O743" s="1352"/>
      <c r="P743" s="1352"/>
      <c r="Q743" s="1352"/>
      <c r="R743" s="1352"/>
      <c r="S743" s="1352"/>
      <c r="T743" s="1352"/>
      <c r="U743" s="1352"/>
      <c r="V743" s="1352"/>
      <c r="W743" s="1352"/>
      <c r="X743" s="1352"/>
      <c r="Y743" s="1352"/>
      <c r="Z743" s="1352"/>
      <c r="AA743" s="1352"/>
      <c r="AB743" s="1352"/>
      <c r="AC743" s="534"/>
      <c r="AD743" s="534"/>
      <c r="AE743" s="534"/>
      <c r="AF743" s="534"/>
      <c r="AG743" s="534"/>
      <c r="AH743" s="534"/>
      <c r="AI743" s="534"/>
      <c r="AJ743" s="534"/>
      <c r="AK743" s="534"/>
      <c r="AL743" s="534"/>
      <c r="AM743" s="547"/>
      <c r="AN743" s="678"/>
      <c r="AT743" s="14"/>
      <c r="AU743" s="14"/>
      <c r="AV743" s="14"/>
      <c r="AW743" s="14"/>
      <c r="AX743" s="14"/>
      <c r="AY743" s="14"/>
      <c r="AZ743" s="14"/>
    </row>
    <row r="744" spans="1:81" s="566" customFormat="1">
      <c r="A744" s="547"/>
      <c r="B744" s="606"/>
      <c r="C744" s="925"/>
      <c r="D744" s="657"/>
      <c r="E744" s="612"/>
      <c r="F744" s="612"/>
      <c r="G744" s="612"/>
      <c r="H744" s="612"/>
      <c r="I744" s="612"/>
      <c r="J744" s="612"/>
      <c r="K744" s="612"/>
      <c r="L744" s="612"/>
      <c r="M744" s="612"/>
      <c r="N744" s="612"/>
      <c r="O744" s="612"/>
      <c r="P744" s="612"/>
      <c r="Q744" s="612"/>
      <c r="R744" s="612"/>
      <c r="S744" s="612"/>
      <c r="T744" s="612"/>
      <c r="U744" s="612"/>
      <c r="V744" s="612"/>
      <c r="W744" s="612"/>
      <c r="X744" s="612"/>
      <c r="Y744" s="612"/>
      <c r="Z744" s="612"/>
      <c r="AA744" s="612"/>
      <c r="AB744" s="612"/>
      <c r="AC744" s="534"/>
      <c r="AD744" s="534"/>
      <c r="AE744" s="534"/>
      <c r="AF744" s="534"/>
      <c r="AG744" s="534"/>
      <c r="AH744" s="534"/>
      <c r="AI744" s="534"/>
      <c r="AJ744" s="534"/>
      <c r="AK744" s="534"/>
      <c r="AL744" s="534"/>
      <c r="AM744" s="547"/>
      <c r="AN744" s="678"/>
      <c r="AT744" s="14"/>
      <c r="AU744" s="14"/>
      <c r="AV744" s="14"/>
      <c r="AW744" s="14"/>
      <c r="AX744" s="14"/>
      <c r="AY744" s="14"/>
      <c r="AZ744" s="14"/>
    </row>
    <row r="745" spans="1:81" s="566" customFormat="1" ht="12.75" customHeight="1">
      <c r="A745" s="547"/>
      <c r="B745" s="534"/>
      <c r="C745" s="925"/>
      <c r="D745" s="657" t="s">
        <v>508</v>
      </c>
      <c r="E745" s="1352" t="s">
        <v>1428</v>
      </c>
      <c r="F745" s="1352"/>
      <c r="G745" s="1352"/>
      <c r="H745" s="1352"/>
      <c r="I745" s="1352"/>
      <c r="J745" s="1352"/>
      <c r="K745" s="1352"/>
      <c r="L745" s="1352"/>
      <c r="M745" s="1352"/>
      <c r="N745" s="1352"/>
      <c r="O745" s="1352"/>
      <c r="P745" s="1352"/>
      <c r="Q745" s="1352"/>
      <c r="R745" s="1352"/>
      <c r="S745" s="1352"/>
      <c r="T745" s="1352"/>
      <c r="U745" s="1352"/>
      <c r="V745" s="1352"/>
      <c r="W745" s="1352"/>
      <c r="X745" s="1352"/>
      <c r="Y745" s="1352"/>
      <c r="Z745" s="1352"/>
      <c r="AA745" s="1352"/>
      <c r="AB745" s="1352"/>
      <c r="AC745" s="534"/>
      <c r="AD745" s="534"/>
      <c r="AE745" s="534"/>
      <c r="AF745" s="1335" t="s">
        <v>1397</v>
      </c>
      <c r="AG745" s="1335"/>
      <c r="AH745" s="1335"/>
      <c r="AI745" s="1335"/>
      <c r="AJ745" s="1335"/>
      <c r="AK745" s="1335"/>
      <c r="AL745" s="1335"/>
      <c r="AM745" s="547"/>
      <c r="AN745" s="678"/>
      <c r="AT745" s="14"/>
      <c r="AU745" s="14"/>
      <c r="AV745" s="14"/>
      <c r="AW745" s="14"/>
      <c r="AX745" s="14"/>
      <c r="AY745" s="14"/>
      <c r="AZ745" s="14"/>
    </row>
    <row r="746" spans="1:81" s="566" customFormat="1">
      <c r="A746" s="547"/>
      <c r="B746" s="534"/>
      <c r="C746" s="927"/>
      <c r="D746" s="534"/>
      <c r="E746" s="1352"/>
      <c r="F746" s="1352"/>
      <c r="G746" s="1352"/>
      <c r="H746" s="1352"/>
      <c r="I746" s="1352"/>
      <c r="J746" s="1352"/>
      <c r="K746" s="1352"/>
      <c r="L746" s="1352"/>
      <c r="M746" s="1352"/>
      <c r="N746" s="1352"/>
      <c r="O746" s="1352"/>
      <c r="P746" s="1352"/>
      <c r="Q746" s="1352"/>
      <c r="R746" s="1352"/>
      <c r="S746" s="1352"/>
      <c r="T746" s="1352"/>
      <c r="U746" s="1352"/>
      <c r="V746" s="1352"/>
      <c r="W746" s="1352"/>
      <c r="X746" s="1352"/>
      <c r="Y746" s="1352"/>
      <c r="Z746" s="1352"/>
      <c r="AA746" s="1352"/>
      <c r="AB746" s="1352"/>
      <c r="AC746" s="534"/>
      <c r="AD746" s="534"/>
      <c r="AE746" s="534"/>
      <c r="AF746" s="534"/>
      <c r="AG746" s="534"/>
      <c r="AH746" s="534"/>
      <c r="AI746" s="534"/>
      <c r="AJ746" s="534"/>
      <c r="AK746" s="534"/>
      <c r="AL746" s="534"/>
      <c r="AM746" s="547"/>
      <c r="AN746" s="678"/>
      <c r="AT746" s="14"/>
      <c r="AU746" s="14"/>
      <c r="AV746" s="14"/>
      <c r="AW746" s="14"/>
      <c r="AX746" s="14"/>
      <c r="AY746" s="14"/>
      <c r="AZ746" s="14"/>
    </row>
    <row r="747" spans="1:81" s="566" customFormat="1">
      <c r="A747" s="547"/>
      <c r="B747" s="534"/>
      <c r="C747" s="927"/>
      <c r="D747" s="534"/>
      <c r="E747" s="639"/>
      <c r="F747" s="639"/>
      <c r="G747" s="639"/>
      <c r="H747" s="639"/>
      <c r="I747" s="639"/>
      <c r="J747" s="639"/>
      <c r="K747" s="639"/>
      <c r="L747" s="639"/>
      <c r="M747" s="639"/>
      <c r="N747" s="639"/>
      <c r="O747" s="639"/>
      <c r="P747" s="639"/>
      <c r="Q747" s="639"/>
      <c r="R747" s="639"/>
      <c r="S747" s="639"/>
      <c r="T747" s="639"/>
      <c r="U747" s="639"/>
      <c r="V747" s="639"/>
      <c r="W747" s="639"/>
      <c r="X747" s="639"/>
      <c r="Y747" s="639"/>
      <c r="Z747" s="639"/>
      <c r="AA747" s="639"/>
      <c r="AB747" s="639"/>
      <c r="AC747" s="534"/>
      <c r="AD747" s="534"/>
      <c r="AE747" s="534"/>
      <c r="AF747" s="534"/>
      <c r="AG747" s="534"/>
      <c r="AH747" s="534"/>
      <c r="AI747" s="534"/>
      <c r="AJ747" s="534"/>
      <c r="AK747" s="534"/>
      <c r="AL747" s="534"/>
      <c r="AM747" s="547"/>
      <c r="AN747" s="678"/>
      <c r="AT747" s="14"/>
      <c r="AU747" s="14"/>
      <c r="AV747" s="14"/>
      <c r="AW747" s="14"/>
      <c r="AX747" s="14"/>
      <c r="AY747" s="14"/>
      <c r="AZ747" s="14"/>
    </row>
    <row r="748" spans="1:81" s="566" customFormat="1" ht="12.75" customHeight="1">
      <c r="A748" s="547"/>
      <c r="B748" s="534"/>
      <c r="C748" s="927"/>
      <c r="D748" s="534" t="s">
        <v>1389</v>
      </c>
      <c r="E748" s="930"/>
      <c r="F748" s="930"/>
      <c r="G748" s="930"/>
      <c r="H748" s="1416" t="s">
        <v>590</v>
      </c>
      <c r="I748" s="1416"/>
      <c r="J748" s="639"/>
      <c r="K748" s="639"/>
      <c r="L748" s="639"/>
      <c r="M748" s="639"/>
      <c r="N748" s="639"/>
      <c r="O748" s="639"/>
      <c r="P748" s="639"/>
      <c r="Q748" s="639"/>
      <c r="R748" s="639"/>
      <c r="S748" s="639"/>
      <c r="T748" s="639"/>
      <c r="U748" s="639"/>
      <c r="V748" s="639"/>
      <c r="W748" s="639"/>
      <c r="X748" s="639"/>
      <c r="Y748" s="639"/>
      <c r="Z748" s="639"/>
      <c r="AA748" s="639"/>
      <c r="AB748" s="639"/>
      <c r="AC748" s="534"/>
      <c r="AD748" s="534"/>
      <c r="AE748" s="534"/>
      <c r="AF748" s="534"/>
      <c r="AG748" s="534"/>
      <c r="AH748" s="534"/>
      <c r="AI748" s="534"/>
      <c r="AJ748" s="534"/>
      <c r="AK748" s="534"/>
      <c r="AL748" s="534"/>
      <c r="AM748" s="547"/>
      <c r="AN748" s="678"/>
      <c r="AT748" s="14"/>
      <c r="AU748" s="14"/>
      <c r="AV748" s="14"/>
      <c r="AW748" s="14"/>
      <c r="AX748" s="14"/>
      <c r="AY748" s="14"/>
      <c r="AZ748" s="14"/>
    </row>
    <row r="749" spans="1:81" s="566" customFormat="1">
      <c r="A749" s="547"/>
      <c r="B749" s="534"/>
      <c r="C749" s="927"/>
      <c r="D749" s="534"/>
      <c r="E749" s="639"/>
      <c r="F749" s="639"/>
      <c r="G749" s="639"/>
      <c r="H749" s="639"/>
      <c r="I749" s="639"/>
      <c r="J749" s="639"/>
      <c r="K749" s="639"/>
      <c r="L749" s="639"/>
      <c r="M749" s="639"/>
      <c r="N749" s="639"/>
      <c r="O749" s="639"/>
      <c r="P749" s="639"/>
      <c r="Q749" s="639"/>
      <c r="R749" s="639"/>
      <c r="S749" s="639"/>
      <c r="T749" s="639"/>
      <c r="U749" s="639"/>
      <c r="V749" s="639"/>
      <c r="W749" s="639"/>
      <c r="X749" s="639"/>
      <c r="Y749" s="639"/>
      <c r="Z749" s="639"/>
      <c r="AA749" s="639"/>
      <c r="AB749" s="639"/>
      <c r="AC749" s="534"/>
      <c r="AD749" s="534"/>
      <c r="AE749" s="534"/>
      <c r="AF749" s="534"/>
      <c r="AG749" s="534"/>
      <c r="AH749" s="534"/>
      <c r="AI749" s="534"/>
      <c r="AJ749" s="534"/>
      <c r="AK749" s="534"/>
      <c r="AL749" s="534"/>
      <c r="AM749" s="547"/>
      <c r="AN749" s="678"/>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6" customFormat="1">
      <c r="A750" s="602"/>
      <c r="B750" s="597"/>
      <c r="C750" s="932"/>
      <c r="D750" s="597"/>
      <c r="E750" s="943"/>
      <c r="F750" s="943"/>
      <c r="G750" s="943"/>
      <c r="H750" s="943"/>
      <c r="I750" s="943"/>
      <c r="J750" s="943"/>
      <c r="K750" s="943"/>
      <c r="L750" s="943"/>
      <c r="M750" s="943"/>
      <c r="N750" s="943"/>
      <c r="O750" s="943"/>
      <c r="P750" s="943"/>
      <c r="Q750" s="943"/>
      <c r="R750" s="943"/>
      <c r="S750" s="943"/>
      <c r="T750" s="943"/>
      <c r="U750" s="943"/>
      <c r="V750" s="659"/>
      <c r="W750" s="659"/>
      <c r="X750" s="659"/>
      <c r="Y750" s="933"/>
      <c r="Z750" s="933"/>
      <c r="AA750" s="933"/>
      <c r="AB750" s="597"/>
      <c r="AC750" s="597"/>
      <c r="AD750" s="597"/>
      <c r="AE750" s="597"/>
      <c r="AF750" s="597"/>
      <c r="AG750" s="597"/>
      <c r="AH750" s="597"/>
      <c r="AI750" s="561" t="s">
        <v>1429</v>
      </c>
      <c r="AJ750" s="1360">
        <f>VLOOKUP($H$748,$AO$679:$AP$681,2,FALSE)</f>
        <v>0</v>
      </c>
      <c r="AK750" s="1362"/>
      <c r="AL750" s="591"/>
      <c r="AM750" s="547"/>
      <c r="AN750" s="678"/>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6" customFormat="1" ht="12.75" customHeight="1">
      <c r="A751" s="547"/>
      <c r="B751" s="534"/>
      <c r="C751" s="927"/>
      <c r="D751" s="534"/>
      <c r="E751" s="534"/>
      <c r="F751" s="534"/>
      <c r="G751" s="534"/>
      <c r="H751" s="534"/>
      <c r="I751" s="534"/>
      <c r="J751" s="639"/>
      <c r="K751" s="639"/>
      <c r="L751" s="639"/>
      <c r="M751" s="639"/>
      <c r="N751" s="534"/>
      <c r="O751" s="534"/>
      <c r="P751" s="534"/>
      <c r="Q751" s="534"/>
      <c r="R751" s="534"/>
      <c r="S751" s="534"/>
      <c r="T751" s="534"/>
      <c r="U751" s="534"/>
      <c r="V751" s="534"/>
      <c r="W751" s="534"/>
      <c r="X751" s="534"/>
      <c r="Y751" s="534"/>
      <c r="Z751" s="534"/>
      <c r="AA751" s="534"/>
      <c r="AB751" s="534"/>
      <c r="AC751" s="534"/>
      <c r="AD751" s="534"/>
      <c r="AE751" s="534"/>
      <c r="AF751" s="534"/>
      <c r="AG751" s="534"/>
      <c r="AH751" s="534"/>
      <c r="AI751" s="534"/>
      <c r="AJ751" s="534"/>
      <c r="AK751" s="534"/>
      <c r="AL751" s="534"/>
      <c r="AM751" s="547"/>
      <c r="AN751" s="678"/>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6" customFormat="1" ht="12.75" customHeight="1">
      <c r="A752" s="547"/>
      <c r="B752" s="534"/>
      <c r="C752" s="537" t="s">
        <v>1430</v>
      </c>
      <c r="D752" s="534"/>
      <c r="E752" s="534"/>
      <c r="F752" s="534"/>
      <c r="G752" s="534"/>
      <c r="H752" s="534"/>
      <c r="I752" s="534"/>
      <c r="J752" s="534"/>
      <c r="K752" s="534"/>
      <c r="L752" s="534"/>
      <c r="M752" s="534"/>
      <c r="N752" s="534"/>
      <c r="O752" s="534"/>
      <c r="P752" s="534"/>
      <c r="Q752" s="534"/>
      <c r="R752" s="534"/>
      <c r="S752" s="534"/>
      <c r="T752" s="534"/>
      <c r="U752" s="534"/>
      <c r="V752" s="534"/>
      <c r="W752" s="534"/>
      <c r="X752" s="534"/>
      <c r="Y752" s="534"/>
      <c r="Z752" s="534"/>
      <c r="AA752" s="534"/>
      <c r="AB752" s="534"/>
      <c r="AC752" s="534"/>
      <c r="AD752" s="534"/>
      <c r="AE752" s="534"/>
      <c r="AF752" s="534"/>
      <c r="AG752" s="534"/>
      <c r="AH752" s="534"/>
      <c r="AI752" s="534"/>
      <c r="AJ752" s="534"/>
      <c r="AK752" s="534"/>
      <c r="AL752" s="534"/>
      <c r="AM752" s="547"/>
      <c r="AN752" s="678"/>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6" customFormat="1">
      <c r="A753" s="547"/>
      <c r="B753" s="606"/>
      <c r="C753" s="947"/>
      <c r="D753" s="606"/>
      <c r="E753" s="606"/>
      <c r="F753" s="534"/>
      <c r="G753" s="534"/>
      <c r="H753" s="606"/>
      <c r="I753" s="606"/>
      <c r="J753" s="606"/>
      <c r="K753" s="606"/>
      <c r="L753" s="606"/>
      <c r="M753" s="606"/>
      <c r="N753" s="606"/>
      <c r="O753" s="606"/>
      <c r="P753" s="606"/>
      <c r="Q753" s="606"/>
      <c r="R753" s="606"/>
      <c r="S753" s="606"/>
      <c r="T753" s="534"/>
      <c r="U753" s="534"/>
      <c r="V753" s="534"/>
      <c r="W753" s="534"/>
      <c r="X753" s="591"/>
      <c r="Y753" s="591"/>
      <c r="Z753" s="591"/>
      <c r="AA753" s="591"/>
      <c r="AB753" s="591"/>
      <c r="AC753" s="534"/>
      <c r="AD753" s="534"/>
      <c r="AE753" s="534"/>
      <c r="AF753" s="534"/>
      <c r="AG753" s="534"/>
      <c r="AH753" s="534"/>
      <c r="AI753" s="534"/>
      <c r="AJ753" s="534"/>
      <c r="AK753" s="534"/>
      <c r="AL753" s="534"/>
      <c r="AM753" s="547"/>
      <c r="AN753" s="678"/>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6" customFormat="1">
      <c r="A754" s="547"/>
      <c r="B754" s="534"/>
      <c r="C754" s="925"/>
      <c r="D754" s="657" t="s">
        <v>686</v>
      </c>
      <c r="E754" s="1352" t="s">
        <v>1431</v>
      </c>
      <c r="F754" s="1352"/>
      <c r="G754" s="1352"/>
      <c r="H754" s="1352"/>
      <c r="I754" s="1352"/>
      <c r="J754" s="1352"/>
      <c r="K754" s="1352"/>
      <c r="L754" s="1352"/>
      <c r="M754" s="1352"/>
      <c r="N754" s="1352"/>
      <c r="O754" s="1352"/>
      <c r="P754" s="1352"/>
      <c r="Q754" s="1352"/>
      <c r="R754" s="1352"/>
      <c r="S754" s="1352"/>
      <c r="T754" s="1352"/>
      <c r="U754" s="1352"/>
      <c r="V754" s="1352"/>
      <c r="W754" s="1352"/>
      <c r="X754" s="1352"/>
      <c r="Y754" s="1352"/>
      <c r="Z754" s="1352"/>
      <c r="AA754" s="1352"/>
      <c r="AB754" s="1352"/>
      <c r="AC754" s="534"/>
      <c r="AD754" s="534"/>
      <c r="AE754" s="534"/>
      <c r="AF754" s="1335" t="s">
        <v>1343</v>
      </c>
      <c r="AG754" s="1335"/>
      <c r="AH754" s="1335"/>
      <c r="AI754" s="1335"/>
      <c r="AJ754" s="1335"/>
      <c r="AK754" s="1335"/>
      <c r="AL754" s="1335"/>
      <c r="AM754" s="547"/>
      <c r="AN754" s="678"/>
      <c r="AT754" s="14"/>
      <c r="AU754" s="14"/>
      <c r="AV754" s="14"/>
      <c r="AW754" s="14"/>
      <c r="AX754" s="14"/>
      <c r="AY754" s="14"/>
      <c r="AZ754" s="14"/>
    </row>
    <row r="755" spans="1:81" s="566" customFormat="1">
      <c r="A755" s="547"/>
      <c r="B755" s="534"/>
      <c r="C755" s="925"/>
      <c r="D755" s="657"/>
      <c r="E755" s="1352"/>
      <c r="F755" s="1352"/>
      <c r="G755" s="1352"/>
      <c r="H755" s="1352"/>
      <c r="I755" s="1352"/>
      <c r="J755" s="1352"/>
      <c r="K755" s="1352"/>
      <c r="L755" s="1352"/>
      <c r="M755" s="1352"/>
      <c r="N755" s="1352"/>
      <c r="O755" s="1352"/>
      <c r="P755" s="1352"/>
      <c r="Q755" s="1352"/>
      <c r="R755" s="1352"/>
      <c r="S755" s="1352"/>
      <c r="T755" s="1352"/>
      <c r="U755" s="1352"/>
      <c r="V755" s="1352"/>
      <c r="W755" s="1352"/>
      <c r="X755" s="1352"/>
      <c r="Y755" s="1352"/>
      <c r="Z755" s="1352"/>
      <c r="AA755" s="1352"/>
      <c r="AB755" s="1352"/>
      <c r="AC755" s="534"/>
      <c r="AD755" s="534"/>
      <c r="AE755" s="534"/>
      <c r="AF755" s="590"/>
      <c r="AG755" s="590"/>
      <c r="AH755" s="590"/>
      <c r="AI755" s="590"/>
      <c r="AJ755" s="590"/>
      <c r="AK755" s="590"/>
      <c r="AL755" s="590"/>
      <c r="AM755" s="547"/>
      <c r="AN755" s="678"/>
      <c r="AT755" s="14"/>
      <c r="AU755" s="14"/>
      <c r="AV755" s="14"/>
      <c r="AW755" s="14"/>
      <c r="AX755" s="14"/>
      <c r="AY755" s="14"/>
      <c r="AZ755" s="14"/>
    </row>
    <row r="756" spans="1:81" s="566" customFormat="1">
      <c r="A756" s="547"/>
      <c r="B756" s="534"/>
      <c r="C756" s="927"/>
      <c r="D756" s="657"/>
      <c r="E756" s="1352"/>
      <c r="F756" s="1352"/>
      <c r="G756" s="1352"/>
      <c r="H756" s="1352"/>
      <c r="I756" s="1352"/>
      <c r="J756" s="1352"/>
      <c r="K756" s="1352"/>
      <c r="L756" s="1352"/>
      <c r="M756" s="1352"/>
      <c r="N756" s="1352"/>
      <c r="O756" s="1352"/>
      <c r="P756" s="1352"/>
      <c r="Q756" s="1352"/>
      <c r="R756" s="1352"/>
      <c r="S756" s="1352"/>
      <c r="T756" s="1352"/>
      <c r="U756" s="1352"/>
      <c r="V756" s="1352"/>
      <c r="W756" s="1352"/>
      <c r="X756" s="1352"/>
      <c r="Y756" s="1352"/>
      <c r="Z756" s="1352"/>
      <c r="AA756" s="1352"/>
      <c r="AB756" s="1352"/>
      <c r="AC756" s="534"/>
      <c r="AD756" s="534"/>
      <c r="AE756" s="534"/>
      <c r="AF756" s="534"/>
      <c r="AG756" s="534"/>
      <c r="AH756" s="534"/>
      <c r="AI756" s="534"/>
      <c r="AJ756" s="534"/>
      <c r="AK756" s="534"/>
      <c r="AL756" s="534"/>
      <c r="AM756" s="547"/>
      <c r="AN756" s="678"/>
    </row>
    <row r="757" spans="1:81" s="566" customFormat="1" ht="12.75" customHeight="1">
      <c r="A757" s="547"/>
      <c r="B757" s="534"/>
      <c r="C757" s="927"/>
      <c r="D757" s="657"/>
      <c r="E757" s="1352"/>
      <c r="F757" s="1352"/>
      <c r="G757" s="1352"/>
      <c r="H757" s="1352"/>
      <c r="I757" s="1352"/>
      <c r="J757" s="1352"/>
      <c r="K757" s="1352"/>
      <c r="L757" s="1352"/>
      <c r="M757" s="1352"/>
      <c r="N757" s="1352"/>
      <c r="O757" s="1352"/>
      <c r="P757" s="1352"/>
      <c r="Q757" s="1352"/>
      <c r="R757" s="1352"/>
      <c r="S757" s="1352"/>
      <c r="T757" s="1352"/>
      <c r="U757" s="1352"/>
      <c r="V757" s="1352"/>
      <c r="W757" s="1352"/>
      <c r="X757" s="1352"/>
      <c r="Y757" s="1352"/>
      <c r="Z757" s="1352"/>
      <c r="AA757" s="1352"/>
      <c r="AB757" s="1352"/>
      <c r="AC757" s="534"/>
      <c r="AD757" s="534"/>
      <c r="AE757" s="534"/>
      <c r="AF757" s="534"/>
      <c r="AG757" s="534"/>
      <c r="AH757" s="534"/>
      <c r="AI757" s="534"/>
      <c r="AJ757" s="534"/>
      <c r="AK757" s="534"/>
      <c r="AL757" s="534"/>
      <c r="AM757" s="547"/>
      <c r="AN757" s="532"/>
      <c r="AO757" s="14"/>
    </row>
    <row r="758" spans="1:81" s="566" customFormat="1">
      <c r="A758" s="673"/>
      <c r="B758" s="591"/>
      <c r="C758" s="925"/>
      <c r="D758" s="657"/>
      <c r="E758" s="940"/>
      <c r="F758" s="940"/>
      <c r="G758" s="940"/>
      <c r="H758" s="940"/>
      <c r="I758" s="940"/>
      <c r="J758" s="940"/>
      <c r="K758" s="940"/>
      <c r="L758" s="940"/>
      <c r="M758" s="940"/>
      <c r="N758" s="940"/>
      <c r="O758" s="940"/>
      <c r="P758" s="940"/>
      <c r="Q758" s="940"/>
      <c r="R758" s="940"/>
      <c r="S758" s="940"/>
      <c r="T758" s="940"/>
      <c r="U758" s="940"/>
      <c r="V758" s="940"/>
      <c r="W758" s="940"/>
      <c r="X758" s="940"/>
      <c r="Y758" s="940"/>
      <c r="Z758" s="940"/>
      <c r="AA758" s="940"/>
      <c r="AB758" s="940"/>
      <c r="AC758" s="534"/>
      <c r="AD758" s="534"/>
      <c r="AE758" s="534"/>
      <c r="AF758" s="534"/>
      <c r="AG758" s="534"/>
      <c r="AH758" s="534"/>
      <c r="AI758" s="534"/>
      <c r="AJ758" s="534"/>
      <c r="AK758" s="534"/>
      <c r="AL758" s="534"/>
      <c r="AM758" s="547"/>
      <c r="AN758" s="678"/>
      <c r="AO758" s="30"/>
      <c r="AP758" s="14"/>
    </row>
    <row r="759" spans="1:81" s="566" customFormat="1">
      <c r="A759" s="547"/>
      <c r="B759" s="534"/>
      <c r="C759" s="925"/>
      <c r="D759" s="657" t="s">
        <v>508</v>
      </c>
      <c r="E759" s="1352" t="s">
        <v>1432</v>
      </c>
      <c r="F759" s="1352"/>
      <c r="G759" s="1352"/>
      <c r="H759" s="1352"/>
      <c r="I759" s="1352"/>
      <c r="J759" s="1352"/>
      <c r="K759" s="1352"/>
      <c r="L759" s="1352"/>
      <c r="M759" s="1352"/>
      <c r="N759" s="1352"/>
      <c r="O759" s="1352"/>
      <c r="P759" s="1352"/>
      <c r="Q759" s="1352"/>
      <c r="R759" s="1352"/>
      <c r="S759" s="1352"/>
      <c r="T759" s="1352"/>
      <c r="U759" s="1352"/>
      <c r="V759" s="1352"/>
      <c r="W759" s="1352"/>
      <c r="X759" s="1352"/>
      <c r="Y759" s="1352"/>
      <c r="Z759" s="1352"/>
      <c r="AA759" s="1352"/>
      <c r="AB759" s="571"/>
      <c r="AC759" s="534"/>
      <c r="AD759" s="534"/>
      <c r="AE759" s="534"/>
      <c r="AF759" s="1335" t="s">
        <v>1397</v>
      </c>
      <c r="AG759" s="1335"/>
      <c r="AH759" s="1335"/>
      <c r="AI759" s="1335"/>
      <c r="AJ759" s="1335"/>
      <c r="AK759" s="1335"/>
      <c r="AL759" s="1335"/>
      <c r="AM759" s="547"/>
      <c r="AN759" s="678"/>
      <c r="AO759" s="30"/>
      <c r="AP759" s="14"/>
    </row>
    <row r="760" spans="1:81" s="566" customFormat="1">
      <c r="A760" s="547"/>
      <c r="B760" s="534"/>
      <c r="C760" s="925"/>
      <c r="D760" s="657"/>
      <c r="E760" s="1352"/>
      <c r="F760" s="1352"/>
      <c r="G760" s="1352"/>
      <c r="H760" s="1352"/>
      <c r="I760" s="1352"/>
      <c r="J760" s="1352"/>
      <c r="K760" s="1352"/>
      <c r="L760" s="1352"/>
      <c r="M760" s="1352"/>
      <c r="N760" s="1352"/>
      <c r="O760" s="1352"/>
      <c r="P760" s="1352"/>
      <c r="Q760" s="1352"/>
      <c r="R760" s="1352"/>
      <c r="S760" s="1352"/>
      <c r="T760" s="1352"/>
      <c r="U760" s="1352"/>
      <c r="V760" s="1352"/>
      <c r="W760" s="1352"/>
      <c r="X760" s="1352"/>
      <c r="Y760" s="1352"/>
      <c r="Z760" s="1352"/>
      <c r="AA760" s="1352"/>
      <c r="AB760" s="571"/>
      <c r="AC760" s="534"/>
      <c r="AD760" s="534"/>
      <c r="AE760" s="534"/>
      <c r="AF760" s="590"/>
      <c r="AG760" s="590"/>
      <c r="AH760" s="590"/>
      <c r="AI760" s="590"/>
      <c r="AJ760" s="590"/>
      <c r="AK760" s="590"/>
      <c r="AL760" s="590"/>
      <c r="AM760" s="547"/>
      <c r="AN760" s="678"/>
      <c r="AO760" s="30"/>
      <c r="AP760" s="14"/>
    </row>
    <row r="761" spans="1:81" s="566" customFormat="1">
      <c r="A761" s="547"/>
      <c r="B761" s="534"/>
      <c r="C761" s="925"/>
      <c r="D761" s="534"/>
      <c r="E761" s="1352"/>
      <c r="F761" s="1352"/>
      <c r="G761" s="1352"/>
      <c r="H761" s="1352"/>
      <c r="I761" s="1352"/>
      <c r="J761" s="1352"/>
      <c r="K761" s="1352"/>
      <c r="L761" s="1352"/>
      <c r="M761" s="1352"/>
      <c r="N761" s="1352"/>
      <c r="O761" s="1352"/>
      <c r="P761" s="1352"/>
      <c r="Q761" s="1352"/>
      <c r="R761" s="1352"/>
      <c r="S761" s="1352"/>
      <c r="T761" s="1352"/>
      <c r="U761" s="1352"/>
      <c r="V761" s="1352"/>
      <c r="W761" s="1352"/>
      <c r="X761" s="1352"/>
      <c r="Y761" s="1352"/>
      <c r="Z761" s="1352"/>
      <c r="AA761" s="1352"/>
      <c r="AB761" s="571"/>
      <c r="AC761" s="590"/>
      <c r="AD761" s="590"/>
      <c r="AE761" s="590"/>
      <c r="AF761" s="590"/>
      <c r="AG761" s="590"/>
      <c r="AH761" s="590"/>
      <c r="AI761" s="590"/>
      <c r="AJ761" s="534"/>
      <c r="AK761" s="534"/>
      <c r="AL761" s="534"/>
      <c r="AM761" s="547"/>
      <c r="AN761" s="678"/>
      <c r="AO761" s="30"/>
      <c r="AP761" s="14"/>
    </row>
    <row r="762" spans="1:81" s="566" customFormat="1">
      <c r="A762" s="547"/>
      <c r="B762" s="534"/>
      <c r="C762" s="925"/>
      <c r="D762" s="534"/>
      <c r="E762" s="1352"/>
      <c r="F762" s="1352"/>
      <c r="G762" s="1352"/>
      <c r="H762" s="1352"/>
      <c r="I762" s="1352"/>
      <c r="J762" s="1352"/>
      <c r="K762" s="1352"/>
      <c r="L762" s="1352"/>
      <c r="M762" s="1352"/>
      <c r="N762" s="1352"/>
      <c r="O762" s="1352"/>
      <c r="P762" s="1352"/>
      <c r="Q762" s="1352"/>
      <c r="R762" s="1352"/>
      <c r="S762" s="1352"/>
      <c r="T762" s="1352"/>
      <c r="U762" s="1352"/>
      <c r="V762" s="1352"/>
      <c r="W762" s="1352"/>
      <c r="X762" s="1352"/>
      <c r="Y762" s="1352"/>
      <c r="Z762" s="1352"/>
      <c r="AA762" s="1352"/>
      <c r="AB762" s="571"/>
      <c r="AC762" s="590"/>
      <c r="AD762" s="590"/>
      <c r="AE762" s="590"/>
      <c r="AF762" s="590"/>
      <c r="AG762" s="590"/>
      <c r="AH762" s="590"/>
      <c r="AI762" s="590"/>
      <c r="AJ762" s="534"/>
      <c r="AK762" s="534"/>
      <c r="AL762" s="534"/>
      <c r="AM762" s="547"/>
      <c r="AN762" s="678"/>
      <c r="AO762" s="30"/>
      <c r="AP762" s="14"/>
    </row>
    <row r="763" spans="1:81" s="566" customFormat="1">
      <c r="A763" s="547"/>
      <c r="B763" s="534"/>
      <c r="C763" s="925"/>
      <c r="D763" s="534"/>
      <c r="E763" s="638"/>
      <c r="F763" s="638"/>
      <c r="G763" s="638"/>
      <c r="H763" s="638"/>
      <c r="I763" s="638"/>
      <c r="J763" s="638"/>
      <c r="K763" s="638"/>
      <c r="L763" s="638"/>
      <c r="M763" s="638"/>
      <c r="N763" s="638"/>
      <c r="O763" s="638"/>
      <c r="P763" s="638"/>
      <c r="Q763" s="638"/>
      <c r="R763" s="638"/>
      <c r="S763" s="638"/>
      <c r="T763" s="638"/>
      <c r="U763" s="638"/>
      <c r="V763" s="638"/>
      <c r="W763" s="638"/>
      <c r="X763" s="638"/>
      <c r="Y763" s="638"/>
      <c r="Z763" s="638"/>
      <c r="AA763" s="638"/>
      <c r="AB763" s="638"/>
      <c r="AC763" s="590"/>
      <c r="AD763" s="590"/>
      <c r="AE763" s="590"/>
      <c r="AF763" s="590"/>
      <c r="AG763" s="590"/>
      <c r="AH763" s="590"/>
      <c r="AI763" s="590"/>
      <c r="AJ763" s="534"/>
      <c r="AK763" s="534"/>
      <c r="AL763" s="534"/>
      <c r="AM763" s="547"/>
      <c r="AN763" s="678"/>
    </row>
    <row r="764" spans="1:81" s="566" customFormat="1" ht="12.75" customHeight="1">
      <c r="A764" s="547"/>
      <c r="B764" s="534"/>
      <c r="C764" s="925"/>
      <c r="D764" s="534" t="s">
        <v>1389</v>
      </c>
      <c r="E764" s="930"/>
      <c r="F764" s="930"/>
      <c r="G764" s="930"/>
      <c r="H764" s="1416" t="s">
        <v>686</v>
      </c>
      <c r="I764" s="1416"/>
      <c r="J764" s="638"/>
      <c r="K764" s="638"/>
      <c r="L764" s="638"/>
      <c r="M764" s="638"/>
      <c r="N764" s="638"/>
      <c r="O764" s="638"/>
      <c r="P764" s="638"/>
      <c r="Q764" s="638"/>
      <c r="R764" s="638"/>
      <c r="S764" s="638"/>
      <c r="T764" s="638"/>
      <c r="U764" s="638"/>
      <c r="V764" s="638"/>
      <c r="W764" s="638"/>
      <c r="X764" s="638"/>
      <c r="Y764" s="638"/>
      <c r="Z764" s="638"/>
      <c r="AA764" s="638"/>
      <c r="AB764" s="638"/>
      <c r="AC764" s="590"/>
      <c r="AD764" s="590"/>
      <c r="AE764" s="590"/>
      <c r="AF764" s="590"/>
      <c r="AG764" s="590"/>
      <c r="AH764" s="590"/>
      <c r="AI764" s="590"/>
      <c r="AJ764" s="534"/>
      <c r="AK764" s="534"/>
      <c r="AL764" s="534"/>
      <c r="AM764" s="547"/>
      <c r="AN764" s="678"/>
    </row>
    <row r="765" spans="1:81" s="566" customFormat="1" ht="12.75" customHeight="1">
      <c r="A765" s="547"/>
      <c r="B765" s="534"/>
      <c r="C765" s="925"/>
      <c r="D765" s="534"/>
      <c r="E765" s="638"/>
      <c r="F765" s="638"/>
      <c r="G765" s="638"/>
      <c r="H765" s="638"/>
      <c r="I765" s="638"/>
      <c r="J765" s="638"/>
      <c r="K765" s="638"/>
      <c r="L765" s="638"/>
      <c r="M765" s="638"/>
      <c r="N765" s="638"/>
      <c r="O765" s="638"/>
      <c r="P765" s="638"/>
      <c r="Q765" s="638"/>
      <c r="R765" s="638"/>
      <c r="S765" s="638"/>
      <c r="T765" s="638"/>
      <c r="U765" s="638"/>
      <c r="V765" s="638"/>
      <c r="W765" s="638"/>
      <c r="X765" s="638"/>
      <c r="Y765" s="638"/>
      <c r="Z765" s="638"/>
      <c r="AA765" s="638"/>
      <c r="AB765" s="638"/>
      <c r="AC765" s="590"/>
      <c r="AD765" s="590"/>
      <c r="AE765" s="590"/>
      <c r="AF765" s="590"/>
      <c r="AG765" s="590"/>
      <c r="AH765" s="590"/>
      <c r="AI765" s="590"/>
      <c r="AJ765" s="534"/>
      <c r="AK765" s="534"/>
      <c r="AL765" s="534"/>
      <c r="AM765" s="547"/>
      <c r="AN765" s="532"/>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6" customFormat="1">
      <c r="A766" s="602"/>
      <c r="B766" s="597"/>
      <c r="C766" s="938"/>
      <c r="D766" s="597"/>
      <c r="E766" s="948"/>
      <c r="F766" s="948"/>
      <c r="G766" s="948"/>
      <c r="H766" s="948"/>
      <c r="I766" s="948"/>
      <c r="J766" s="948"/>
      <c r="K766" s="948"/>
      <c r="L766" s="948"/>
      <c r="M766" s="948"/>
      <c r="N766" s="948"/>
      <c r="O766" s="948"/>
      <c r="P766" s="948"/>
      <c r="Q766" s="948"/>
      <c r="R766" s="948"/>
      <c r="S766" s="948"/>
      <c r="T766" s="948"/>
      <c r="U766" s="948"/>
      <c r="V766" s="948"/>
      <c r="W766" s="948"/>
      <c r="X766" s="948"/>
      <c r="Y766" s="948"/>
      <c r="Z766" s="948"/>
      <c r="AA766" s="948"/>
      <c r="AB766" s="681"/>
      <c r="AC766" s="681"/>
      <c r="AD766" s="681"/>
      <c r="AE766" s="681"/>
      <c r="AF766" s="681"/>
      <c r="AG766" s="681"/>
      <c r="AH766" s="597"/>
      <c r="AI766" s="561" t="s">
        <v>1433</v>
      </c>
      <c r="AJ766" s="1360">
        <f>VLOOKUP($H$764,$AO$693:$AP$695,2,FALSE)</f>
        <v>3</v>
      </c>
      <c r="AK766" s="1362"/>
      <c r="AL766" s="591"/>
      <c r="AM766" s="547"/>
      <c r="AN766" s="532"/>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6" customFormat="1" ht="12.75" customHeight="1">
      <c r="A767" s="633"/>
      <c r="B767" s="534"/>
      <c r="C767" s="927"/>
      <c r="D767" s="534"/>
      <c r="E767" s="534"/>
      <c r="F767" s="534"/>
      <c r="G767" s="534"/>
      <c r="H767" s="534"/>
      <c r="I767" s="534"/>
      <c r="J767" s="638"/>
      <c r="K767" s="638"/>
      <c r="L767" s="639"/>
      <c r="M767" s="639"/>
      <c r="N767" s="639"/>
      <c r="O767" s="639"/>
      <c r="P767" s="639"/>
      <c r="Q767" s="639"/>
      <c r="R767" s="639"/>
      <c r="S767" s="639"/>
      <c r="T767" s="639"/>
      <c r="U767" s="639"/>
      <c r="V767" s="612"/>
      <c r="W767" s="612"/>
      <c r="X767" s="612"/>
      <c r="Y767" s="612"/>
      <c r="Z767" s="930"/>
      <c r="AA767" s="930"/>
      <c r="AB767" s="930"/>
      <c r="AC767" s="534"/>
      <c r="AD767" s="534"/>
      <c r="AE767" s="534"/>
      <c r="AF767" s="534"/>
      <c r="AG767" s="534"/>
      <c r="AH767" s="534"/>
      <c r="AI767" s="534"/>
      <c r="AJ767" s="534"/>
      <c r="AK767" s="534"/>
      <c r="AL767" s="534"/>
      <c r="AM767" s="547"/>
      <c r="AN767" s="532"/>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6" customFormat="1">
      <c r="A768" s="547"/>
      <c r="B768" s="534"/>
      <c r="C768" s="537" t="s">
        <v>1423</v>
      </c>
      <c r="D768" s="612"/>
      <c r="E768" s="534"/>
      <c r="F768" s="534"/>
      <c r="G768" s="534"/>
      <c r="H768" s="534"/>
      <c r="I768" s="534"/>
      <c r="J768" s="534"/>
      <c r="K768" s="534"/>
      <c r="L768" s="534"/>
      <c r="M768" s="534"/>
      <c r="N768" s="534"/>
      <c r="O768" s="534"/>
      <c r="P768" s="534"/>
      <c r="Q768" s="534"/>
      <c r="R768" s="534"/>
      <c r="S768" s="534"/>
      <c r="T768" s="534"/>
      <c r="U768" s="534"/>
      <c r="V768" s="534"/>
      <c r="W768" s="534"/>
      <c r="X768" s="534"/>
      <c r="Y768" s="534"/>
      <c r="Z768" s="534"/>
      <c r="AA768" s="534"/>
      <c r="AB768" s="534"/>
      <c r="AC768" s="534"/>
      <c r="AD768" s="534"/>
      <c r="AE768" s="534"/>
      <c r="AF768" s="534"/>
      <c r="AG768" s="534"/>
      <c r="AH768" s="534"/>
      <c r="AI768" s="534"/>
      <c r="AJ768" s="534"/>
      <c r="AK768" s="534"/>
      <c r="AL768" s="534"/>
      <c r="AM768" s="547"/>
      <c r="AN768" s="532"/>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6" customFormat="1">
      <c r="A769" s="547"/>
      <c r="B769" s="612"/>
      <c r="C769" s="534"/>
      <c r="D769" s="534"/>
      <c r="E769" s="612"/>
      <c r="F769" s="612"/>
      <c r="G769" s="612"/>
      <c r="H769" s="612"/>
      <c r="I769" s="612"/>
      <c r="J769" s="612"/>
      <c r="K769" s="612"/>
      <c r="L769" s="612"/>
      <c r="M769" s="612"/>
      <c r="N769" s="612"/>
      <c r="O769" s="612"/>
      <c r="P769" s="612"/>
      <c r="Q769" s="612"/>
      <c r="R769" s="612"/>
      <c r="S769" s="612"/>
      <c r="T769" s="612"/>
      <c r="U769" s="612"/>
      <c r="V769" s="612"/>
      <c r="W769" s="612"/>
      <c r="X769" s="612"/>
      <c r="Y769" s="612"/>
      <c r="Z769" s="612"/>
      <c r="AA769" s="612"/>
      <c r="AB769" s="612"/>
      <c r="AC769" s="612"/>
      <c r="AD769" s="612"/>
      <c r="AE769" s="612"/>
      <c r="AF769" s="612"/>
      <c r="AG769" s="612"/>
      <c r="AH769" s="612"/>
      <c r="AI769" s="534"/>
      <c r="AJ769" s="534"/>
      <c r="AK769" s="534"/>
      <c r="AL769" s="534"/>
      <c r="AM769" s="547"/>
      <c r="AN769" s="532"/>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6" customFormat="1">
      <c r="A770" s="547"/>
      <c r="B770" s="534"/>
      <c r="C770" s="925"/>
      <c r="D770" s="657" t="s">
        <v>686</v>
      </c>
      <c r="E770" s="1352" t="s">
        <v>1434</v>
      </c>
      <c r="F770" s="1352"/>
      <c r="G770" s="1352"/>
      <c r="H770" s="1352"/>
      <c r="I770" s="1352"/>
      <c r="J770" s="1352"/>
      <c r="K770" s="1352"/>
      <c r="L770" s="1352"/>
      <c r="M770" s="1352"/>
      <c r="N770" s="1352"/>
      <c r="O770" s="1352"/>
      <c r="P770" s="1352"/>
      <c r="Q770" s="1352"/>
      <c r="R770" s="1352"/>
      <c r="S770" s="1352"/>
      <c r="T770" s="1352"/>
      <c r="U770" s="1352"/>
      <c r="V770" s="1352"/>
      <c r="W770" s="1352"/>
      <c r="X770" s="1352"/>
      <c r="Y770" s="1352"/>
      <c r="Z770" s="1352"/>
      <c r="AA770" s="1352"/>
      <c r="AB770" s="1352"/>
      <c r="AC770" s="534"/>
      <c r="AD770" s="534"/>
      <c r="AE770" s="534"/>
      <c r="AF770" s="1335" t="s">
        <v>1397</v>
      </c>
      <c r="AG770" s="1335"/>
      <c r="AH770" s="1335"/>
      <c r="AI770" s="1335"/>
      <c r="AJ770" s="1335"/>
      <c r="AK770" s="1335"/>
      <c r="AL770" s="1335"/>
      <c r="AM770" s="547"/>
      <c r="AN770" s="532"/>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6" customFormat="1">
      <c r="A771" s="547"/>
      <c r="B771" s="534"/>
      <c r="C771" s="927"/>
      <c r="D771" s="657"/>
      <c r="E771" s="1352"/>
      <c r="F771" s="1352"/>
      <c r="G771" s="1352"/>
      <c r="H771" s="1352"/>
      <c r="I771" s="1352"/>
      <c r="J771" s="1352"/>
      <c r="K771" s="1352"/>
      <c r="L771" s="1352"/>
      <c r="M771" s="1352"/>
      <c r="N771" s="1352"/>
      <c r="O771" s="1352"/>
      <c r="P771" s="1352"/>
      <c r="Q771" s="1352"/>
      <c r="R771" s="1352"/>
      <c r="S771" s="1352"/>
      <c r="T771" s="1352"/>
      <c r="U771" s="1352"/>
      <c r="V771" s="1352"/>
      <c r="W771" s="1352"/>
      <c r="X771" s="1352"/>
      <c r="Y771" s="1352"/>
      <c r="Z771" s="1352"/>
      <c r="AA771" s="1352"/>
      <c r="AB771" s="1352"/>
      <c r="AC771" s="534"/>
      <c r="AD771" s="534"/>
      <c r="AE771" s="534"/>
      <c r="AF771" s="534"/>
      <c r="AG771" s="534"/>
      <c r="AH771" s="534"/>
      <c r="AI771" s="534"/>
      <c r="AJ771" s="534"/>
      <c r="AK771" s="534"/>
      <c r="AL771" s="534"/>
      <c r="AM771" s="547"/>
      <c r="AN771" s="532"/>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6" customFormat="1">
      <c r="A772" s="547"/>
      <c r="B772" s="612"/>
      <c r="C772" s="934"/>
      <c r="D772" s="657"/>
      <c r="E772" s="612"/>
      <c r="F772" s="612"/>
      <c r="G772" s="612"/>
      <c r="H772" s="612"/>
      <c r="I772" s="612"/>
      <c r="J772" s="612"/>
      <c r="K772" s="612"/>
      <c r="L772" s="612"/>
      <c r="M772" s="612"/>
      <c r="N772" s="612"/>
      <c r="O772" s="612"/>
      <c r="P772" s="612"/>
      <c r="Q772" s="612"/>
      <c r="R772" s="612"/>
      <c r="S772" s="612"/>
      <c r="T772" s="612"/>
      <c r="U772" s="612"/>
      <c r="V772" s="612"/>
      <c r="W772" s="612"/>
      <c r="X772" s="612"/>
      <c r="Y772" s="612"/>
      <c r="Z772" s="612"/>
      <c r="AA772" s="612"/>
      <c r="AB772" s="612"/>
      <c r="AC772" s="534"/>
      <c r="AD772" s="534"/>
      <c r="AE772" s="612"/>
      <c r="AF772" s="612"/>
      <c r="AG772" s="612"/>
      <c r="AH772" s="612"/>
      <c r="AI772" s="612"/>
      <c r="AJ772" s="612"/>
      <c r="AK772" s="534"/>
      <c r="AL772" s="534"/>
      <c r="AM772" s="547"/>
      <c r="AN772" s="532"/>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6" customFormat="1">
      <c r="A773" s="633"/>
      <c r="B773" s="534"/>
      <c r="C773" s="925"/>
      <c r="D773" s="657" t="s">
        <v>508</v>
      </c>
      <c r="E773" s="1352" t="s">
        <v>1435</v>
      </c>
      <c r="F773" s="1352"/>
      <c r="G773" s="1352"/>
      <c r="H773" s="1352"/>
      <c r="I773" s="1352"/>
      <c r="J773" s="1352"/>
      <c r="K773" s="1352"/>
      <c r="L773" s="1352"/>
      <c r="M773" s="1352"/>
      <c r="N773" s="1352"/>
      <c r="O773" s="1352"/>
      <c r="P773" s="1352"/>
      <c r="Q773" s="1352"/>
      <c r="R773" s="1352"/>
      <c r="S773" s="1352"/>
      <c r="T773" s="1352"/>
      <c r="U773" s="1352"/>
      <c r="V773" s="1352"/>
      <c r="W773" s="1352"/>
      <c r="X773" s="1352"/>
      <c r="Y773" s="1352"/>
      <c r="Z773" s="1352"/>
      <c r="AA773" s="1352"/>
      <c r="AB773" s="1352"/>
      <c r="AC773" s="534"/>
      <c r="AD773" s="534"/>
      <c r="AE773" s="534"/>
      <c r="AF773" s="1335" t="s">
        <v>1414</v>
      </c>
      <c r="AG773" s="1335"/>
      <c r="AH773" s="1335"/>
      <c r="AI773" s="1335"/>
      <c r="AJ773" s="1335"/>
      <c r="AK773" s="1335"/>
      <c r="AL773" s="1335"/>
      <c r="AM773" s="547"/>
      <c r="AN773" s="532"/>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6" customFormat="1" ht="12.75" customHeight="1">
      <c r="A774" s="633"/>
      <c r="B774" s="534"/>
      <c r="C774" s="925"/>
      <c r="D774" s="657"/>
      <c r="E774" s="1352"/>
      <c r="F774" s="1352"/>
      <c r="G774" s="1352"/>
      <c r="H774" s="1352"/>
      <c r="I774" s="1352"/>
      <c r="J774" s="1352"/>
      <c r="K774" s="1352"/>
      <c r="L774" s="1352"/>
      <c r="M774" s="1352"/>
      <c r="N774" s="1352"/>
      <c r="O774" s="1352"/>
      <c r="P774" s="1352"/>
      <c r="Q774" s="1352"/>
      <c r="R774" s="1352"/>
      <c r="S774" s="1352"/>
      <c r="T774" s="1352"/>
      <c r="U774" s="1352"/>
      <c r="V774" s="1352"/>
      <c r="W774" s="1352"/>
      <c r="X774" s="1352"/>
      <c r="Y774" s="1352"/>
      <c r="Z774" s="1352"/>
      <c r="AA774" s="1352"/>
      <c r="AB774" s="1352"/>
      <c r="AC774" s="534"/>
      <c r="AD774" s="534"/>
      <c r="AE774" s="590"/>
      <c r="AF774" s="534"/>
      <c r="AG774" s="534"/>
      <c r="AH774" s="534"/>
      <c r="AI774" s="534"/>
      <c r="AJ774" s="534"/>
      <c r="AK774" s="534"/>
      <c r="AL774" s="534"/>
      <c r="AM774" s="547"/>
      <c r="AN774" s="532"/>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6" customFormat="1">
      <c r="A775" s="547"/>
      <c r="B775" s="534"/>
      <c r="C775" s="927"/>
      <c r="D775" s="534"/>
      <c r="E775" s="639"/>
      <c r="F775" s="639"/>
      <c r="G775" s="639"/>
      <c r="H775" s="639"/>
      <c r="I775" s="639"/>
      <c r="J775" s="639"/>
      <c r="K775" s="639"/>
      <c r="L775" s="639"/>
      <c r="M775" s="639"/>
      <c r="N775" s="639"/>
      <c r="O775" s="639"/>
      <c r="P775" s="639"/>
      <c r="Q775" s="639"/>
      <c r="R775" s="639"/>
      <c r="S775" s="639"/>
      <c r="T775" s="639"/>
      <c r="U775" s="639"/>
      <c r="V775" s="639"/>
      <c r="W775" s="639"/>
      <c r="X775" s="639"/>
      <c r="Y775" s="639"/>
      <c r="Z775" s="639"/>
      <c r="AA775" s="639"/>
      <c r="AB775" s="639"/>
      <c r="AC775" s="534"/>
      <c r="AD775" s="534"/>
      <c r="AE775" s="612"/>
      <c r="AF775" s="612"/>
      <c r="AG775" s="612"/>
      <c r="AH775" s="612"/>
      <c r="AI775" s="534"/>
      <c r="AJ775" s="534"/>
      <c r="AK775" s="534"/>
      <c r="AL775" s="534"/>
      <c r="AM775" s="547"/>
      <c r="AN775" s="532"/>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6" customFormat="1" ht="12.75" customHeight="1">
      <c r="A776" s="547"/>
      <c r="B776" s="534"/>
      <c r="C776" s="534"/>
      <c r="D776" s="534" t="s">
        <v>1389</v>
      </c>
      <c r="E776" s="930"/>
      <c r="F776" s="930"/>
      <c r="G776" s="930"/>
      <c r="H776" s="1416" t="s">
        <v>686</v>
      </c>
      <c r="I776" s="1416"/>
      <c r="J776" s="639"/>
      <c r="K776" s="639"/>
      <c r="L776" s="639"/>
      <c r="M776" s="639"/>
      <c r="N776" s="639"/>
      <c r="O776" s="639"/>
      <c r="P776" s="639"/>
      <c r="Q776" s="534"/>
      <c r="R776" s="534"/>
      <c r="S776" s="534"/>
      <c r="T776" s="534"/>
      <c r="U776" s="534"/>
      <c r="V776" s="534"/>
      <c r="W776" s="639"/>
      <c r="X776" s="639"/>
      <c r="Y776" s="639"/>
      <c r="Z776" s="639"/>
      <c r="AA776" s="639"/>
      <c r="AB776" s="639"/>
      <c r="AC776" s="534"/>
      <c r="AD776" s="534"/>
      <c r="AE776" s="612"/>
      <c r="AF776" s="612"/>
      <c r="AG776" s="612"/>
      <c r="AH776" s="612"/>
      <c r="AI776" s="534"/>
      <c r="AJ776" s="534"/>
      <c r="AK776" s="534"/>
      <c r="AL776" s="534"/>
      <c r="AM776" s="547"/>
      <c r="AN776" s="532"/>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6" customFormat="1" ht="12.75" customHeight="1">
      <c r="A777" s="547"/>
      <c r="B777" s="612"/>
      <c r="C777" s="934"/>
      <c r="D777" s="612"/>
      <c r="E777" s="612"/>
      <c r="F777" s="612"/>
      <c r="G777" s="612"/>
      <c r="H777" s="612"/>
      <c r="I777" s="612"/>
      <c r="J777" s="612"/>
      <c r="K777" s="612"/>
      <c r="L777" s="612"/>
      <c r="M777" s="612"/>
      <c r="N777" s="612"/>
      <c r="O777" s="612"/>
      <c r="P777" s="612"/>
      <c r="Q777" s="612"/>
      <c r="R777" s="612"/>
      <c r="S777" s="612"/>
      <c r="T777" s="612"/>
      <c r="U777" s="612"/>
      <c r="V777" s="612"/>
      <c r="W777" s="612"/>
      <c r="X777" s="612"/>
      <c r="Y777" s="612"/>
      <c r="Z777" s="612"/>
      <c r="AA777" s="612"/>
      <c r="AB777" s="612"/>
      <c r="AC777" s="612"/>
      <c r="AD777" s="612"/>
      <c r="AE777" s="612"/>
      <c r="AF777" s="612"/>
      <c r="AG777" s="612"/>
      <c r="AH777" s="612"/>
      <c r="AI777" s="534"/>
      <c r="AJ777" s="534"/>
      <c r="AK777" s="534"/>
      <c r="AL777" s="534"/>
      <c r="AM777" s="547"/>
      <c r="AN777" s="532"/>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6" customFormat="1" ht="14.1" customHeight="1">
      <c r="A778" s="602"/>
      <c r="B778" s="659"/>
      <c r="C778" s="949"/>
      <c r="D778" s="659"/>
      <c r="E778" s="659"/>
      <c r="F778" s="659"/>
      <c r="G778" s="659"/>
      <c r="H778" s="659"/>
      <c r="I778" s="659"/>
      <c r="J778" s="659"/>
      <c r="K778" s="659"/>
      <c r="L778" s="659"/>
      <c r="M778" s="659"/>
      <c r="N778" s="659"/>
      <c r="O778" s="659"/>
      <c r="P778" s="659"/>
      <c r="Q778" s="659"/>
      <c r="R778" s="659"/>
      <c r="S778" s="659"/>
      <c r="T778" s="659"/>
      <c r="U778" s="659"/>
      <c r="V778" s="659"/>
      <c r="W778" s="659"/>
      <c r="X778" s="659"/>
      <c r="Y778" s="659"/>
      <c r="Z778" s="659"/>
      <c r="AA778" s="659"/>
      <c r="AB778" s="659"/>
      <c r="AC778" s="659"/>
      <c r="AD778" s="659"/>
      <c r="AE778" s="659"/>
      <c r="AF778" s="659"/>
      <c r="AG778" s="659"/>
      <c r="AH778" s="597"/>
      <c r="AI778" s="561" t="s">
        <v>1436</v>
      </c>
      <c r="AJ778" s="1360">
        <f>VLOOKUP($H$776,$AO$710:$AP$712,2,FALSE)</f>
        <v>2</v>
      </c>
      <c r="AK778" s="1362"/>
      <c r="AL778" s="591"/>
      <c r="AM778" s="547"/>
      <c r="AN778" s="532"/>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6" customFormat="1">
      <c r="A779" s="547"/>
      <c r="B779" s="612"/>
      <c r="C779" s="934"/>
      <c r="D779" s="612"/>
      <c r="E779" s="612"/>
      <c r="F779" s="612"/>
      <c r="G779" s="612"/>
      <c r="H779" s="612"/>
      <c r="I779" s="612"/>
      <c r="J779" s="612"/>
      <c r="K779" s="612"/>
      <c r="L779" s="612"/>
      <c r="M779" s="612"/>
      <c r="N779" s="612"/>
      <c r="O779" s="612"/>
      <c r="P779" s="612"/>
      <c r="Q779" s="612"/>
      <c r="R779" s="612"/>
      <c r="S779" s="612"/>
      <c r="T779" s="612"/>
      <c r="U779" s="612"/>
      <c r="V779" s="612"/>
      <c r="W779" s="612"/>
      <c r="X779" s="612"/>
      <c r="Y779" s="612"/>
      <c r="Z779" s="612"/>
      <c r="AA779" s="612"/>
      <c r="AB779" s="612"/>
      <c r="AC779" s="612"/>
      <c r="AD779" s="612"/>
      <c r="AE779" s="612"/>
      <c r="AF779" s="612"/>
      <c r="AG779" s="612"/>
      <c r="AH779" s="534"/>
      <c r="AI779" s="541"/>
      <c r="AJ779" s="591"/>
      <c r="AK779" s="591"/>
      <c r="AL779" s="591"/>
      <c r="AM779" s="547"/>
      <c r="AN779" s="532"/>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6" customFormat="1">
      <c r="A780" s="547"/>
      <c r="B780" s="612"/>
      <c r="C780" s="537" t="s">
        <v>1425</v>
      </c>
      <c r="D780" s="612"/>
      <c r="E780" s="612"/>
      <c r="F780" s="612"/>
      <c r="G780" s="612"/>
      <c r="H780" s="612"/>
      <c r="I780" s="612"/>
      <c r="J780" s="612"/>
      <c r="K780" s="612"/>
      <c r="L780" s="612"/>
      <c r="M780" s="612"/>
      <c r="N780" s="612"/>
      <c r="O780" s="612"/>
      <c r="P780" s="612"/>
      <c r="Q780" s="612"/>
      <c r="R780" s="612"/>
      <c r="S780" s="612"/>
      <c r="T780" s="612"/>
      <c r="U780" s="612"/>
      <c r="V780" s="612"/>
      <c r="W780" s="612"/>
      <c r="X780" s="612"/>
      <c r="Y780" s="612"/>
      <c r="Z780" s="612"/>
      <c r="AA780" s="612"/>
      <c r="AB780" s="612"/>
      <c r="AC780" s="612"/>
      <c r="AD780" s="612"/>
      <c r="AE780" s="612"/>
      <c r="AF780" s="612"/>
      <c r="AG780" s="612"/>
      <c r="AH780" s="534"/>
      <c r="AI780" s="541"/>
      <c r="AJ780" s="591"/>
      <c r="AK780" s="591"/>
      <c r="AL780" s="591"/>
      <c r="AM780" s="547"/>
      <c r="AN780" s="532"/>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6" customFormat="1">
      <c r="A781" s="547"/>
      <c r="B781" s="612"/>
      <c r="C781" s="934"/>
      <c r="D781" s="612"/>
      <c r="E781" s="612"/>
      <c r="F781" s="612"/>
      <c r="G781" s="612"/>
      <c r="H781" s="612"/>
      <c r="I781" s="612"/>
      <c r="J781" s="612"/>
      <c r="K781" s="612"/>
      <c r="L781" s="612"/>
      <c r="M781" s="612"/>
      <c r="N781" s="612"/>
      <c r="O781" s="612"/>
      <c r="P781" s="612"/>
      <c r="Q781" s="612"/>
      <c r="R781" s="612"/>
      <c r="S781" s="612"/>
      <c r="T781" s="612"/>
      <c r="U781" s="612"/>
      <c r="V781" s="612"/>
      <c r="W781" s="612"/>
      <c r="X781" s="612"/>
      <c r="Y781" s="612"/>
      <c r="Z781" s="612"/>
      <c r="AA781" s="612"/>
      <c r="AB781" s="612"/>
      <c r="AC781" s="612"/>
      <c r="AD781" s="612"/>
      <c r="AE781" s="612"/>
      <c r="AF781" s="612"/>
      <c r="AG781" s="612"/>
      <c r="AH781" s="534"/>
      <c r="AI781" s="541"/>
      <c r="AJ781" s="591"/>
      <c r="AK781" s="591"/>
      <c r="AL781" s="591"/>
      <c r="AM781" s="547"/>
      <c r="AN781" s="678"/>
    </row>
    <row r="782" spans="1:74" s="566" customFormat="1" ht="13.7" customHeight="1">
      <c r="A782" s="547"/>
      <c r="B782" s="612"/>
      <c r="C782" s="934"/>
      <c r="D782" s="657" t="s">
        <v>686</v>
      </c>
      <c r="E782" s="1352" t="s">
        <v>1678</v>
      </c>
      <c r="F782" s="1352"/>
      <c r="G782" s="1352"/>
      <c r="H782" s="1352"/>
      <c r="I782" s="1352"/>
      <c r="J782" s="1352"/>
      <c r="K782" s="1352"/>
      <c r="L782" s="1352"/>
      <c r="M782" s="1352"/>
      <c r="N782" s="1352"/>
      <c r="O782" s="1352"/>
      <c r="P782" s="1352"/>
      <c r="Q782" s="1352"/>
      <c r="R782" s="1352"/>
      <c r="S782" s="1352"/>
      <c r="T782" s="1352"/>
      <c r="U782" s="1352"/>
      <c r="V782" s="1352"/>
      <c r="W782" s="1352"/>
      <c r="X782" s="1352"/>
      <c r="Y782" s="1352"/>
      <c r="Z782" s="1352"/>
      <c r="AA782" s="1352"/>
      <c r="AB782" s="1352"/>
      <c r="AC782" s="1352"/>
      <c r="AD782" s="1352"/>
      <c r="AE782" s="534"/>
      <c r="AF782" s="1335" t="s">
        <v>1397</v>
      </c>
      <c r="AG782" s="1335"/>
      <c r="AH782" s="1335"/>
      <c r="AI782" s="1335"/>
      <c r="AJ782" s="1335"/>
      <c r="AK782" s="1335"/>
      <c r="AL782" s="1335"/>
      <c r="AM782" s="609"/>
      <c r="AN782" s="678"/>
      <c r="AO782" s="547" t="s">
        <v>590</v>
      </c>
      <c r="AP782" s="667">
        <v>0</v>
      </c>
    </row>
    <row r="783" spans="1:74" s="566" customFormat="1" ht="13.7" customHeight="1">
      <c r="A783" s="547"/>
      <c r="B783" s="612"/>
      <c r="C783" s="934"/>
      <c r="D783" s="657"/>
      <c r="E783" s="1352"/>
      <c r="F783" s="1352"/>
      <c r="G783" s="1352"/>
      <c r="H783" s="1352"/>
      <c r="I783" s="1352"/>
      <c r="J783" s="1352"/>
      <c r="K783" s="1352"/>
      <c r="L783" s="1352"/>
      <c r="M783" s="1352"/>
      <c r="N783" s="1352"/>
      <c r="O783" s="1352"/>
      <c r="P783" s="1352"/>
      <c r="Q783" s="1352"/>
      <c r="R783" s="1352"/>
      <c r="S783" s="1352"/>
      <c r="T783" s="1352"/>
      <c r="U783" s="1352"/>
      <c r="V783" s="1352"/>
      <c r="W783" s="1352"/>
      <c r="X783" s="1352"/>
      <c r="Y783" s="1352"/>
      <c r="Z783" s="1352"/>
      <c r="AA783" s="1352"/>
      <c r="AB783" s="1352"/>
      <c r="AC783" s="1352"/>
      <c r="AD783" s="1352"/>
      <c r="AE783" s="534"/>
      <c r="AF783" s="590"/>
      <c r="AG783" s="590"/>
      <c r="AH783" s="590"/>
      <c r="AI783" s="590"/>
      <c r="AJ783" s="590"/>
      <c r="AK783" s="590"/>
      <c r="AL783" s="590"/>
      <c r="AM783" s="609"/>
      <c r="AN783" s="678"/>
      <c r="AO783" s="607" t="s">
        <v>686</v>
      </c>
      <c r="AP783" s="547">
        <v>2</v>
      </c>
    </row>
    <row r="784" spans="1:74" s="566" customFormat="1">
      <c r="A784" s="547"/>
      <c r="B784" s="612"/>
      <c r="C784" s="934"/>
      <c r="D784" s="657"/>
      <c r="E784" s="1352"/>
      <c r="F784" s="1352"/>
      <c r="G784" s="1352"/>
      <c r="H784" s="1352"/>
      <c r="I784" s="1352"/>
      <c r="J784" s="1352"/>
      <c r="K784" s="1352"/>
      <c r="L784" s="1352"/>
      <c r="M784" s="1352"/>
      <c r="N784" s="1352"/>
      <c r="O784" s="1352"/>
      <c r="P784" s="1352"/>
      <c r="Q784" s="1352"/>
      <c r="R784" s="1352"/>
      <c r="S784" s="1352"/>
      <c r="T784" s="1352"/>
      <c r="U784" s="1352"/>
      <c r="V784" s="1352"/>
      <c r="W784" s="1352"/>
      <c r="X784" s="1352"/>
      <c r="Y784" s="1352"/>
      <c r="Z784" s="1352"/>
      <c r="AA784" s="1352"/>
      <c r="AB784" s="1352"/>
      <c r="AC784" s="1352"/>
      <c r="AD784" s="1352"/>
      <c r="AE784" s="534"/>
      <c r="AF784" s="534"/>
      <c r="AG784" s="534"/>
      <c r="AH784" s="534"/>
      <c r="AI784" s="534"/>
      <c r="AJ784" s="534"/>
      <c r="AK784" s="534"/>
      <c r="AL784" s="590"/>
      <c r="AM784" s="609"/>
      <c r="AN784" s="532"/>
      <c r="AO784" s="607" t="s">
        <v>508</v>
      </c>
      <c r="AP784" s="547">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6" customFormat="1" ht="18.600000000000001" customHeight="1">
      <c r="A785" s="547"/>
      <c r="B785" s="612"/>
      <c r="C785" s="934"/>
      <c r="D785" s="657"/>
      <c r="E785" s="1352"/>
      <c r="F785" s="1352"/>
      <c r="G785" s="1352"/>
      <c r="H785" s="1352"/>
      <c r="I785" s="1352"/>
      <c r="J785" s="1352"/>
      <c r="K785" s="1352"/>
      <c r="L785" s="1352"/>
      <c r="M785" s="1352"/>
      <c r="N785" s="1352"/>
      <c r="O785" s="1352"/>
      <c r="P785" s="1352"/>
      <c r="Q785" s="1352"/>
      <c r="R785" s="1352"/>
      <c r="S785" s="1352"/>
      <c r="T785" s="1352"/>
      <c r="U785" s="1352"/>
      <c r="V785" s="1352"/>
      <c r="W785" s="1352"/>
      <c r="X785" s="1352"/>
      <c r="Y785" s="1352"/>
      <c r="Z785" s="1352"/>
      <c r="AA785" s="1352"/>
      <c r="AB785" s="1352"/>
      <c r="AC785" s="1352"/>
      <c r="AD785" s="1352"/>
      <c r="AE785" s="590"/>
      <c r="AF785" s="590"/>
      <c r="AG785" s="590"/>
      <c r="AH785" s="590"/>
      <c r="AI785" s="590"/>
      <c r="AJ785" s="590"/>
      <c r="AK785" s="590"/>
      <c r="AL785" s="590"/>
      <c r="AM785" s="609"/>
      <c r="AN785" s="532"/>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7" customFormat="1" ht="12.75" customHeight="1">
      <c r="B786" s="612"/>
      <c r="C786" s="934"/>
      <c r="D786" s="657"/>
      <c r="E786" s="902"/>
      <c r="F786" s="902"/>
      <c r="G786" s="902"/>
      <c r="H786" s="902"/>
      <c r="I786" s="902"/>
      <c r="J786" s="902"/>
      <c r="K786" s="902"/>
      <c r="L786" s="902"/>
      <c r="M786" s="902"/>
      <c r="N786" s="902"/>
      <c r="O786" s="902"/>
      <c r="P786" s="902"/>
      <c r="Q786" s="902"/>
      <c r="R786" s="902"/>
      <c r="S786" s="902"/>
      <c r="T786" s="902"/>
      <c r="U786" s="902"/>
      <c r="V786" s="902"/>
      <c r="W786" s="902"/>
      <c r="X786" s="902"/>
      <c r="Y786" s="902"/>
      <c r="Z786" s="902"/>
      <c r="AA786" s="902"/>
      <c r="AB786" s="902"/>
      <c r="AC786" s="902"/>
      <c r="AD786" s="902"/>
      <c r="AE786" s="590"/>
      <c r="AF786" s="534"/>
      <c r="AG786" s="534"/>
      <c r="AH786" s="534"/>
      <c r="AI786" s="534"/>
      <c r="AJ786" s="534"/>
      <c r="AK786" s="534"/>
      <c r="AL786" s="534"/>
      <c r="AM786" s="609"/>
      <c r="AN786" s="593"/>
    </row>
    <row r="787" spans="1:81" s="547" customFormat="1" ht="12.75" customHeight="1">
      <c r="B787" s="612"/>
      <c r="C787" s="934"/>
      <c r="D787" s="657" t="s">
        <v>508</v>
      </c>
      <c r="E787" s="1426" t="s">
        <v>1683</v>
      </c>
      <c r="F787" s="1426"/>
      <c r="G787" s="1426"/>
      <c r="H787" s="1426"/>
      <c r="I787" s="1426"/>
      <c r="J787" s="1426"/>
      <c r="K787" s="1426"/>
      <c r="L787" s="1426"/>
      <c r="M787" s="1426"/>
      <c r="N787" s="1426"/>
      <c r="O787" s="1426"/>
      <c r="P787" s="1426"/>
      <c r="Q787" s="1426"/>
      <c r="R787" s="1426"/>
      <c r="S787" s="1426"/>
      <c r="T787" s="1426"/>
      <c r="U787" s="1426"/>
      <c r="V787" s="1426"/>
      <c r="W787" s="1426"/>
      <c r="X787" s="1426"/>
      <c r="Y787" s="1426"/>
      <c r="Z787" s="1426"/>
      <c r="AA787" s="1426"/>
      <c r="AB787" s="1426"/>
      <c r="AC787" s="1426"/>
      <c r="AD787" s="1426"/>
      <c r="AE787" s="534"/>
      <c r="AF787" s="1335" t="s">
        <v>1343</v>
      </c>
      <c r="AG787" s="1335"/>
      <c r="AH787" s="1335"/>
      <c r="AI787" s="1335"/>
      <c r="AJ787" s="1335"/>
      <c r="AK787" s="1335"/>
      <c r="AL787" s="1335"/>
      <c r="AM787" s="609"/>
      <c r="AN787" s="593"/>
    </row>
    <row r="788" spans="1:81" s="547" customFormat="1" ht="12.75" customHeight="1">
      <c r="B788" s="612"/>
      <c r="C788" s="934"/>
      <c r="D788" s="657"/>
      <c r="E788" s="1426"/>
      <c r="F788" s="1426"/>
      <c r="G788" s="1426"/>
      <c r="H788" s="1426"/>
      <c r="I788" s="1426"/>
      <c r="J788" s="1426"/>
      <c r="K788" s="1426"/>
      <c r="L788" s="1426"/>
      <c r="M788" s="1426"/>
      <c r="N788" s="1426"/>
      <c r="O788" s="1426"/>
      <c r="P788" s="1426"/>
      <c r="Q788" s="1426"/>
      <c r="R788" s="1426"/>
      <c r="S788" s="1426"/>
      <c r="T788" s="1426"/>
      <c r="U788" s="1426"/>
      <c r="V788" s="1426"/>
      <c r="W788" s="1426"/>
      <c r="X788" s="1426"/>
      <c r="Y788" s="1426"/>
      <c r="Z788" s="1426"/>
      <c r="AA788" s="1426"/>
      <c r="AB788" s="1426"/>
      <c r="AC788" s="1426"/>
      <c r="AD788" s="1426"/>
      <c r="AE788" s="590"/>
      <c r="AF788" s="590"/>
      <c r="AG788" s="590"/>
      <c r="AH788" s="590"/>
      <c r="AI788" s="590"/>
      <c r="AJ788" s="590"/>
      <c r="AK788" s="590"/>
      <c r="AL788" s="590"/>
      <c r="AM788" s="609"/>
      <c r="AN788" s="593"/>
    </row>
    <row r="789" spans="1:81" s="547" customFormat="1" ht="12.75" customHeight="1">
      <c r="B789" s="612"/>
      <c r="C789" s="934"/>
      <c r="D789" s="657"/>
      <c r="E789" s="1426"/>
      <c r="F789" s="1426"/>
      <c r="G789" s="1426"/>
      <c r="H789" s="1426"/>
      <c r="I789" s="1426"/>
      <c r="J789" s="1426"/>
      <c r="K789" s="1426"/>
      <c r="L789" s="1426"/>
      <c r="M789" s="1426"/>
      <c r="N789" s="1426"/>
      <c r="O789" s="1426"/>
      <c r="P789" s="1426"/>
      <c r="Q789" s="1426"/>
      <c r="R789" s="1426"/>
      <c r="S789" s="1426"/>
      <c r="T789" s="1426"/>
      <c r="U789" s="1426"/>
      <c r="V789" s="1426"/>
      <c r="W789" s="1426"/>
      <c r="X789" s="1426"/>
      <c r="Y789" s="1426"/>
      <c r="Z789" s="1426"/>
      <c r="AA789" s="1426"/>
      <c r="AB789" s="1426"/>
      <c r="AC789" s="1426"/>
      <c r="AD789" s="1426"/>
      <c r="AE789" s="590"/>
      <c r="AF789" s="590"/>
      <c r="AG789" s="590"/>
      <c r="AH789" s="590"/>
      <c r="AI789" s="590"/>
      <c r="AJ789" s="590"/>
      <c r="AK789" s="590"/>
      <c r="AL789" s="590"/>
      <c r="AM789" s="609"/>
      <c r="AN789" s="593"/>
    </row>
    <row r="790" spans="1:81" s="547" customFormat="1" ht="12.75" customHeight="1">
      <c r="B790" s="612"/>
      <c r="C790" s="934"/>
      <c r="D790" s="657"/>
      <c r="E790" s="1426"/>
      <c r="F790" s="1426"/>
      <c r="G790" s="1426"/>
      <c r="H790" s="1426"/>
      <c r="I790" s="1426"/>
      <c r="J790" s="1426"/>
      <c r="K790" s="1426"/>
      <c r="L790" s="1426"/>
      <c r="M790" s="1426"/>
      <c r="N790" s="1426"/>
      <c r="O790" s="1426"/>
      <c r="P790" s="1426"/>
      <c r="Q790" s="1426"/>
      <c r="R790" s="1426"/>
      <c r="S790" s="1426"/>
      <c r="T790" s="1426"/>
      <c r="U790" s="1426"/>
      <c r="V790" s="1426"/>
      <c r="W790" s="1426"/>
      <c r="X790" s="1426"/>
      <c r="Y790" s="1426"/>
      <c r="Z790" s="1426"/>
      <c r="AA790" s="1426"/>
      <c r="AB790" s="1426"/>
      <c r="AC790" s="1426"/>
      <c r="AD790" s="1426"/>
      <c r="AE790" s="590"/>
      <c r="AF790" s="590"/>
      <c r="AG790" s="590"/>
      <c r="AH790" s="590"/>
      <c r="AI790" s="590"/>
      <c r="AJ790" s="590"/>
      <c r="AK790" s="590"/>
      <c r="AL790" s="590"/>
      <c r="AM790" s="609"/>
      <c r="AN790" s="593"/>
    </row>
    <row r="791" spans="1:81" s="547" customFormat="1" ht="12.75" customHeight="1">
      <c r="A791" s="566"/>
      <c r="B791" s="534"/>
      <c r="C791" s="534"/>
      <c r="D791" s="534"/>
      <c r="E791" s="534"/>
      <c r="F791" s="534"/>
      <c r="G791" s="534"/>
      <c r="H791" s="534"/>
      <c r="I791" s="534"/>
      <c r="J791" s="534"/>
      <c r="K791" s="534"/>
      <c r="L791" s="534"/>
      <c r="M791" s="534"/>
      <c r="N791" s="534"/>
      <c r="O791" s="534"/>
      <c r="P791" s="534"/>
      <c r="Q791" s="534"/>
      <c r="R791" s="534"/>
      <c r="S791" s="534"/>
      <c r="T791" s="534"/>
      <c r="U791" s="534"/>
      <c r="V791" s="534"/>
      <c r="W791" s="534"/>
      <c r="X791" s="534"/>
      <c r="Y791" s="534"/>
      <c r="Z791" s="534"/>
      <c r="AA791" s="534"/>
      <c r="AB791" s="534"/>
      <c r="AC791" s="534"/>
      <c r="AD791" s="534"/>
      <c r="AE791" s="534"/>
      <c r="AF791" s="534"/>
      <c r="AG791" s="534"/>
      <c r="AH791" s="534"/>
      <c r="AI791" s="534"/>
      <c r="AJ791" s="534"/>
      <c r="AK791" s="534"/>
      <c r="AL791" s="534"/>
      <c r="AM791" s="566"/>
      <c r="AN791" s="593"/>
    </row>
    <row r="792" spans="1:81" s="547" customFormat="1" ht="12.75" customHeight="1">
      <c r="B792" s="612"/>
      <c r="C792" s="934"/>
      <c r="D792" s="534" t="s">
        <v>1389</v>
      </c>
      <c r="E792" s="930"/>
      <c r="F792" s="930"/>
      <c r="G792" s="930"/>
      <c r="H792" s="1416" t="s">
        <v>590</v>
      </c>
      <c r="I792" s="1416"/>
      <c r="J792" s="639"/>
      <c r="K792" s="639"/>
      <c r="L792" s="639"/>
      <c r="M792" s="639"/>
      <c r="N792" s="639"/>
      <c r="O792" s="639"/>
      <c r="P792" s="639"/>
      <c r="Q792" s="639"/>
      <c r="R792" s="639"/>
      <c r="S792" s="639"/>
      <c r="T792" s="639"/>
      <c r="U792" s="639"/>
      <c r="V792" s="639"/>
      <c r="W792" s="639"/>
      <c r="X792" s="639"/>
      <c r="Y792" s="639"/>
      <c r="Z792" s="639"/>
      <c r="AA792" s="639"/>
      <c r="AB792" s="639"/>
      <c r="AC792" s="639"/>
      <c r="AD792" s="639"/>
      <c r="AE792" s="639"/>
      <c r="AF792" s="639"/>
      <c r="AG792" s="612"/>
      <c r="AH792" s="534"/>
      <c r="AI792" s="541"/>
      <c r="AJ792" s="591"/>
      <c r="AK792" s="591"/>
      <c r="AL792" s="591"/>
      <c r="AN792" s="593"/>
    </row>
    <row r="793" spans="1:81" s="547" customFormat="1" ht="12.75" customHeight="1">
      <c r="B793" s="612"/>
      <c r="C793" s="934"/>
      <c r="D793" s="612"/>
      <c r="E793" s="612"/>
      <c r="F793" s="612"/>
      <c r="G793" s="612"/>
      <c r="H793" s="612"/>
      <c r="I793" s="612"/>
      <c r="J793" s="612"/>
      <c r="K793" s="612"/>
      <c r="L793" s="612"/>
      <c r="M793" s="612"/>
      <c r="N793" s="612"/>
      <c r="O793" s="612"/>
      <c r="P793" s="612"/>
      <c r="Q793" s="612"/>
      <c r="R793" s="612"/>
      <c r="S793" s="612"/>
      <c r="T793" s="612"/>
      <c r="U793" s="612"/>
      <c r="V793" s="612"/>
      <c r="W793" s="612"/>
      <c r="X793" s="612"/>
      <c r="Y793" s="612"/>
      <c r="Z793" s="612"/>
      <c r="AA793" s="612"/>
      <c r="AB793" s="612"/>
      <c r="AC793" s="612"/>
      <c r="AD793" s="612"/>
      <c r="AE793" s="612"/>
      <c r="AF793" s="612"/>
      <c r="AG793" s="612"/>
      <c r="AH793" s="534"/>
      <c r="AI793" s="541"/>
      <c r="AJ793" s="591"/>
      <c r="AK793" s="591"/>
      <c r="AL793" s="591"/>
      <c r="AN793" s="593"/>
    </row>
    <row r="794" spans="1:81" s="547" customFormat="1" ht="12.75" customHeight="1">
      <c r="A794" s="602"/>
      <c r="B794" s="659"/>
      <c r="C794" s="949"/>
      <c r="D794" s="659"/>
      <c r="E794" s="659"/>
      <c r="F794" s="659"/>
      <c r="G794" s="659"/>
      <c r="H794" s="659"/>
      <c r="I794" s="659"/>
      <c r="J794" s="659"/>
      <c r="K794" s="659"/>
      <c r="L794" s="659"/>
      <c r="M794" s="659"/>
      <c r="N794" s="659"/>
      <c r="O794" s="659"/>
      <c r="P794" s="659"/>
      <c r="Q794" s="659"/>
      <c r="R794" s="659"/>
      <c r="S794" s="659"/>
      <c r="T794" s="659"/>
      <c r="U794" s="659"/>
      <c r="V794" s="659"/>
      <c r="W794" s="659"/>
      <c r="X794" s="659"/>
      <c r="Y794" s="659"/>
      <c r="Z794" s="659"/>
      <c r="AA794" s="659"/>
      <c r="AB794" s="659"/>
      <c r="AC794" s="659"/>
      <c r="AD794" s="659"/>
      <c r="AE794" s="659"/>
      <c r="AF794" s="659"/>
      <c r="AG794" s="659"/>
      <c r="AH794" s="597"/>
      <c r="AI794" s="561" t="s">
        <v>1437</v>
      </c>
      <c r="AJ794" s="1360">
        <f>VLOOKUP($H$792,$AO$782:$AP$784,2,FALSE)</f>
        <v>0</v>
      </c>
      <c r="AK794" s="1362"/>
      <c r="AL794" s="591"/>
      <c r="AN794" s="593"/>
    </row>
    <row r="795" spans="1:81" s="566" customFormat="1">
      <c r="A795" s="547"/>
      <c r="B795" s="612"/>
      <c r="C795" s="934"/>
      <c r="D795" s="612"/>
      <c r="E795" s="612"/>
      <c r="F795" s="612"/>
      <c r="G795" s="612"/>
      <c r="H795" s="612"/>
      <c r="I795" s="612"/>
      <c r="J795" s="612"/>
      <c r="K795" s="612"/>
      <c r="L795" s="612"/>
      <c r="M795" s="612"/>
      <c r="N795" s="612"/>
      <c r="O795" s="612"/>
      <c r="P795" s="612"/>
      <c r="Q795" s="612"/>
      <c r="R795" s="612"/>
      <c r="S795" s="612"/>
      <c r="T795" s="612"/>
      <c r="U795" s="612"/>
      <c r="V795" s="612"/>
      <c r="W795" s="612"/>
      <c r="X795" s="612"/>
      <c r="Y795" s="612"/>
      <c r="Z795" s="612"/>
      <c r="AA795" s="612"/>
      <c r="AB795" s="612"/>
      <c r="AC795" s="612"/>
      <c r="AD795" s="612"/>
      <c r="AE795" s="612"/>
      <c r="AF795" s="612"/>
      <c r="AG795" s="612"/>
      <c r="AH795" s="534"/>
      <c r="AI795" s="541"/>
      <c r="AJ795" s="591"/>
      <c r="AK795" s="591"/>
      <c r="AL795" s="591"/>
      <c r="AM795" s="547"/>
      <c r="AN795" s="678"/>
      <c r="AS795" s="668"/>
      <c r="AT795" s="668"/>
      <c r="AU795" s="668"/>
      <c r="AV795" s="668"/>
      <c r="AW795" s="668"/>
      <c r="AX795" s="668"/>
      <c r="AY795" s="668"/>
      <c r="AZ795" s="668"/>
      <c r="BA795" s="668"/>
      <c r="BB795" s="668"/>
      <c r="BC795" s="668"/>
      <c r="BD795" s="684"/>
      <c r="BE795" s="684"/>
      <c r="BF795" s="684"/>
      <c r="BG795" s="684"/>
      <c r="BH795" s="684"/>
      <c r="BI795" s="668"/>
      <c r="BJ795" s="668"/>
      <c r="BK795" s="668"/>
      <c r="BL795" s="668"/>
      <c r="BM795" s="668"/>
      <c r="BN795" s="668"/>
      <c r="BO795" s="668"/>
      <c r="BP795" s="668"/>
      <c r="BQ795" s="668"/>
      <c r="BR795" s="668"/>
      <c r="BS795" s="668"/>
      <c r="BT795" s="668"/>
      <c r="BU795" s="668"/>
      <c r="BV795" s="668"/>
      <c r="BW795" s="668"/>
      <c r="BX795" s="668"/>
      <c r="BY795" s="668"/>
      <c r="BZ795" s="668"/>
      <c r="CA795" s="668"/>
      <c r="CB795" s="668"/>
      <c r="CC795" s="668"/>
    </row>
    <row r="796" spans="1:81" s="566" customFormat="1">
      <c r="A796" s="547"/>
      <c r="B796" s="612"/>
      <c r="C796" s="537" t="s">
        <v>1438</v>
      </c>
      <c r="D796" s="612"/>
      <c r="E796" s="612"/>
      <c r="F796" s="612"/>
      <c r="G796" s="612"/>
      <c r="H796" s="612"/>
      <c r="I796" s="612"/>
      <c r="J796" s="612"/>
      <c r="K796" s="612"/>
      <c r="L796" s="612"/>
      <c r="M796" s="612"/>
      <c r="N796" s="612"/>
      <c r="O796" s="612"/>
      <c r="P796" s="612"/>
      <c r="Q796" s="612"/>
      <c r="R796" s="612"/>
      <c r="S796" s="612"/>
      <c r="T796" s="612"/>
      <c r="U796" s="612"/>
      <c r="V796" s="612"/>
      <c r="W796" s="612"/>
      <c r="X796" s="612"/>
      <c r="Y796" s="612"/>
      <c r="Z796" s="612"/>
      <c r="AA796" s="612"/>
      <c r="AB796" s="612"/>
      <c r="AC796" s="612"/>
      <c r="AD796" s="612"/>
      <c r="AE796" s="612"/>
      <c r="AF796" s="612"/>
      <c r="AG796" s="612"/>
      <c r="AH796" s="534"/>
      <c r="AI796" s="541"/>
      <c r="AJ796" s="591"/>
      <c r="AK796" s="591"/>
      <c r="AL796" s="591"/>
      <c r="AM796" s="547"/>
      <c r="AN796" s="678"/>
      <c r="AT796" s="668"/>
      <c r="AU796" s="668"/>
      <c r="AV796" s="668"/>
      <c r="AW796" s="668"/>
      <c r="AX796" s="668"/>
      <c r="AY796" s="668"/>
      <c r="AZ796" s="668"/>
    </row>
    <row r="797" spans="1:81" s="566" customFormat="1">
      <c r="A797" s="547"/>
      <c r="B797" s="612"/>
      <c r="C797" s="934"/>
      <c r="D797" s="612"/>
      <c r="E797" s="612"/>
      <c r="F797" s="612"/>
      <c r="G797" s="612"/>
      <c r="H797" s="612"/>
      <c r="I797" s="612"/>
      <c r="J797" s="612"/>
      <c r="K797" s="612"/>
      <c r="L797" s="612"/>
      <c r="M797" s="612"/>
      <c r="N797" s="612"/>
      <c r="O797" s="612"/>
      <c r="P797" s="612"/>
      <c r="Q797" s="612"/>
      <c r="R797" s="612"/>
      <c r="S797" s="612"/>
      <c r="T797" s="612"/>
      <c r="U797" s="612"/>
      <c r="V797" s="612"/>
      <c r="W797" s="612"/>
      <c r="X797" s="612"/>
      <c r="Y797" s="612"/>
      <c r="Z797" s="612"/>
      <c r="AA797" s="612"/>
      <c r="AB797" s="612"/>
      <c r="AC797" s="612"/>
      <c r="AD797" s="612"/>
      <c r="AE797" s="534"/>
      <c r="AF797" s="534"/>
      <c r="AG797" s="534"/>
      <c r="AH797" s="534"/>
      <c r="AI797" s="534"/>
      <c r="AJ797" s="534"/>
      <c r="AK797" s="534"/>
      <c r="AL797" s="591"/>
      <c r="AM797" s="547"/>
      <c r="AN797" s="678"/>
      <c r="AO797" s="547" t="s">
        <v>590</v>
      </c>
      <c r="AP797" s="674">
        <v>0</v>
      </c>
      <c r="AS797" s="668"/>
      <c r="AT797" s="668"/>
      <c r="AU797" s="668"/>
      <c r="AV797" s="668"/>
      <c r="AW797" s="668"/>
      <c r="AX797" s="668"/>
      <c r="AY797" s="668"/>
      <c r="AZ797" s="668"/>
      <c r="BA797" s="668"/>
      <c r="BB797" s="668"/>
      <c r="BC797" s="668"/>
      <c r="BD797" s="684"/>
      <c r="BE797" s="684"/>
      <c r="BF797" s="684"/>
      <c r="BG797" s="684"/>
      <c r="BH797" s="684"/>
      <c r="BI797" s="668"/>
      <c r="BJ797" s="668"/>
      <c r="BK797" s="668"/>
      <c r="BL797" s="668"/>
      <c r="BM797" s="668"/>
      <c r="BN797" s="668"/>
      <c r="BO797" s="668"/>
      <c r="BP797" s="668"/>
      <c r="BQ797" s="668"/>
      <c r="BR797" s="668"/>
      <c r="BS797" s="668"/>
      <c r="BT797" s="668"/>
      <c r="BU797" s="668"/>
      <c r="BV797" s="668"/>
      <c r="BW797" s="668"/>
      <c r="BX797" s="668"/>
      <c r="BY797" s="668"/>
      <c r="BZ797" s="668"/>
      <c r="CA797" s="668"/>
      <c r="CB797" s="668"/>
      <c r="CC797" s="668"/>
    </row>
    <row r="798" spans="1:81" s="566" customFormat="1" ht="13.7" customHeight="1">
      <c r="A798" s="547"/>
      <c r="B798" s="612"/>
      <c r="C798" s="934"/>
      <c r="D798" s="657" t="s">
        <v>686</v>
      </c>
      <c r="E798" s="1352" t="s">
        <v>2625</v>
      </c>
      <c r="F798" s="1352"/>
      <c r="G798" s="1352"/>
      <c r="H798" s="1352"/>
      <c r="I798" s="1352"/>
      <c r="J798" s="1352"/>
      <c r="K798" s="1352"/>
      <c r="L798" s="1352"/>
      <c r="M798" s="1352"/>
      <c r="N798" s="1352"/>
      <c r="O798" s="1352"/>
      <c r="P798" s="1352"/>
      <c r="Q798" s="1352"/>
      <c r="R798" s="1352"/>
      <c r="S798" s="1352"/>
      <c r="T798" s="1352"/>
      <c r="U798" s="1352"/>
      <c r="V798" s="1352"/>
      <c r="W798" s="1352"/>
      <c r="X798" s="1352"/>
      <c r="Y798" s="1352"/>
      <c r="Z798" s="1352"/>
      <c r="AA798" s="1352"/>
      <c r="AB798" s="1352"/>
      <c r="AC798" s="1352"/>
      <c r="AD798" s="1352"/>
      <c r="AE798" s="534"/>
      <c r="AF798" s="1335" t="s">
        <v>1343</v>
      </c>
      <c r="AG798" s="1335"/>
      <c r="AH798" s="1335"/>
      <c r="AI798" s="1335"/>
      <c r="AJ798" s="1335"/>
      <c r="AK798" s="1335"/>
      <c r="AL798" s="1335"/>
      <c r="AM798" s="609"/>
      <c r="AN798" s="678"/>
      <c r="AO798" s="607" t="s">
        <v>544</v>
      </c>
      <c r="AP798" s="547">
        <v>3</v>
      </c>
      <c r="AT798" s="668"/>
      <c r="AU798" s="668"/>
      <c r="AV798" s="668"/>
      <c r="AW798" s="668"/>
      <c r="AX798" s="668"/>
      <c r="AY798" s="668"/>
      <c r="AZ798" s="668"/>
    </row>
    <row r="799" spans="1:81" s="566" customFormat="1" ht="13.7" customHeight="1">
      <c r="A799" s="547"/>
      <c r="B799" s="612"/>
      <c r="C799" s="934"/>
      <c r="D799" s="657"/>
      <c r="E799" s="1352"/>
      <c r="F799" s="1352"/>
      <c r="G799" s="1352"/>
      <c r="H799" s="1352"/>
      <c r="I799" s="1352"/>
      <c r="J799" s="1352"/>
      <c r="K799" s="1352"/>
      <c r="L799" s="1352"/>
      <c r="M799" s="1352"/>
      <c r="N799" s="1352"/>
      <c r="O799" s="1352"/>
      <c r="P799" s="1352"/>
      <c r="Q799" s="1352"/>
      <c r="R799" s="1352"/>
      <c r="S799" s="1352"/>
      <c r="T799" s="1352"/>
      <c r="U799" s="1352"/>
      <c r="V799" s="1352"/>
      <c r="W799" s="1352"/>
      <c r="X799" s="1352"/>
      <c r="Y799" s="1352"/>
      <c r="Z799" s="1352"/>
      <c r="AA799" s="1352"/>
      <c r="AB799" s="1352"/>
      <c r="AC799" s="1352"/>
      <c r="AD799" s="1352"/>
      <c r="AE799" s="534"/>
      <c r="AF799" s="590"/>
      <c r="AG799" s="590"/>
      <c r="AH799" s="590"/>
      <c r="AI799" s="590"/>
      <c r="AJ799" s="590"/>
      <c r="AK799" s="590"/>
      <c r="AL799" s="590"/>
      <c r="AM799" s="609"/>
      <c r="AN799" s="678"/>
      <c r="AO799" s="607"/>
      <c r="AP799" s="547"/>
      <c r="AT799" s="668"/>
      <c r="AU799" s="668"/>
      <c r="AV799" s="668"/>
      <c r="AW799" s="668"/>
      <c r="AX799" s="668"/>
      <c r="AY799" s="668"/>
      <c r="AZ799" s="668"/>
    </row>
    <row r="800" spans="1:81" s="566" customFormat="1">
      <c r="A800" s="547"/>
      <c r="B800" s="612"/>
      <c r="C800" s="934"/>
      <c r="D800" s="657"/>
      <c r="E800" s="1352"/>
      <c r="F800" s="1352"/>
      <c r="G800" s="1352"/>
      <c r="H800" s="1352"/>
      <c r="I800" s="1352"/>
      <c r="J800" s="1352"/>
      <c r="K800" s="1352"/>
      <c r="L800" s="1352"/>
      <c r="M800" s="1352"/>
      <c r="N800" s="1352"/>
      <c r="O800" s="1352"/>
      <c r="P800" s="1352"/>
      <c r="Q800" s="1352"/>
      <c r="R800" s="1352"/>
      <c r="S800" s="1352"/>
      <c r="T800" s="1352"/>
      <c r="U800" s="1352"/>
      <c r="V800" s="1352"/>
      <c r="W800" s="1352"/>
      <c r="X800" s="1352"/>
      <c r="Y800" s="1352"/>
      <c r="Z800" s="1352"/>
      <c r="AA800" s="1352"/>
      <c r="AB800" s="1352"/>
      <c r="AC800" s="1352"/>
      <c r="AD800" s="1352"/>
      <c r="AE800" s="590"/>
      <c r="AF800" s="590"/>
      <c r="AG800" s="590"/>
      <c r="AH800" s="590"/>
      <c r="AI800" s="590"/>
      <c r="AJ800" s="590"/>
      <c r="AK800" s="590"/>
      <c r="AL800" s="590"/>
      <c r="AM800" s="609"/>
      <c r="AN800" s="678"/>
      <c r="AO800" s="607"/>
      <c r="AP800" s="547"/>
      <c r="AT800" s="668"/>
      <c r="AU800" s="668"/>
      <c r="AV800" s="668"/>
      <c r="AW800" s="668"/>
      <c r="AX800" s="668"/>
      <c r="AY800" s="668"/>
      <c r="AZ800" s="668"/>
    </row>
    <row r="801" spans="1:81" s="566" customFormat="1">
      <c r="A801" s="547"/>
      <c r="B801" s="612"/>
      <c r="C801" s="934"/>
      <c r="D801" s="657"/>
      <c r="E801" s="1352"/>
      <c r="F801" s="1352"/>
      <c r="G801" s="1352"/>
      <c r="H801" s="1352"/>
      <c r="I801" s="1352"/>
      <c r="J801" s="1352"/>
      <c r="K801" s="1352"/>
      <c r="L801" s="1352"/>
      <c r="M801" s="1352"/>
      <c r="N801" s="1352"/>
      <c r="O801" s="1352"/>
      <c r="P801" s="1352"/>
      <c r="Q801" s="1352"/>
      <c r="R801" s="1352"/>
      <c r="S801" s="1352"/>
      <c r="T801" s="1352"/>
      <c r="U801" s="1352"/>
      <c r="V801" s="1352"/>
      <c r="W801" s="1352"/>
      <c r="X801" s="1352"/>
      <c r="Y801" s="1352"/>
      <c r="Z801" s="1352"/>
      <c r="AA801" s="1352"/>
      <c r="AB801" s="1352"/>
      <c r="AC801" s="1352"/>
      <c r="AD801" s="1352"/>
      <c r="AE801" s="590"/>
      <c r="AF801" s="590"/>
      <c r="AG801" s="590"/>
      <c r="AH801" s="590"/>
      <c r="AI801" s="590"/>
      <c r="AJ801" s="590"/>
      <c r="AK801" s="590"/>
      <c r="AL801" s="590"/>
      <c r="AM801" s="609"/>
      <c r="AN801" s="678"/>
      <c r="AO801" s="685"/>
      <c r="AT801" s="668"/>
      <c r="AU801" s="668"/>
      <c r="AV801" s="668"/>
      <c r="AW801" s="668"/>
      <c r="AX801" s="668"/>
      <c r="AY801" s="668"/>
      <c r="AZ801" s="668"/>
    </row>
    <row r="802" spans="1:81" s="566" customFormat="1">
      <c r="A802" s="547"/>
      <c r="B802" s="612"/>
      <c r="C802" s="934"/>
      <c r="D802" s="657"/>
      <c r="E802" s="639"/>
      <c r="F802" s="639"/>
      <c r="G802" s="639"/>
      <c r="H802" s="639"/>
      <c r="I802" s="639"/>
      <c r="J802" s="639"/>
      <c r="K802" s="639"/>
      <c r="L802" s="639"/>
      <c r="M802" s="639"/>
      <c r="N802" s="639"/>
      <c r="O802" s="639"/>
      <c r="P802" s="639"/>
      <c r="Q802" s="639"/>
      <c r="R802" s="639"/>
      <c r="S802" s="639"/>
      <c r="T802" s="639"/>
      <c r="U802" s="639"/>
      <c r="V802" s="639"/>
      <c r="W802" s="639"/>
      <c r="X802" s="639"/>
      <c r="Y802" s="639"/>
      <c r="Z802" s="639"/>
      <c r="AA802" s="639"/>
      <c r="AB802" s="639"/>
      <c r="AC802" s="639"/>
      <c r="AD802" s="639"/>
      <c r="AE802" s="590"/>
      <c r="AF802" s="590"/>
      <c r="AG802" s="590"/>
      <c r="AH802" s="590"/>
      <c r="AI802" s="590"/>
      <c r="AJ802" s="590"/>
      <c r="AK802" s="590"/>
      <c r="AL802" s="590"/>
      <c r="AM802" s="609"/>
      <c r="AN802" s="678"/>
      <c r="AO802" s="685"/>
      <c r="AT802" s="668"/>
      <c r="AU802" s="668"/>
      <c r="AV802" s="668"/>
      <c r="AW802" s="668"/>
      <c r="AX802" s="668"/>
      <c r="AY802" s="668"/>
      <c r="AZ802" s="668"/>
    </row>
    <row r="803" spans="1:81" s="566" customFormat="1">
      <c r="A803" s="547"/>
      <c r="B803" s="612"/>
      <c r="C803" s="934"/>
      <c r="D803" s="534" t="s">
        <v>1389</v>
      </c>
      <c r="E803" s="930"/>
      <c r="F803" s="930"/>
      <c r="G803" s="930"/>
      <c r="H803" s="1416" t="s">
        <v>590</v>
      </c>
      <c r="I803" s="1416"/>
      <c r="J803" s="612"/>
      <c r="K803" s="612"/>
      <c r="L803" s="612"/>
      <c r="M803" s="612"/>
      <c r="N803" s="612"/>
      <c r="O803" s="612"/>
      <c r="P803" s="612"/>
      <c r="Q803" s="612"/>
      <c r="R803" s="612"/>
      <c r="S803" s="612"/>
      <c r="T803" s="612"/>
      <c r="U803" s="612"/>
      <c r="V803" s="612"/>
      <c r="W803" s="612"/>
      <c r="X803" s="612"/>
      <c r="Y803" s="612"/>
      <c r="Z803" s="612"/>
      <c r="AA803" s="612"/>
      <c r="AB803" s="612"/>
      <c r="AC803" s="612"/>
      <c r="AD803" s="612"/>
      <c r="AE803" s="612"/>
      <c r="AF803" s="612"/>
      <c r="AG803" s="612"/>
      <c r="AH803" s="534"/>
      <c r="AI803" s="541"/>
      <c r="AJ803" s="591"/>
      <c r="AK803" s="591"/>
      <c r="AL803" s="591"/>
      <c r="AM803" s="547"/>
      <c r="AN803" s="678"/>
      <c r="AS803" s="668"/>
      <c r="AT803" s="668"/>
      <c r="AU803" s="668"/>
      <c r="AV803" s="668"/>
      <c r="AW803" s="668"/>
      <c r="AX803" s="668"/>
      <c r="AZ803" s="668"/>
      <c r="BA803" s="668"/>
      <c r="BB803" s="668"/>
      <c r="BC803" s="668"/>
      <c r="BD803" s="684"/>
      <c r="BE803" s="684"/>
      <c r="BF803" s="684"/>
      <c r="BG803" s="684"/>
      <c r="BH803" s="684"/>
      <c r="BI803" s="668"/>
      <c r="BJ803" s="668"/>
      <c r="BK803" s="668"/>
      <c r="BL803" s="668"/>
      <c r="BM803" s="668"/>
      <c r="BN803" s="668"/>
      <c r="BO803" s="668"/>
      <c r="BP803" s="668"/>
      <c r="BQ803" s="668"/>
      <c r="BR803" s="668"/>
      <c r="BS803" s="668"/>
      <c r="BT803" s="668"/>
      <c r="BU803" s="668"/>
      <c r="BV803" s="668"/>
      <c r="BW803" s="668"/>
      <c r="BX803" s="668"/>
      <c r="BY803" s="668"/>
      <c r="BZ803" s="668"/>
      <c r="CA803" s="668"/>
      <c r="CB803" s="668"/>
      <c r="CC803" s="668"/>
    </row>
    <row r="804" spans="1:81" s="566" customFormat="1">
      <c r="A804" s="547"/>
      <c r="B804" s="612"/>
      <c r="C804" s="682"/>
      <c r="D804" s="548"/>
      <c r="E804" s="548"/>
      <c r="F804" s="548"/>
      <c r="G804" s="548"/>
      <c r="H804" s="548"/>
      <c r="I804" s="548"/>
      <c r="J804" s="548"/>
      <c r="K804" s="548"/>
      <c r="L804" s="548"/>
      <c r="M804" s="548"/>
      <c r="N804" s="548"/>
      <c r="O804" s="548"/>
      <c r="P804" s="548"/>
      <c r="Q804" s="548"/>
      <c r="R804" s="548"/>
      <c r="S804" s="548"/>
      <c r="T804" s="548"/>
      <c r="U804" s="548"/>
      <c r="V804" s="548"/>
      <c r="W804" s="548"/>
      <c r="X804" s="548"/>
      <c r="Y804" s="548"/>
      <c r="Z804" s="548"/>
      <c r="AA804" s="548"/>
      <c r="AB804" s="548"/>
      <c r="AC804" s="548"/>
      <c r="AD804" s="612"/>
      <c r="AE804" s="548"/>
      <c r="AF804" s="548"/>
      <c r="AG804" s="548"/>
      <c r="AH804" s="548"/>
      <c r="AI804" s="547"/>
      <c r="AJ804" s="547"/>
      <c r="AK804" s="547"/>
      <c r="AL804" s="547"/>
      <c r="AM804" s="547"/>
      <c r="AN804" s="678"/>
      <c r="AT804" s="668"/>
      <c r="AU804" s="668"/>
      <c r="AV804" s="668"/>
      <c r="AW804" s="668"/>
      <c r="AX804" s="668"/>
      <c r="AY804" s="668"/>
      <c r="AZ804" s="668"/>
    </row>
    <row r="805" spans="1:81" s="566" customFormat="1">
      <c r="A805" s="602"/>
      <c r="B805" s="659"/>
      <c r="C805" s="683"/>
      <c r="D805" s="658"/>
      <c r="E805" s="658"/>
      <c r="F805" s="658"/>
      <c r="G805" s="658"/>
      <c r="H805" s="658"/>
      <c r="I805" s="658"/>
      <c r="J805" s="658"/>
      <c r="K805" s="658"/>
      <c r="L805" s="658"/>
      <c r="M805" s="658"/>
      <c r="N805" s="658"/>
      <c r="O805" s="658"/>
      <c r="P805" s="658"/>
      <c r="Q805" s="658"/>
      <c r="R805" s="658"/>
      <c r="S805" s="658"/>
      <c r="T805" s="658"/>
      <c r="U805" s="658"/>
      <c r="V805" s="658"/>
      <c r="W805" s="658"/>
      <c r="X805" s="658"/>
      <c r="Y805" s="658"/>
      <c r="Z805" s="658"/>
      <c r="AA805" s="658"/>
      <c r="AB805" s="658"/>
      <c r="AC805" s="659"/>
      <c r="AD805" s="658"/>
      <c r="AE805" s="658"/>
      <c r="AF805" s="658"/>
      <c r="AG805" s="658"/>
      <c r="AH805" s="560"/>
      <c r="AI805" s="561" t="s">
        <v>1439</v>
      </c>
      <c r="AJ805" s="1360">
        <f>VLOOKUP($H$803,$AO$797:$AP$798,2,FALSE)</f>
        <v>0</v>
      </c>
      <c r="AK805" s="1362"/>
      <c r="AL805" s="591"/>
      <c r="AM805" s="547"/>
      <c r="AN805" s="678"/>
      <c r="AS805" s="668"/>
      <c r="AT805" s="668"/>
      <c r="AU805" s="668"/>
      <c r="AV805" s="668"/>
      <c r="AW805" s="668"/>
      <c r="AX805" s="668"/>
      <c r="AY805" s="668"/>
      <c r="AZ805" s="668"/>
      <c r="BA805" s="668"/>
      <c r="BB805" s="668"/>
      <c r="BC805" s="668"/>
      <c r="BD805" s="684"/>
      <c r="BE805" s="684"/>
      <c r="BF805" s="684"/>
      <c r="BG805" s="684"/>
      <c r="BH805" s="684"/>
      <c r="BI805" s="668"/>
      <c r="BJ805" s="668"/>
      <c r="BK805" s="668"/>
      <c r="BL805" s="668"/>
      <c r="BM805" s="668"/>
      <c r="BN805" s="668"/>
      <c r="BO805" s="668"/>
      <c r="BP805" s="668"/>
      <c r="BQ805" s="668"/>
      <c r="BR805" s="668"/>
      <c r="BS805" s="668"/>
      <c r="BT805" s="668"/>
      <c r="BU805" s="668"/>
      <c r="BV805" s="668"/>
      <c r="BW805" s="668"/>
      <c r="BX805" s="668"/>
      <c r="BY805" s="668"/>
      <c r="BZ805" s="668"/>
      <c r="CA805" s="668"/>
      <c r="CB805" s="668"/>
      <c r="CC805" s="668"/>
    </row>
    <row r="806" spans="1:81" s="547" customFormat="1" ht="12.75" customHeight="1">
      <c r="B806" s="612"/>
      <c r="C806" s="682"/>
      <c r="D806" s="548"/>
      <c r="E806" s="548"/>
      <c r="F806" s="548"/>
      <c r="G806" s="548"/>
      <c r="H806" s="548"/>
      <c r="I806" s="548"/>
      <c r="J806" s="548"/>
      <c r="K806" s="548"/>
      <c r="L806" s="548"/>
      <c r="M806" s="548"/>
      <c r="N806" s="548"/>
      <c r="O806" s="548"/>
      <c r="P806" s="548"/>
      <c r="Q806" s="548"/>
      <c r="R806" s="548"/>
      <c r="S806" s="548"/>
      <c r="T806" s="548"/>
      <c r="U806" s="548"/>
      <c r="V806" s="548"/>
      <c r="W806" s="548"/>
      <c r="X806" s="548"/>
      <c r="Y806" s="548"/>
      <c r="Z806" s="548"/>
      <c r="AA806" s="548"/>
      <c r="AB806" s="548"/>
      <c r="AC806" s="548"/>
      <c r="AD806" s="612"/>
      <c r="AE806" s="548"/>
      <c r="AF806" s="548"/>
      <c r="AG806" s="548"/>
      <c r="AH806" s="548"/>
      <c r="AN806" s="593"/>
    </row>
    <row r="807" spans="1:81" s="547" customFormat="1" ht="12.75" customHeight="1">
      <c r="B807" s="612"/>
      <c r="C807" s="537" t="s">
        <v>2586</v>
      </c>
      <c r="D807" s="548"/>
      <c r="E807" s="548"/>
      <c r="F807" s="548"/>
      <c r="G807" s="548"/>
      <c r="H807" s="548"/>
      <c r="I807" s="548"/>
      <c r="J807" s="548"/>
      <c r="K807" s="548"/>
      <c r="L807" s="548"/>
      <c r="M807" s="548"/>
      <c r="N807" s="548"/>
      <c r="O807" s="548"/>
      <c r="P807" s="548"/>
      <c r="Q807" s="548"/>
      <c r="R807" s="548"/>
      <c r="S807" s="548"/>
      <c r="T807" s="548"/>
      <c r="U807" s="548"/>
      <c r="V807" s="548"/>
      <c r="W807" s="548"/>
      <c r="X807" s="548"/>
      <c r="Y807" s="548"/>
      <c r="Z807" s="548"/>
      <c r="AA807" s="548"/>
      <c r="AB807" s="548"/>
      <c r="AC807" s="548"/>
      <c r="AD807" s="612"/>
      <c r="AE807" s="548"/>
      <c r="AF807" s="548"/>
      <c r="AG807" s="548"/>
      <c r="AH807" s="548"/>
      <c r="AN807" s="593"/>
    </row>
    <row r="808" spans="1:81" s="547" customFormat="1" ht="12.75" customHeight="1">
      <c r="B808" s="612"/>
      <c r="C808" s="682"/>
      <c r="D808" s="548"/>
      <c r="E808" s="548"/>
      <c r="F808" s="548"/>
      <c r="G808" s="548"/>
      <c r="H808" s="548"/>
      <c r="I808" s="548"/>
      <c r="J808" s="548"/>
      <c r="K808" s="548"/>
      <c r="L808" s="548"/>
      <c r="M808" s="548"/>
      <c r="N808" s="548"/>
      <c r="O808" s="548"/>
      <c r="P808" s="548"/>
      <c r="Q808" s="548"/>
      <c r="R808" s="548"/>
      <c r="S808" s="548"/>
      <c r="T808" s="548"/>
      <c r="U808" s="548"/>
      <c r="V808" s="548"/>
      <c r="W808" s="548"/>
      <c r="X808" s="548"/>
      <c r="Y808" s="548"/>
      <c r="Z808" s="548"/>
      <c r="AA808" s="548"/>
      <c r="AB808" s="548"/>
      <c r="AC808" s="548"/>
      <c r="AD808" s="612"/>
      <c r="AE808" s="548"/>
      <c r="AF808" s="548"/>
      <c r="AG808" s="548"/>
      <c r="AH808" s="548"/>
      <c r="AN808" s="593"/>
    </row>
    <row r="809" spans="1:81" s="547" customFormat="1" ht="12.75" customHeight="1">
      <c r="B809" s="612"/>
      <c r="C809" s="682"/>
      <c r="D809" s="657" t="s">
        <v>686</v>
      </c>
      <c r="E809" s="1352" t="s">
        <v>2587</v>
      </c>
      <c r="F809" s="1352"/>
      <c r="G809" s="1352"/>
      <c r="H809" s="1352"/>
      <c r="I809" s="1352"/>
      <c r="J809" s="1352"/>
      <c r="K809" s="1352"/>
      <c r="L809" s="1352"/>
      <c r="M809" s="1352"/>
      <c r="N809" s="1352"/>
      <c r="O809" s="1352"/>
      <c r="P809" s="1352"/>
      <c r="Q809" s="1352"/>
      <c r="R809" s="1352"/>
      <c r="S809" s="1352"/>
      <c r="T809" s="1352"/>
      <c r="U809" s="1352"/>
      <c r="V809" s="1352"/>
      <c r="W809" s="1352"/>
      <c r="X809" s="1352"/>
      <c r="Y809" s="1352"/>
      <c r="Z809" s="1352"/>
      <c r="AA809" s="1352"/>
      <c r="AB809" s="1352"/>
      <c r="AC809" s="1352"/>
      <c r="AD809" s="1352"/>
      <c r="AE809" s="548"/>
      <c r="AF809" s="1335" t="s">
        <v>1368</v>
      </c>
      <c r="AG809" s="1335"/>
      <c r="AH809" s="1335"/>
      <c r="AI809" s="1335"/>
      <c r="AJ809" s="1335"/>
      <c r="AK809" s="1335"/>
      <c r="AL809" s="1335"/>
      <c r="AN809" s="593"/>
    </row>
    <row r="810" spans="1:81" s="547" customFormat="1" ht="12.75" customHeight="1">
      <c r="B810" s="612"/>
      <c r="C810" s="682"/>
      <c r="D810" s="657"/>
      <c r="E810" s="1352"/>
      <c r="F810" s="1352"/>
      <c r="G810" s="1352"/>
      <c r="H810" s="1352"/>
      <c r="I810" s="1352"/>
      <c r="J810" s="1352"/>
      <c r="K810" s="1352"/>
      <c r="L810" s="1352"/>
      <c r="M810" s="1352"/>
      <c r="N810" s="1352"/>
      <c r="O810" s="1352"/>
      <c r="P810" s="1352"/>
      <c r="Q810" s="1352"/>
      <c r="R810" s="1352"/>
      <c r="S810" s="1352"/>
      <c r="T810" s="1352"/>
      <c r="U810" s="1352"/>
      <c r="V810" s="1352"/>
      <c r="W810" s="1352"/>
      <c r="X810" s="1352"/>
      <c r="Y810" s="1352"/>
      <c r="Z810" s="1352"/>
      <c r="AA810" s="1352"/>
      <c r="AB810" s="1352"/>
      <c r="AC810" s="1352"/>
      <c r="AD810" s="1352"/>
      <c r="AE810" s="548"/>
      <c r="AF810" s="548"/>
      <c r="AG810" s="548"/>
      <c r="AH810" s="548"/>
      <c r="AN810" s="593"/>
    </row>
    <row r="811" spans="1:81" s="547" customFormat="1" ht="12.75" customHeight="1">
      <c r="B811" s="612"/>
      <c r="C811" s="682"/>
      <c r="D811" s="548"/>
      <c r="E811" s="548"/>
      <c r="F811" s="548"/>
      <c r="G811" s="548"/>
      <c r="H811" s="548"/>
      <c r="I811" s="548"/>
      <c r="J811" s="548"/>
      <c r="K811" s="548"/>
      <c r="L811" s="548"/>
      <c r="M811" s="548"/>
      <c r="N811" s="548"/>
      <c r="O811" s="548"/>
      <c r="P811" s="548"/>
      <c r="Q811" s="548"/>
      <c r="R811" s="548"/>
      <c r="S811" s="548"/>
      <c r="T811" s="548"/>
      <c r="U811" s="548"/>
      <c r="V811" s="548"/>
      <c r="W811" s="548"/>
      <c r="X811" s="548"/>
      <c r="Y811" s="548"/>
      <c r="Z811" s="548"/>
      <c r="AA811" s="548"/>
      <c r="AB811" s="548"/>
      <c r="AC811" s="548"/>
      <c r="AD811" s="612"/>
      <c r="AE811" s="548"/>
      <c r="AF811" s="548"/>
      <c r="AG811" s="548"/>
      <c r="AH811" s="548"/>
      <c r="AN811" s="593"/>
    </row>
    <row r="812" spans="1:81" s="566" customFormat="1">
      <c r="A812" s="547"/>
      <c r="B812" s="612"/>
      <c r="C812" s="934"/>
      <c r="D812" s="534" t="s">
        <v>1389</v>
      </c>
      <c r="E812" s="930"/>
      <c r="F812" s="930"/>
      <c r="G812" s="930"/>
      <c r="H812" s="1416" t="s">
        <v>590</v>
      </c>
      <c r="I812" s="1416"/>
      <c r="J812" s="612"/>
      <c r="K812" s="612"/>
      <c r="L812" s="612"/>
      <c r="M812" s="612"/>
      <c r="N812" s="612"/>
      <c r="O812" s="612"/>
      <c r="P812" s="612"/>
      <c r="Q812" s="612"/>
      <c r="R812" s="612"/>
      <c r="S812" s="612"/>
      <c r="T812" s="612"/>
      <c r="U812" s="612"/>
      <c r="V812" s="612"/>
      <c r="W812" s="612"/>
      <c r="X812" s="612"/>
      <c r="Y812" s="612"/>
      <c r="Z812" s="612"/>
      <c r="AA812" s="612"/>
      <c r="AB812" s="612"/>
      <c r="AC812" s="612"/>
      <c r="AD812" s="612"/>
      <c r="AE812" s="612"/>
      <c r="AF812" s="612"/>
      <c r="AG812" s="612"/>
      <c r="AH812" s="534"/>
      <c r="AI812" s="541"/>
      <c r="AJ812" s="591"/>
      <c r="AK812" s="591"/>
      <c r="AL812" s="591"/>
      <c r="AM812" s="547"/>
      <c r="AN812" s="678"/>
      <c r="AS812" s="668"/>
      <c r="AT812" s="668"/>
      <c r="AU812" s="668"/>
      <c r="AV812" s="668"/>
      <c r="AW812" s="668"/>
      <c r="AX812" s="668"/>
      <c r="AZ812" s="668"/>
      <c r="BA812" s="668"/>
      <c r="BB812" s="668"/>
      <c r="BC812" s="668"/>
      <c r="BD812" s="684"/>
      <c r="BE812" s="684"/>
      <c r="BF812" s="684"/>
      <c r="BG812" s="684"/>
      <c r="BH812" s="684"/>
      <c r="BI812" s="668"/>
      <c r="BJ812" s="668"/>
      <c r="BK812" s="668"/>
      <c r="BL812" s="668"/>
      <c r="BM812" s="668"/>
      <c r="BN812" s="668"/>
      <c r="BO812" s="668"/>
      <c r="BP812" s="668"/>
      <c r="BQ812" s="668"/>
      <c r="BR812" s="668"/>
      <c r="BS812" s="668"/>
      <c r="BT812" s="668"/>
      <c r="BU812" s="668"/>
      <c r="BV812" s="668"/>
      <c r="BW812" s="668"/>
      <c r="BX812" s="668"/>
      <c r="BY812" s="668"/>
      <c r="BZ812" s="668"/>
      <c r="CA812" s="668"/>
      <c r="CB812" s="668"/>
      <c r="CC812" s="668"/>
    </row>
    <row r="813" spans="1:81" s="566" customFormat="1">
      <c r="A813" s="547"/>
      <c r="B813" s="612"/>
      <c r="C813" s="682"/>
      <c r="D813" s="548"/>
      <c r="E813" s="548"/>
      <c r="F813" s="548"/>
      <c r="G813" s="548"/>
      <c r="H813" s="548"/>
      <c r="I813" s="548"/>
      <c r="J813" s="548"/>
      <c r="K813" s="548"/>
      <c r="L813" s="548"/>
      <c r="M813" s="548"/>
      <c r="N813" s="548"/>
      <c r="O813" s="548"/>
      <c r="P813" s="548"/>
      <c r="Q813" s="548"/>
      <c r="R813" s="548"/>
      <c r="S813" s="548"/>
      <c r="T813" s="548"/>
      <c r="U813" s="548"/>
      <c r="V813" s="548"/>
      <c r="W813" s="548"/>
      <c r="X813" s="548"/>
      <c r="Y813" s="548"/>
      <c r="Z813" s="548"/>
      <c r="AA813" s="548"/>
      <c r="AB813" s="548"/>
      <c r="AC813" s="548"/>
      <c r="AD813" s="612"/>
      <c r="AE813" s="548"/>
      <c r="AF813" s="548"/>
      <c r="AG813" s="548"/>
      <c r="AH813" s="548"/>
      <c r="AI813" s="547"/>
      <c r="AJ813" s="547"/>
      <c r="AK813" s="547"/>
      <c r="AL813" s="547"/>
      <c r="AM813" s="547"/>
      <c r="AN813" s="678"/>
      <c r="AT813" s="668"/>
      <c r="AU813" s="668"/>
      <c r="AV813" s="668"/>
      <c r="AW813" s="668"/>
      <c r="AX813" s="668"/>
      <c r="AY813" s="668"/>
      <c r="AZ813" s="668"/>
    </row>
    <row r="814" spans="1:81" s="566" customFormat="1">
      <c r="A814" s="602"/>
      <c r="B814" s="659"/>
      <c r="C814" s="683"/>
      <c r="D814" s="658"/>
      <c r="E814" s="658"/>
      <c r="F814" s="658"/>
      <c r="G814" s="658"/>
      <c r="H814" s="658"/>
      <c r="I814" s="658"/>
      <c r="J814" s="658"/>
      <c r="K814" s="658"/>
      <c r="L814" s="658"/>
      <c r="M814" s="658"/>
      <c r="N814" s="658"/>
      <c r="O814" s="658"/>
      <c r="P814" s="658"/>
      <c r="Q814" s="658"/>
      <c r="R814" s="658"/>
      <c r="S814" s="658"/>
      <c r="T814" s="658"/>
      <c r="U814" s="658"/>
      <c r="V814" s="658"/>
      <c r="W814" s="658"/>
      <c r="X814" s="658"/>
      <c r="Y814" s="658"/>
      <c r="Z814" s="658"/>
      <c r="AA814" s="658"/>
      <c r="AB814" s="658"/>
      <c r="AC814" s="659"/>
      <c r="AD814" s="658"/>
      <c r="AE814" s="658"/>
      <c r="AF814" s="658"/>
      <c r="AG814" s="658"/>
      <c r="AH814" s="560"/>
      <c r="AI814" s="561" t="s">
        <v>2588</v>
      </c>
      <c r="AJ814" s="1360">
        <f>IF(H812="Yes",5,0)</f>
        <v>0</v>
      </c>
      <c r="AK814" s="1362"/>
      <c r="AL814" s="591"/>
      <c r="AM814" s="547"/>
      <c r="AN814" s="678"/>
      <c r="AS814" s="668"/>
      <c r="AT814" s="668"/>
      <c r="AU814" s="668"/>
      <c r="AV814" s="668"/>
      <c r="AW814" s="668"/>
      <c r="AX814" s="668"/>
      <c r="AY814" s="668"/>
      <c r="AZ814" s="668"/>
      <c r="BA814" s="668"/>
      <c r="BB814" s="668"/>
      <c r="BC814" s="668"/>
      <c r="BD814" s="684"/>
      <c r="BE814" s="684"/>
      <c r="BF814" s="684"/>
      <c r="BG814" s="684"/>
      <c r="BH814" s="684"/>
      <c r="BI814" s="668"/>
      <c r="BJ814" s="668"/>
      <c r="BK814" s="668"/>
      <c r="BL814" s="668"/>
      <c r="BM814" s="668"/>
      <c r="BN814" s="668"/>
      <c r="BO814" s="668"/>
      <c r="BP814" s="668"/>
      <c r="BQ814" s="668"/>
      <c r="BR814" s="668"/>
      <c r="BS814" s="668"/>
      <c r="BT814" s="668"/>
      <c r="BU814" s="668"/>
      <c r="BV814" s="668"/>
      <c r="BW814" s="668"/>
      <c r="BX814" s="668"/>
      <c r="BY814" s="668"/>
      <c r="BZ814" s="668"/>
      <c r="CA814" s="668"/>
      <c r="CB814" s="668"/>
      <c r="CC814" s="668"/>
    </row>
    <row r="815" spans="1:81" s="547" customFormat="1" ht="12.75" customHeight="1">
      <c r="B815" s="612"/>
      <c r="C815" s="682"/>
      <c r="D815" s="548"/>
      <c r="E815" s="548"/>
      <c r="F815" s="548"/>
      <c r="G815" s="548"/>
      <c r="H815" s="548"/>
      <c r="I815" s="548"/>
      <c r="J815" s="548"/>
      <c r="K815" s="548"/>
      <c r="L815" s="548"/>
      <c r="M815" s="548"/>
      <c r="N815" s="548"/>
      <c r="O815" s="548"/>
      <c r="P815" s="548"/>
      <c r="Q815" s="548"/>
      <c r="R815" s="548"/>
      <c r="S815" s="548"/>
      <c r="T815" s="548"/>
      <c r="U815" s="548"/>
      <c r="V815" s="548"/>
      <c r="W815" s="548"/>
      <c r="X815" s="548"/>
      <c r="Y815" s="548"/>
      <c r="Z815" s="548"/>
      <c r="AA815" s="548"/>
      <c r="AB815" s="548"/>
      <c r="AC815" s="548"/>
      <c r="AD815" s="612"/>
      <c r="AE815" s="548"/>
      <c r="AF815" s="548"/>
      <c r="AG815" s="548"/>
      <c r="AH815" s="548"/>
      <c r="AN815" s="593"/>
    </row>
    <row r="816" spans="1:81" s="547" customFormat="1" ht="12.75" customHeight="1">
      <c r="A816" s="602"/>
      <c r="B816" s="658"/>
      <c r="C816" s="658"/>
      <c r="D816" s="658"/>
      <c r="E816" s="658"/>
      <c r="F816" s="658"/>
      <c r="G816" s="658"/>
      <c r="H816" s="658"/>
      <c r="I816" s="658"/>
      <c r="J816" s="658"/>
      <c r="K816" s="658"/>
      <c r="L816" s="658"/>
      <c r="M816" s="658"/>
      <c r="N816" s="658"/>
      <c r="O816" s="658"/>
      <c r="P816" s="658"/>
      <c r="Q816" s="658"/>
      <c r="R816" s="658"/>
      <c r="S816" s="658"/>
      <c r="T816" s="658"/>
      <c r="U816" s="658"/>
      <c r="V816" s="658"/>
      <c r="W816" s="658"/>
      <c r="X816" s="658"/>
      <c r="Y816" s="658"/>
      <c r="Z816" s="658"/>
      <c r="AA816" s="658"/>
      <c r="AB816" s="658"/>
      <c r="AC816" s="659"/>
      <c r="AD816" s="658"/>
      <c r="AE816" s="560"/>
      <c r="AF816" s="560"/>
      <c r="AG816" s="560"/>
      <c r="AH816" s="560"/>
      <c r="AI816" s="561"/>
      <c r="AJ816" s="561" t="s">
        <v>1440</v>
      </c>
      <c r="AK816" s="1360">
        <f>IF(($AJ$634+$AJ$653+$AJ$665+$AJ$700+$AJ$724+$AJ$738+$AJ$750+$AJ$766+$AJ$778+$AJ$794+AJ805+AJ814)&gt;10,10,($AJ$634+$AJ$653+$AJ$665+$AJ$700+$AJ$724+$AJ$738+$AJ$750+$AJ$766+$AJ$778+$AJ$794+AJ805+AJ814))</f>
        <v>10</v>
      </c>
      <c r="AL816" s="1361"/>
      <c r="AM816" s="1362"/>
      <c r="AN816" s="593"/>
    </row>
    <row r="817" spans="1:43" s="547" customFormat="1" ht="12.75" customHeight="1">
      <c r="B817" s="548"/>
      <c r="C817" s="548"/>
      <c r="D817" s="548"/>
      <c r="E817" s="548"/>
      <c r="F817" s="548"/>
      <c r="G817" s="548"/>
      <c r="H817" s="548"/>
      <c r="I817" s="548"/>
      <c r="J817" s="548"/>
      <c r="K817" s="548"/>
      <c r="L817" s="548"/>
      <c r="M817" s="548"/>
      <c r="N817" s="548"/>
      <c r="O817" s="548"/>
      <c r="P817" s="548"/>
      <c r="Q817" s="548"/>
      <c r="R817" s="548"/>
      <c r="S817" s="548"/>
      <c r="T817" s="548"/>
      <c r="U817" s="548"/>
      <c r="V817" s="548"/>
      <c r="W817" s="548"/>
      <c r="X817" s="548"/>
      <c r="Y817" s="548"/>
      <c r="Z817" s="548"/>
      <c r="AA817" s="548"/>
      <c r="AB817" s="548"/>
      <c r="AC817" s="612"/>
      <c r="AD817" s="548"/>
      <c r="AI817" s="541"/>
      <c r="AJ817" s="541"/>
      <c r="AK817" s="591"/>
      <c r="AL817" s="591"/>
      <c r="AM817" s="591"/>
      <c r="AN817" s="593"/>
    </row>
    <row r="818" spans="1:43">
      <c r="B818" s="547"/>
      <c r="C818" s="547"/>
      <c r="D818" s="547"/>
      <c r="E818" s="547"/>
      <c r="F818" s="547"/>
      <c r="G818" s="547"/>
      <c r="H818" s="547"/>
      <c r="I818" s="547"/>
      <c r="J818" s="547"/>
      <c r="K818" s="547"/>
      <c r="L818" s="547"/>
      <c r="M818" s="547"/>
      <c r="N818" s="547"/>
      <c r="O818" s="547"/>
      <c r="P818" s="547"/>
      <c r="Q818" s="547"/>
      <c r="R818" s="547"/>
      <c r="S818" s="547"/>
      <c r="T818" s="547"/>
      <c r="U818" s="547"/>
      <c r="V818" s="547"/>
      <c r="W818" s="547"/>
      <c r="X818" s="547"/>
      <c r="Y818" s="547"/>
      <c r="Z818" s="547"/>
      <c r="AA818" s="547"/>
      <c r="AB818" s="547"/>
      <c r="AC818" s="547"/>
      <c r="AD818" s="547"/>
      <c r="AE818" s="547"/>
      <c r="AF818" s="547"/>
      <c r="AG818" s="547"/>
      <c r="AH818" s="547"/>
      <c r="AI818" s="547"/>
      <c r="AJ818" s="547"/>
      <c r="AK818" s="547"/>
      <c r="AL818" s="547"/>
      <c r="AM818" s="547"/>
    </row>
    <row r="819" spans="1:43">
      <c r="A819" s="1448" t="s">
        <v>1555</v>
      </c>
      <c r="B819" s="1449"/>
      <c r="C819" s="1449"/>
      <c r="D819" s="1449"/>
      <c r="E819" s="1449"/>
      <c r="F819" s="1449"/>
      <c r="G819" s="1449"/>
      <c r="H819" s="1449"/>
      <c r="I819" s="1449"/>
      <c r="J819" s="1449"/>
      <c r="K819" s="1449"/>
      <c r="L819" s="1449"/>
      <c r="M819" s="1449"/>
      <c r="N819" s="1449"/>
      <c r="O819" s="1449"/>
      <c r="P819" s="1449"/>
      <c r="Q819" s="1449"/>
      <c r="R819" s="1449"/>
      <c r="S819" s="1449"/>
      <c r="T819" s="1449"/>
      <c r="U819" s="1449"/>
      <c r="V819" s="1449"/>
      <c r="W819" s="1449"/>
      <c r="X819" s="1449"/>
      <c r="Y819" s="1449"/>
      <c r="Z819" s="1449"/>
      <c r="AA819" s="1449"/>
      <c r="AB819" s="1449"/>
      <c r="AC819" s="1449"/>
      <c r="AD819" s="1449"/>
      <c r="AE819" s="1449"/>
      <c r="AF819" s="1449"/>
      <c r="AG819" s="1449"/>
      <c r="AH819" s="1449"/>
      <c r="AI819" s="1449"/>
      <c r="AJ819" s="1449"/>
      <c r="AK819" s="1449"/>
      <c r="AL819" s="1449"/>
      <c r="AM819" s="1449"/>
    </row>
    <row r="820" spans="1:43">
      <c r="A820" s="1450"/>
      <c r="B820" s="1450"/>
      <c r="C820" s="1450"/>
      <c r="D820" s="1450"/>
      <c r="E820" s="1450"/>
      <c r="F820" s="1450"/>
      <c r="G820" s="1450"/>
      <c r="H820" s="1450"/>
      <c r="I820" s="1450"/>
      <c r="J820" s="1450"/>
      <c r="K820" s="1450"/>
      <c r="L820" s="1450"/>
      <c r="M820" s="1450"/>
      <c r="N820" s="1450"/>
      <c r="O820" s="1450"/>
      <c r="P820" s="1450"/>
      <c r="Q820" s="1450"/>
      <c r="R820" s="1450"/>
      <c r="S820" s="1450"/>
      <c r="T820" s="1450"/>
      <c r="U820" s="1450"/>
      <c r="V820" s="1450"/>
      <c r="W820" s="1450"/>
      <c r="X820" s="1450"/>
      <c r="Y820" s="1450"/>
      <c r="Z820" s="1450"/>
      <c r="AA820" s="1450"/>
      <c r="AB820" s="1450"/>
      <c r="AC820" s="1450"/>
      <c r="AD820" s="1450"/>
      <c r="AE820" s="1450"/>
      <c r="AF820" s="1450"/>
      <c r="AG820" s="1450"/>
      <c r="AH820" s="1450"/>
      <c r="AI820" s="1450"/>
      <c r="AJ820" s="1450"/>
      <c r="AK820" s="1450"/>
      <c r="AL820" s="1450"/>
      <c r="AM820" s="1450"/>
      <c r="AO820" s="810"/>
      <c r="AP820" s="810"/>
      <c r="AQ820" s="810"/>
    </row>
    <row r="821" spans="1:43">
      <c r="A821" s="547"/>
      <c r="B821" s="567"/>
      <c r="C821" s="568"/>
      <c r="D821" s="568"/>
      <c r="E821" s="568"/>
      <c r="F821" s="568"/>
      <c r="G821" s="568"/>
      <c r="H821" s="568"/>
      <c r="I821" s="569"/>
      <c r="J821" s="569"/>
      <c r="K821" s="569"/>
      <c r="L821" s="569"/>
      <c r="M821" s="569"/>
      <c r="N821" s="569"/>
      <c r="O821" s="569"/>
      <c r="P821" s="569"/>
      <c r="Q821" s="569"/>
      <c r="S821" s="537"/>
      <c r="T821" s="537"/>
      <c r="U821" s="537"/>
      <c r="V821" s="537"/>
      <c r="W821" s="537"/>
      <c r="X821" s="537"/>
      <c r="Y821" s="537"/>
      <c r="Z821" s="537"/>
      <c r="AA821" s="537"/>
      <c r="AB821" s="537"/>
      <c r="AC821" s="537"/>
      <c r="AD821" s="537"/>
      <c r="AE821" s="537"/>
      <c r="AG821" s="537"/>
      <c r="AH821" s="537"/>
      <c r="AI821" s="537"/>
      <c r="AJ821" s="537"/>
      <c r="AK821" s="547"/>
      <c r="AL821" s="547"/>
      <c r="AM821" s="535"/>
      <c r="AO821" s="810"/>
      <c r="AP821" s="810"/>
      <c r="AQ821" s="810"/>
    </row>
    <row r="822" spans="1:43">
      <c r="A822" s="1399"/>
      <c r="B822" s="1399"/>
      <c r="C822" s="1399"/>
      <c r="D822" s="1399"/>
      <c r="E822" s="1399"/>
      <c r="F822" s="1399"/>
      <c r="G822" s="1399"/>
      <c r="H822" s="1399"/>
      <c r="I822" s="1399"/>
      <c r="J822" s="1399"/>
      <c r="K822" s="1399"/>
      <c r="L822" s="1399"/>
      <c r="M822" s="1399"/>
      <c r="N822" s="1399"/>
      <c r="O822" s="1399"/>
      <c r="P822" s="1399"/>
      <c r="Q822" s="1399"/>
      <c r="R822" s="1399"/>
      <c r="S822" s="1399"/>
      <c r="T822" s="1399"/>
      <c r="U822" s="1399"/>
      <c r="V822" s="1399"/>
      <c r="W822" s="1399"/>
      <c r="X822" s="1399"/>
      <c r="Y822" s="1399"/>
      <c r="Z822" s="1399"/>
      <c r="AA822" s="1399"/>
      <c r="AB822" s="1399"/>
      <c r="AC822" s="1399"/>
      <c r="AD822" s="1399"/>
      <c r="AE822" s="1399"/>
      <c r="AF822" s="1399"/>
      <c r="AG822" s="1399"/>
      <c r="AH822" s="1399"/>
      <c r="AI822" s="1399"/>
      <c r="AJ822" s="1399"/>
      <c r="AK822" s="1399"/>
      <c r="AL822" s="1399"/>
      <c r="AM822" s="1399"/>
      <c r="AP822" s="810"/>
      <c r="AQ822" s="810"/>
    </row>
    <row r="823" spans="1:43">
      <c r="A823" s="1399"/>
      <c r="B823" s="1399"/>
      <c r="C823" s="1399"/>
      <c r="D823" s="1399"/>
      <c r="E823" s="1399"/>
      <c r="F823" s="1399"/>
      <c r="G823" s="1399"/>
      <c r="H823" s="1399"/>
      <c r="I823" s="1399"/>
      <c r="J823" s="1399"/>
      <c r="K823" s="1399"/>
      <c r="L823" s="1399"/>
      <c r="M823" s="1399"/>
      <c r="N823" s="1399"/>
      <c r="O823" s="1399"/>
      <c r="P823" s="1399"/>
      <c r="Q823" s="1399"/>
      <c r="R823" s="1399"/>
      <c r="S823" s="1399"/>
      <c r="T823" s="1399"/>
      <c r="U823" s="1399"/>
      <c r="V823" s="1399"/>
      <c r="W823" s="1399"/>
      <c r="X823" s="1399"/>
      <c r="Y823" s="1399"/>
      <c r="Z823" s="1399"/>
      <c r="AA823" s="1399"/>
      <c r="AB823" s="1399"/>
      <c r="AC823" s="1399"/>
      <c r="AD823" s="1399"/>
      <c r="AE823" s="1399"/>
      <c r="AF823" s="1399"/>
      <c r="AG823" s="1399"/>
      <c r="AH823" s="1399"/>
      <c r="AI823" s="1399"/>
      <c r="AJ823" s="1399"/>
      <c r="AK823" s="1399"/>
      <c r="AL823" s="1399"/>
      <c r="AM823" s="1399"/>
      <c r="AO823" s="810"/>
      <c r="AQ823" s="810"/>
    </row>
    <row r="824" spans="1:43">
      <c r="A824" s="811"/>
      <c r="B824" s="661"/>
      <c r="C824" s="661"/>
      <c r="D824" s="661"/>
      <c r="E824" s="661"/>
      <c r="F824" s="661"/>
      <c r="G824" s="661"/>
      <c r="H824" s="661"/>
      <c r="I824" s="661"/>
      <c r="J824" s="661"/>
      <c r="K824" s="661"/>
      <c r="L824" s="661"/>
      <c r="M824" s="661"/>
      <c r="N824" s="661"/>
      <c r="O824" s="661"/>
      <c r="P824" s="661"/>
      <c r="Q824" s="661"/>
      <c r="R824" s="661"/>
      <c r="S824" s="663"/>
      <c r="T824" s="1451" t="s">
        <v>1556</v>
      </c>
      <c r="U824" s="1452"/>
      <c r="V824" s="1452"/>
      <c r="W824" s="1452"/>
      <c r="X824" s="1452"/>
      <c r="Y824" s="1453"/>
      <c r="Z824" s="1451" t="s">
        <v>1557</v>
      </c>
      <c r="AA824" s="1452"/>
      <c r="AB824" s="1452"/>
      <c r="AC824" s="1452"/>
      <c r="AD824" s="1452"/>
      <c r="AE824" s="1453"/>
      <c r="AF824" s="1451" t="s">
        <v>1558</v>
      </c>
      <c r="AG824" s="1452"/>
      <c r="AH824" s="1452"/>
      <c r="AI824" s="1452"/>
      <c r="AJ824" s="1452"/>
      <c r="AK824" s="1453"/>
      <c r="AL824" s="812"/>
      <c r="AM824" s="592"/>
      <c r="AO824" s="810"/>
      <c r="AP824" s="810"/>
      <c r="AQ824" s="810"/>
    </row>
    <row r="825" spans="1:43">
      <c r="A825" s="813"/>
      <c r="B825" s="688"/>
      <c r="C825" s="688"/>
      <c r="D825" s="688"/>
      <c r="E825" s="688"/>
      <c r="F825" s="688"/>
      <c r="G825" s="688"/>
      <c r="H825" s="688"/>
      <c r="I825" s="688"/>
      <c r="J825" s="688"/>
      <c r="K825" s="688"/>
      <c r="L825" s="688"/>
      <c r="M825" s="688"/>
      <c r="N825" s="688"/>
      <c r="O825" s="688"/>
      <c r="P825" s="688"/>
      <c r="Q825" s="688"/>
      <c r="R825" s="688"/>
      <c r="S825" s="702"/>
      <c r="T825" s="1454"/>
      <c r="U825" s="1455"/>
      <c r="V825" s="1455"/>
      <c r="W825" s="1455"/>
      <c r="X825" s="1455"/>
      <c r="Y825" s="1456"/>
      <c r="Z825" s="1454"/>
      <c r="AA825" s="1455"/>
      <c r="AB825" s="1455"/>
      <c r="AC825" s="1455"/>
      <c r="AD825" s="1455"/>
      <c r="AE825" s="1456"/>
      <c r="AF825" s="1454"/>
      <c r="AG825" s="1455"/>
      <c r="AH825" s="1455"/>
      <c r="AI825" s="1455"/>
      <c r="AJ825" s="1455"/>
      <c r="AK825" s="1456"/>
      <c r="AL825" s="812"/>
      <c r="AM825" s="592"/>
      <c r="AO825" s="810"/>
      <c r="AP825" s="810"/>
      <c r="AQ825" s="810"/>
    </row>
    <row r="826" spans="1:43">
      <c r="A826" s="813" t="s">
        <v>756</v>
      </c>
      <c r="B826" s="1431" t="str">
        <f>B7</f>
        <v xml:space="preserve">Acquisition/Rehabilitation Project Priorities </v>
      </c>
      <c r="C826" s="1431"/>
      <c r="D826" s="1431"/>
      <c r="E826" s="1431"/>
      <c r="F826" s="1431"/>
      <c r="G826" s="1431"/>
      <c r="H826" s="1431"/>
      <c r="I826" s="1431"/>
      <c r="J826" s="1431"/>
      <c r="K826" s="1431"/>
      <c r="L826" s="1431"/>
      <c r="M826" s="1431"/>
      <c r="N826" s="1431"/>
      <c r="O826" s="1431"/>
      <c r="P826" s="1431"/>
      <c r="Q826" s="1431"/>
      <c r="R826" s="1431"/>
      <c r="S826" s="1432"/>
      <c r="T826" s="1433">
        <f>AK61</f>
        <v>0</v>
      </c>
      <c r="U826" s="1434"/>
      <c r="V826" s="1434"/>
      <c r="W826" s="1434"/>
      <c r="X826" s="1434"/>
      <c r="Y826" s="1435"/>
      <c r="Z826" s="1436">
        <v>20</v>
      </c>
      <c r="AA826" s="1434"/>
      <c r="AB826" s="1434"/>
      <c r="AC826" s="1434"/>
      <c r="AD826" s="1434"/>
      <c r="AE826" s="1435"/>
      <c r="AF826" s="1429">
        <f>IF(T826&gt;Z826,Z826,T826)</f>
        <v>0</v>
      </c>
      <c r="AG826" s="1429"/>
      <c r="AH826" s="1429"/>
      <c r="AI826" s="1429"/>
      <c r="AJ826" s="1429"/>
      <c r="AK826" s="1429"/>
      <c r="AL826" s="812"/>
      <c r="AM826" s="592"/>
      <c r="AO826" s="810"/>
      <c r="AP826" s="810"/>
      <c r="AQ826" s="810"/>
    </row>
    <row r="827" spans="1:43">
      <c r="A827" s="813" t="s">
        <v>1529</v>
      </c>
      <c r="B827" s="1431" t="s">
        <v>1304</v>
      </c>
      <c r="C827" s="1431"/>
      <c r="D827" s="1431"/>
      <c r="E827" s="1431"/>
      <c r="F827" s="1431"/>
      <c r="G827" s="1431"/>
      <c r="H827" s="1431"/>
      <c r="I827" s="1431"/>
      <c r="J827" s="1431"/>
      <c r="K827" s="1431"/>
      <c r="L827" s="1431"/>
      <c r="M827" s="1431"/>
      <c r="N827" s="1431"/>
      <c r="O827" s="1431"/>
      <c r="P827" s="1431"/>
      <c r="Q827" s="1431"/>
      <c r="R827" s="1431"/>
      <c r="S827" s="1432"/>
      <c r="T827" s="1433">
        <f>AK83</f>
        <v>10</v>
      </c>
      <c r="U827" s="1434"/>
      <c r="V827" s="1434"/>
      <c r="W827" s="1434"/>
      <c r="X827" s="1434"/>
      <c r="Y827" s="1435"/>
      <c r="Z827" s="1436">
        <v>10</v>
      </c>
      <c r="AA827" s="1434"/>
      <c r="AB827" s="1434"/>
      <c r="AC827" s="1434"/>
      <c r="AD827" s="1434"/>
      <c r="AE827" s="1435"/>
      <c r="AF827" s="1429">
        <f>IF(T827&gt;Z827,Z827,T827)</f>
        <v>10</v>
      </c>
      <c r="AG827" s="1429"/>
      <c r="AH827" s="1429"/>
      <c r="AI827" s="1429"/>
      <c r="AJ827" s="1429"/>
      <c r="AK827" s="1429"/>
      <c r="AL827" s="812"/>
      <c r="AM827" s="592"/>
      <c r="AO827" s="810"/>
      <c r="AP827" s="810"/>
      <c r="AQ827" s="810"/>
    </row>
    <row r="828" spans="1:43">
      <c r="A828" s="813" t="s">
        <v>1538</v>
      </c>
      <c r="B828" s="1431" t="s">
        <v>1314</v>
      </c>
      <c r="C828" s="1431"/>
      <c r="D828" s="1431"/>
      <c r="E828" s="1431"/>
      <c r="F828" s="1431"/>
      <c r="G828" s="1431"/>
      <c r="H828" s="1431"/>
      <c r="I828" s="1431"/>
      <c r="J828" s="1431"/>
      <c r="K828" s="1431"/>
      <c r="L828" s="1431"/>
      <c r="M828" s="1431"/>
      <c r="N828" s="1431"/>
      <c r="O828" s="1431"/>
      <c r="P828" s="1431"/>
      <c r="Q828" s="1431"/>
      <c r="R828" s="1431"/>
      <c r="S828" s="1432"/>
      <c r="T828" s="1433">
        <f ca="1">AK108</f>
        <v>20</v>
      </c>
      <c r="U828" s="1434"/>
      <c r="V828" s="1434"/>
      <c r="W828" s="1434"/>
      <c r="X828" s="1434"/>
      <c r="Y828" s="1435"/>
      <c r="Z828" s="1436">
        <v>20</v>
      </c>
      <c r="AA828" s="1434"/>
      <c r="AB828" s="1434"/>
      <c r="AC828" s="1434"/>
      <c r="AD828" s="1434"/>
      <c r="AE828" s="1435"/>
      <c r="AF828" s="1429">
        <f ca="1">IF(T828&gt;Z828,Z828,T828)</f>
        <v>20</v>
      </c>
      <c r="AG828" s="1429"/>
      <c r="AH828" s="1429"/>
      <c r="AI828" s="1429"/>
      <c r="AJ828" s="1429"/>
      <c r="AK828" s="1429"/>
      <c r="AL828" s="812"/>
      <c r="AM828" s="592"/>
      <c r="AO828" s="810"/>
      <c r="AP828" s="810"/>
      <c r="AQ828" s="810"/>
    </row>
    <row r="829" spans="1:43">
      <c r="A829" s="813" t="s">
        <v>1559</v>
      </c>
      <c r="B829" s="1431" t="s">
        <v>1324</v>
      </c>
      <c r="C829" s="1431"/>
      <c r="D829" s="1431"/>
      <c r="E829" s="1431"/>
      <c r="F829" s="1431"/>
      <c r="G829" s="1431"/>
      <c r="H829" s="1431"/>
      <c r="I829" s="1431"/>
      <c r="J829" s="1431"/>
      <c r="K829" s="1431"/>
      <c r="L829" s="1431"/>
      <c r="M829" s="1431"/>
      <c r="N829" s="1431"/>
      <c r="O829" s="1431"/>
      <c r="P829" s="1431"/>
      <c r="Q829" s="1431"/>
      <c r="R829" s="1431"/>
      <c r="S829" s="1432"/>
      <c r="T829" s="1433">
        <f>AK142</f>
        <v>10</v>
      </c>
      <c r="U829" s="1434"/>
      <c r="V829" s="1434"/>
      <c r="W829" s="1434"/>
      <c r="X829" s="1434"/>
      <c r="Y829" s="1435"/>
      <c r="Z829" s="1436">
        <v>10</v>
      </c>
      <c r="AA829" s="1434"/>
      <c r="AB829" s="1434"/>
      <c r="AC829" s="1434"/>
      <c r="AD829" s="1434"/>
      <c r="AE829" s="1435"/>
      <c r="AF829" s="1429">
        <f>IF(T829&gt;Z829,Z829,T829)</f>
        <v>10</v>
      </c>
      <c r="AG829" s="1429"/>
      <c r="AH829" s="1429"/>
      <c r="AI829" s="1429"/>
      <c r="AJ829" s="1429"/>
      <c r="AK829" s="1429"/>
      <c r="AL829" s="812"/>
      <c r="AM829" s="592"/>
      <c r="AO829" s="810"/>
      <c r="AP829" s="810"/>
      <c r="AQ829" s="810"/>
    </row>
    <row r="830" spans="1:43">
      <c r="A830" s="814" t="s">
        <v>1560</v>
      </c>
      <c r="B830" s="1431" t="s">
        <v>1561</v>
      </c>
      <c r="C830" s="1431"/>
      <c r="D830" s="1431"/>
      <c r="E830" s="1431"/>
      <c r="F830" s="1431"/>
      <c r="G830" s="1431"/>
      <c r="H830" s="1431"/>
      <c r="I830" s="1431"/>
      <c r="J830" s="1431"/>
      <c r="K830" s="1431"/>
      <c r="L830" s="1431"/>
      <c r="M830" s="1431"/>
      <c r="N830" s="1431"/>
      <c r="O830" s="1431"/>
      <c r="P830" s="1431"/>
      <c r="Q830" s="1431"/>
      <c r="R830" s="1431"/>
      <c r="S830" s="1432"/>
      <c r="T830" s="1457">
        <f>SUM(T831:Y832)</f>
        <v>10</v>
      </c>
      <c r="U830" s="1457"/>
      <c r="V830" s="1457"/>
      <c r="W830" s="1457"/>
      <c r="X830" s="1457"/>
      <c r="Y830" s="1457"/>
      <c r="Z830" s="1429">
        <v>10</v>
      </c>
      <c r="AA830" s="1429"/>
      <c r="AB830" s="1429"/>
      <c r="AC830" s="1429"/>
      <c r="AD830" s="1429"/>
      <c r="AE830" s="1429"/>
      <c r="AF830" s="1429">
        <f>IF(T830&gt;Z830,Z830,T830)</f>
        <v>10</v>
      </c>
      <c r="AG830" s="1429"/>
      <c r="AH830" s="1429"/>
      <c r="AI830" s="1429"/>
      <c r="AJ830" s="1429"/>
      <c r="AK830" s="1429"/>
      <c r="AL830" s="812"/>
      <c r="AM830" s="592"/>
    </row>
    <row r="831" spans="1:43">
      <c r="A831" s="533"/>
      <c r="B831" s="597"/>
      <c r="C831" s="1458" t="s">
        <v>1562</v>
      </c>
      <c r="D831" s="1458"/>
      <c r="E831" s="1458"/>
      <c r="F831" s="1458"/>
      <c r="G831" s="1458"/>
      <c r="H831" s="1458"/>
      <c r="I831" s="1458"/>
      <c r="J831" s="1458"/>
      <c r="K831" s="1458"/>
      <c r="L831" s="1458"/>
      <c r="M831" s="1458"/>
      <c r="N831" s="1458"/>
      <c r="O831" s="1458"/>
      <c r="P831" s="1458"/>
      <c r="Q831" s="1458"/>
      <c r="R831" s="1458"/>
      <c r="S831" s="1459"/>
      <c r="T831" s="1349">
        <f>AJ165</f>
        <v>7</v>
      </c>
      <c r="U831" s="1349"/>
      <c r="V831" s="1349"/>
      <c r="W831" s="1349"/>
      <c r="X831" s="1349"/>
      <c r="Y831" s="1349"/>
      <c r="Z831" s="1350">
        <v>7</v>
      </c>
      <c r="AA831" s="1350"/>
      <c r="AB831" s="1350"/>
      <c r="AC831" s="1350"/>
      <c r="AD831" s="1350"/>
      <c r="AE831" s="1350"/>
      <c r="AF831" s="1460"/>
      <c r="AG831" s="1460"/>
      <c r="AH831" s="1460"/>
      <c r="AI831" s="1460"/>
      <c r="AJ831" s="1460"/>
      <c r="AK831" s="1460"/>
      <c r="AL831" s="812"/>
      <c r="AM831" s="592"/>
    </row>
    <row r="832" spans="1:43">
      <c r="A832" s="596"/>
      <c r="B832" s="597"/>
      <c r="C832" s="1458" t="s">
        <v>1563</v>
      </c>
      <c r="D832" s="1458"/>
      <c r="E832" s="1458"/>
      <c r="F832" s="1458"/>
      <c r="G832" s="1458"/>
      <c r="H832" s="1458"/>
      <c r="I832" s="1458"/>
      <c r="J832" s="1458"/>
      <c r="K832" s="1458"/>
      <c r="L832" s="1458"/>
      <c r="M832" s="1458"/>
      <c r="N832" s="1458"/>
      <c r="O832" s="1458"/>
      <c r="P832" s="1458"/>
      <c r="Q832" s="1458"/>
      <c r="R832" s="1458"/>
      <c r="S832" s="1459"/>
      <c r="T832" s="1349">
        <f>AJ179</f>
        <v>3</v>
      </c>
      <c r="U832" s="1349"/>
      <c r="V832" s="1349"/>
      <c r="W832" s="1349"/>
      <c r="X832" s="1349"/>
      <c r="Y832" s="1349"/>
      <c r="Z832" s="1350">
        <v>3</v>
      </c>
      <c r="AA832" s="1350"/>
      <c r="AB832" s="1350"/>
      <c r="AC832" s="1350"/>
      <c r="AD832" s="1350"/>
      <c r="AE832" s="1350"/>
      <c r="AF832" s="1460"/>
      <c r="AG832" s="1460"/>
      <c r="AH832" s="1460"/>
      <c r="AI832" s="1460"/>
      <c r="AJ832" s="1460"/>
      <c r="AK832" s="1460"/>
      <c r="AL832" s="812"/>
      <c r="AM832" s="592"/>
      <c r="AO832" s="547"/>
    </row>
    <row r="833" spans="1:81">
      <c r="A833" s="814" t="s">
        <v>1352</v>
      </c>
      <c r="B833" s="1431" t="s">
        <v>1564</v>
      </c>
      <c r="C833" s="1431"/>
      <c r="D833" s="1431"/>
      <c r="E833" s="1431"/>
      <c r="F833" s="1431"/>
      <c r="G833" s="1431"/>
      <c r="H833" s="1431"/>
      <c r="I833" s="1431"/>
      <c r="J833" s="1431"/>
      <c r="K833" s="1431"/>
      <c r="L833" s="1431"/>
      <c r="M833" s="1431"/>
      <c r="N833" s="1431"/>
      <c r="O833" s="1431"/>
      <c r="P833" s="1431"/>
      <c r="Q833" s="1431"/>
      <c r="R833" s="1431"/>
      <c r="S833" s="1432"/>
      <c r="T833" s="1457">
        <f>AK190</f>
        <v>10</v>
      </c>
      <c r="U833" s="1457"/>
      <c r="V833" s="1457"/>
      <c r="W833" s="1457"/>
      <c r="X833" s="1457"/>
      <c r="Y833" s="1457"/>
      <c r="Z833" s="1429">
        <v>10</v>
      </c>
      <c r="AA833" s="1429"/>
      <c r="AB833" s="1429"/>
      <c r="AC833" s="1429"/>
      <c r="AD833" s="1429"/>
      <c r="AE833" s="1429"/>
      <c r="AF833" s="1429">
        <f>IF(T833&gt;Z833,Z833,T833)</f>
        <v>10</v>
      </c>
      <c r="AG833" s="1429"/>
      <c r="AH833" s="1429"/>
      <c r="AI833" s="1429"/>
      <c r="AJ833" s="1429"/>
      <c r="AK833" s="1429"/>
      <c r="AL833" s="812"/>
      <c r="AM833" s="592"/>
    </row>
    <row r="834" spans="1:81" hidden="1">
      <c r="A834" s="813" t="s">
        <v>1360</v>
      </c>
      <c r="B834" s="1431" t="s">
        <v>1361</v>
      </c>
      <c r="C834" s="1431"/>
      <c r="D834" s="1431"/>
      <c r="E834" s="1431"/>
      <c r="F834" s="1431"/>
      <c r="G834" s="1431"/>
      <c r="H834" s="1431"/>
      <c r="I834" s="1431"/>
      <c r="J834" s="1431"/>
      <c r="K834" s="1431"/>
      <c r="L834" s="1431"/>
      <c r="M834" s="1431"/>
      <c r="N834" s="1431"/>
      <c r="O834" s="1431"/>
      <c r="P834" s="1431"/>
      <c r="Q834" s="1431"/>
      <c r="R834" s="1431"/>
      <c r="S834" s="1432"/>
      <c r="T834" s="1457">
        <f>AK272</f>
        <v>0</v>
      </c>
      <c r="U834" s="1457"/>
      <c r="V834" s="1457"/>
      <c r="W834" s="1457"/>
      <c r="X834" s="1457"/>
      <c r="Y834" s="1457"/>
      <c r="Z834" s="1436">
        <v>8</v>
      </c>
      <c r="AA834" s="1434"/>
      <c r="AB834" s="1434"/>
      <c r="AC834" s="1434"/>
      <c r="AD834" s="1434"/>
      <c r="AE834" s="1435"/>
      <c r="AF834" s="1429"/>
      <c r="AG834" s="1429"/>
      <c r="AH834" s="1429"/>
      <c r="AI834" s="1429"/>
      <c r="AJ834" s="1429"/>
      <c r="AK834" s="1429"/>
      <c r="AL834" s="812"/>
      <c r="AM834" s="592"/>
    </row>
    <row r="835" spans="1:81" s="532" customFormat="1" hidden="1">
      <c r="A835" s="814" t="s">
        <v>588</v>
      </c>
      <c r="B835" s="1431" t="s">
        <v>1565</v>
      </c>
      <c r="C835" s="1431"/>
      <c r="D835" s="1431"/>
      <c r="E835" s="1431"/>
      <c r="F835" s="1431"/>
      <c r="G835" s="1431"/>
      <c r="H835" s="1431"/>
      <c r="I835" s="1431"/>
      <c r="J835" s="1431"/>
      <c r="K835" s="1431"/>
      <c r="L835" s="1431"/>
      <c r="M835" s="1431"/>
      <c r="N835" s="1431"/>
      <c r="O835" s="1431"/>
      <c r="P835" s="1431"/>
      <c r="Q835" s="1431"/>
      <c r="R835" s="1431"/>
      <c r="S835" s="1432"/>
      <c r="T835" s="1457">
        <f>IF(AK548&gt;5,5,AK548)</f>
        <v>0</v>
      </c>
      <c r="U835" s="1457"/>
      <c r="V835" s="1457"/>
      <c r="W835" s="1457"/>
      <c r="X835" s="1457"/>
      <c r="Y835" s="1457"/>
      <c r="Z835" s="1429">
        <v>5</v>
      </c>
      <c r="AA835" s="1429"/>
      <c r="AB835" s="1429"/>
      <c r="AC835" s="1429"/>
      <c r="AD835" s="1429"/>
      <c r="AE835" s="1429"/>
      <c r="AF835" s="1429"/>
      <c r="AG835" s="1429"/>
      <c r="AH835" s="1429"/>
      <c r="AI835" s="1429"/>
      <c r="AJ835" s="1429"/>
      <c r="AK835" s="1429"/>
      <c r="AL835" s="812"/>
      <c r="AM835" s="592"/>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2" customFormat="1">
      <c r="A836" s="813" t="str">
        <f>A275</f>
        <v>h.</v>
      </c>
      <c r="B836" s="1431" t="str">
        <f>B275</f>
        <v>Readiness to Proceed</v>
      </c>
      <c r="C836" s="1431"/>
      <c r="D836" s="1431"/>
      <c r="E836" s="1431"/>
      <c r="F836" s="1431"/>
      <c r="G836" s="1431"/>
      <c r="H836" s="1431"/>
      <c r="I836" s="1431"/>
      <c r="J836" s="1431"/>
      <c r="K836" s="1431"/>
      <c r="L836" s="1431"/>
      <c r="M836" s="1431"/>
      <c r="N836" s="1431"/>
      <c r="O836" s="1431"/>
      <c r="P836" s="1431"/>
      <c r="Q836" s="1431"/>
      <c r="R836" s="1431"/>
      <c r="S836" s="1432"/>
      <c r="T836" s="1457">
        <f>AK298</f>
        <v>10</v>
      </c>
      <c r="U836" s="1457"/>
      <c r="V836" s="1457"/>
      <c r="W836" s="1457"/>
      <c r="X836" s="1457"/>
      <c r="Y836" s="1457"/>
      <c r="Z836" s="1429">
        <v>10</v>
      </c>
      <c r="AA836" s="1429"/>
      <c r="AB836" s="1429"/>
      <c r="AC836" s="1429"/>
      <c r="AD836" s="1429"/>
      <c r="AE836" s="1429"/>
      <c r="AF836" s="1462">
        <f>IF(T836&gt;Z836,Z836,T836)</f>
        <v>10</v>
      </c>
      <c r="AG836" s="1463"/>
      <c r="AH836" s="1463"/>
      <c r="AI836" s="1463"/>
      <c r="AJ836" s="1463"/>
      <c r="AK836" s="1464"/>
      <c r="AL836" s="812"/>
      <c r="AM836" s="592"/>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2" customFormat="1">
      <c r="A837" s="814" t="str">
        <f>A301</f>
        <v>i.</v>
      </c>
      <c r="B837" s="1431" t="str">
        <f>B301</f>
        <v>Access to Opportunity</v>
      </c>
      <c r="C837" s="1431"/>
      <c r="D837" s="1431"/>
      <c r="E837" s="1431"/>
      <c r="F837" s="1431"/>
      <c r="G837" s="1431"/>
      <c r="H837" s="1431"/>
      <c r="I837" s="1431"/>
      <c r="J837" s="1431"/>
      <c r="K837" s="1431"/>
      <c r="L837" s="1431"/>
      <c r="M837" s="1431"/>
      <c r="N837" s="1431"/>
      <c r="O837" s="1431"/>
      <c r="P837" s="1431"/>
      <c r="Q837" s="1431"/>
      <c r="R837" s="1431"/>
      <c r="S837" s="1432"/>
      <c r="T837" s="1457">
        <f>AK351</f>
        <v>9</v>
      </c>
      <c r="U837" s="1457"/>
      <c r="V837" s="1457"/>
      <c r="W837" s="1457"/>
      <c r="X837" s="1457"/>
      <c r="Y837" s="1457"/>
      <c r="Z837" s="1462">
        <v>10</v>
      </c>
      <c r="AA837" s="1463"/>
      <c r="AB837" s="1463"/>
      <c r="AC837" s="1463"/>
      <c r="AD837" s="1463"/>
      <c r="AE837" s="1464"/>
      <c r="AF837" s="1462">
        <f>IF(T837&gt;Z837,Z837,T837)</f>
        <v>9</v>
      </c>
      <c r="AG837" s="1463"/>
      <c r="AH837" s="1463"/>
      <c r="AI837" s="1463"/>
      <c r="AJ837" s="1463"/>
      <c r="AK837" s="1464"/>
      <c r="AL837" s="537"/>
      <c r="AM837" s="592"/>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2" customFormat="1" hidden="1">
      <c r="A838" s="814"/>
      <c r="B838" s="815"/>
      <c r="C838" s="816" t="s">
        <v>1566</v>
      </c>
      <c r="D838" s="817"/>
      <c r="E838" s="817"/>
      <c r="F838" s="817"/>
      <c r="G838" s="817"/>
      <c r="H838" s="817"/>
      <c r="I838" s="817"/>
      <c r="J838" s="817"/>
      <c r="K838" s="817"/>
      <c r="L838" s="817"/>
      <c r="M838" s="817"/>
      <c r="N838" s="817"/>
      <c r="O838" s="817"/>
      <c r="P838" s="817"/>
      <c r="Q838" s="817"/>
      <c r="R838" s="815"/>
      <c r="S838" s="818"/>
      <c r="T838" s="1349">
        <f>AK351</f>
        <v>9</v>
      </c>
      <c r="U838" s="1349"/>
      <c r="V838" s="1349"/>
      <c r="W838" s="1349"/>
      <c r="X838" s="1349"/>
      <c r="Y838" s="1349"/>
      <c r="Z838" s="1360">
        <v>20</v>
      </c>
      <c r="AA838" s="1361"/>
      <c r="AB838" s="1361"/>
      <c r="AC838" s="1361"/>
      <c r="AD838" s="1361"/>
      <c r="AE838" s="1362"/>
      <c r="AF838" s="1460"/>
      <c r="AG838" s="1460"/>
      <c r="AH838" s="1460"/>
      <c r="AI838" s="1460"/>
      <c r="AJ838" s="1460"/>
      <c r="AK838" s="1460"/>
      <c r="AL838" s="537"/>
      <c r="AM838" s="592"/>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2" customFormat="1">
      <c r="A839" s="814" t="str">
        <f>A354</f>
        <v>j.</v>
      </c>
      <c r="B839" s="1431" t="s">
        <v>844</v>
      </c>
      <c r="C839" s="1431"/>
      <c r="D839" s="1431"/>
      <c r="E839" s="1431"/>
      <c r="F839" s="1431"/>
      <c r="G839" s="1431"/>
      <c r="H839" s="1431"/>
      <c r="I839" s="1431"/>
      <c r="J839" s="1431"/>
      <c r="K839" s="1431"/>
      <c r="L839" s="1431"/>
      <c r="M839" s="1431"/>
      <c r="N839" s="1431"/>
      <c r="O839" s="1431"/>
      <c r="P839" s="1431"/>
      <c r="Q839" s="1431"/>
      <c r="R839" s="1431"/>
      <c r="S839" s="1432"/>
      <c r="T839" s="1457">
        <f>AK482</f>
        <v>10</v>
      </c>
      <c r="U839" s="1457"/>
      <c r="V839" s="1457"/>
      <c r="W839" s="1457"/>
      <c r="X839" s="1457"/>
      <c r="Y839" s="1457"/>
      <c r="Z839" s="1462">
        <v>10</v>
      </c>
      <c r="AA839" s="1463"/>
      <c r="AB839" s="1463"/>
      <c r="AC839" s="1463"/>
      <c r="AD839" s="1463"/>
      <c r="AE839" s="1464"/>
      <c r="AF839" s="1429">
        <f>IF(T839&gt;Z839,Z839,T839)</f>
        <v>10</v>
      </c>
      <c r="AG839" s="1429"/>
      <c r="AH839" s="1429"/>
      <c r="AI839" s="1429"/>
      <c r="AJ839" s="1429"/>
      <c r="AK839" s="1429"/>
      <c r="AL839" s="537"/>
      <c r="AM839" s="592"/>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2" customFormat="1">
      <c r="A840" s="814" t="str">
        <f>A551</f>
        <v>k.</v>
      </c>
      <c r="B840" s="1431" t="s">
        <v>1547</v>
      </c>
      <c r="C840" s="1431"/>
      <c r="D840" s="1431"/>
      <c r="E840" s="1431"/>
      <c r="F840" s="1431"/>
      <c r="G840" s="1431"/>
      <c r="H840" s="1431"/>
      <c r="I840" s="1431"/>
      <c r="J840" s="1431"/>
      <c r="K840" s="1431"/>
      <c r="L840" s="1431"/>
      <c r="M840" s="1431"/>
      <c r="N840" s="1431"/>
      <c r="O840" s="1431"/>
      <c r="P840" s="1431"/>
      <c r="Q840" s="1431"/>
      <c r="R840" s="1431"/>
      <c r="S840" s="1432"/>
      <c r="T840" s="1457">
        <f>AK572</f>
        <v>12</v>
      </c>
      <c r="U840" s="1457"/>
      <c r="V840" s="1457"/>
      <c r="W840" s="1457"/>
      <c r="X840" s="1457"/>
      <c r="Y840" s="1457"/>
      <c r="Z840" s="1462">
        <v>12</v>
      </c>
      <c r="AA840" s="1463"/>
      <c r="AB840" s="1463"/>
      <c r="AC840" s="1463"/>
      <c r="AD840" s="1463"/>
      <c r="AE840" s="1464"/>
      <c r="AF840" s="1429">
        <f>IF(T840&gt;Z840,Z840,T840)</f>
        <v>12</v>
      </c>
      <c r="AG840" s="1429"/>
      <c r="AH840" s="1429"/>
      <c r="AI840" s="1429"/>
      <c r="AJ840" s="1429"/>
      <c r="AK840" s="1429"/>
      <c r="AL840" s="537"/>
      <c r="AM840" s="592"/>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2" customFormat="1">
      <c r="A841" s="814" t="str">
        <f>A575</f>
        <v>l.</v>
      </c>
      <c r="B841" s="1431" t="s">
        <v>1567</v>
      </c>
      <c r="C841" s="1431"/>
      <c r="D841" s="1431"/>
      <c r="E841" s="1431"/>
      <c r="F841" s="1431"/>
      <c r="G841" s="1431"/>
      <c r="H841" s="1431"/>
      <c r="I841" s="1431"/>
      <c r="J841" s="1431"/>
      <c r="K841" s="1431"/>
      <c r="L841" s="1431"/>
      <c r="M841" s="1431"/>
      <c r="N841" s="1431"/>
      <c r="O841" s="1431"/>
      <c r="P841" s="1431"/>
      <c r="Q841" s="1431"/>
      <c r="R841" s="1431"/>
      <c r="S841" s="1432"/>
      <c r="T841" s="1457">
        <f>AK816</f>
        <v>10</v>
      </c>
      <c r="U841" s="1457"/>
      <c r="V841" s="1457"/>
      <c r="W841" s="1457"/>
      <c r="X841" s="1457"/>
      <c r="Y841" s="1457"/>
      <c r="Z841" s="1462">
        <v>10</v>
      </c>
      <c r="AA841" s="1463"/>
      <c r="AB841" s="1463"/>
      <c r="AC841" s="1463"/>
      <c r="AD841" s="1463"/>
      <c r="AE841" s="1464"/>
      <c r="AF841" s="1429">
        <f>IF(T841&gt;Z841,Z841,T841)</f>
        <v>10</v>
      </c>
      <c r="AG841" s="1429"/>
      <c r="AH841" s="1429"/>
      <c r="AI841" s="1429"/>
      <c r="AJ841" s="1429"/>
      <c r="AK841" s="1429"/>
      <c r="AL841" s="537"/>
      <c r="AM841" s="592"/>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2" customFormat="1">
      <c r="A842" s="536" t="s">
        <v>1980</v>
      </c>
      <c r="B842" s="694" t="s">
        <v>1568</v>
      </c>
      <c r="C842" s="694"/>
      <c r="D842" s="694"/>
      <c r="E842" s="694"/>
      <c r="F842" s="694"/>
      <c r="G842" s="694"/>
      <c r="H842" s="694"/>
      <c r="I842" s="694"/>
      <c r="J842" s="694"/>
      <c r="K842" s="694"/>
      <c r="L842" s="694"/>
      <c r="M842" s="694"/>
      <c r="N842" s="694"/>
      <c r="O842" s="694"/>
      <c r="P842" s="694"/>
      <c r="Q842" s="694"/>
      <c r="R842" s="694"/>
      <c r="S842" s="1195"/>
      <c r="T842" s="1461"/>
      <c r="U842" s="1461"/>
      <c r="V842" s="1461"/>
      <c r="W842" s="1461"/>
      <c r="X842" s="1461"/>
      <c r="Y842" s="1461"/>
      <c r="Z842" s="1350" t="s">
        <v>1569</v>
      </c>
      <c r="AA842" s="1350"/>
      <c r="AB842" s="1350"/>
      <c r="AC842" s="1350"/>
      <c r="AD842" s="1350"/>
      <c r="AE842" s="1350"/>
      <c r="AF842" s="1462">
        <f>ABS(T842)</f>
        <v>0</v>
      </c>
      <c r="AG842" s="1463"/>
      <c r="AH842" s="1463"/>
      <c r="AI842" s="1463"/>
      <c r="AJ842" s="1463"/>
      <c r="AK842" s="1464"/>
      <c r="AL842" s="587"/>
      <c r="AM842" s="592"/>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2" customFormat="1" ht="15.75">
      <c r="A843" s="1465" t="s">
        <v>1570</v>
      </c>
      <c r="B843" s="1466"/>
      <c r="C843" s="1466"/>
      <c r="D843" s="1466"/>
      <c r="E843" s="1466"/>
      <c r="F843" s="1466"/>
      <c r="G843" s="1466"/>
      <c r="H843" s="1466"/>
      <c r="I843" s="1466"/>
      <c r="J843" s="1466"/>
      <c r="K843" s="1466"/>
      <c r="L843" s="1466"/>
      <c r="M843" s="1466"/>
      <c r="N843" s="1466"/>
      <c r="O843" s="1466"/>
      <c r="P843" s="1466"/>
      <c r="Q843" s="1466"/>
      <c r="R843" s="1466"/>
      <c r="S843" s="1466"/>
      <c r="T843" s="1466"/>
      <c r="U843" s="1466"/>
      <c r="V843" s="1466"/>
      <c r="W843" s="1466"/>
      <c r="X843" s="1466"/>
      <c r="Y843" s="1466"/>
      <c r="Z843" s="1466"/>
      <c r="AA843" s="1466"/>
      <c r="AB843" s="1466"/>
      <c r="AC843" s="1466"/>
      <c r="AD843" s="1466"/>
      <c r="AE843" s="1467"/>
      <c r="AF843" s="1471">
        <f ca="1">SUM(AF826:AK841)-AF842</f>
        <v>111</v>
      </c>
      <c r="AG843" s="1472"/>
      <c r="AH843" s="1472"/>
      <c r="AI843" s="1472"/>
      <c r="AJ843" s="1472"/>
      <c r="AK843" s="1473"/>
      <c r="AL843" s="819"/>
      <c r="AM843" s="547"/>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2" customFormat="1" ht="15.75">
      <c r="A844" s="1468"/>
      <c r="B844" s="1469"/>
      <c r="C844" s="1469"/>
      <c r="D844" s="1469"/>
      <c r="E844" s="1469"/>
      <c r="F844" s="1469"/>
      <c r="G844" s="1469"/>
      <c r="H844" s="1469"/>
      <c r="I844" s="1469"/>
      <c r="J844" s="1469"/>
      <c r="K844" s="1469"/>
      <c r="L844" s="1469"/>
      <c r="M844" s="1469"/>
      <c r="N844" s="1469"/>
      <c r="O844" s="1469"/>
      <c r="P844" s="1469"/>
      <c r="Q844" s="1469"/>
      <c r="R844" s="1469"/>
      <c r="S844" s="1469"/>
      <c r="T844" s="1469"/>
      <c r="U844" s="1469"/>
      <c r="V844" s="1469"/>
      <c r="W844" s="1469"/>
      <c r="X844" s="1469"/>
      <c r="Y844" s="1469"/>
      <c r="Z844" s="1469"/>
      <c r="AA844" s="1469"/>
      <c r="AB844" s="1469"/>
      <c r="AC844" s="1469"/>
      <c r="AD844" s="1469"/>
      <c r="AE844" s="1470"/>
      <c r="AF844" s="1474"/>
      <c r="AG844" s="1475"/>
      <c r="AH844" s="1475"/>
      <c r="AI844" s="1475"/>
      <c r="AJ844" s="1475"/>
      <c r="AK844" s="1476"/>
      <c r="AL844" s="819"/>
      <c r="AM844" s="547"/>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2" customFormat="1">
      <c r="A845" s="657"/>
      <c r="B845" s="657"/>
      <c r="C845" s="657"/>
      <c r="D845" s="657"/>
      <c r="E845" s="657"/>
      <c r="F845" s="657"/>
      <c r="G845" s="657"/>
      <c r="H845" s="657"/>
      <c r="I845" s="657"/>
      <c r="J845" s="657"/>
      <c r="K845" s="657"/>
      <c r="L845" s="657"/>
      <c r="M845" s="657"/>
      <c r="N845" s="657"/>
      <c r="O845" s="657"/>
      <c r="P845" s="657"/>
      <c r="Q845" s="657"/>
      <c r="R845" s="657"/>
      <c r="S845" s="657"/>
      <c r="T845" s="657"/>
      <c r="U845" s="657"/>
      <c r="V845" s="657"/>
      <c r="W845" s="657"/>
      <c r="X845" s="657"/>
      <c r="Y845" s="657"/>
      <c r="Z845" s="657"/>
      <c r="AA845" s="657"/>
      <c r="AB845" s="657"/>
      <c r="AC845" s="657"/>
      <c r="AD845" s="657"/>
      <c r="AE845" s="657"/>
      <c r="AF845" s="657"/>
      <c r="AG845" s="657"/>
      <c r="AH845" s="657"/>
      <c r="AI845" s="657"/>
      <c r="AJ845" s="657"/>
      <c r="AK845" s="657"/>
      <c r="AL845" s="657"/>
      <c r="AM845" s="820"/>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Megan Crummett</cp:lastModifiedBy>
  <cp:lastPrinted>2024-12-09T20:28:29Z</cp:lastPrinted>
  <dcterms:created xsi:type="dcterms:W3CDTF">2007-12-27T18:26:28Z</dcterms:created>
  <dcterms:modified xsi:type="dcterms:W3CDTF">2026-05-15T23:18:44Z</dcterms:modified>
</cp:coreProperties>
</file>